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Default Extension="rels" ContentType="application/vnd.openxmlformats-package.relationships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3420" yWindow="200" windowWidth="19720" windowHeight="22700"/>
  </bookViews>
  <sheets>
    <sheet name="CharGenMain" sheetId="1" r:id="rId1"/>
    <sheet name="Talents-Skills" sheetId="2" r:id="rId2"/>
    <sheet name="Spells" sheetId="3" r:id="rId3"/>
    <sheet name="Magic Items" sheetId="4" r:id="rId4"/>
    <sheet name="Magic Armor" sheetId="5" r:id="rId5"/>
    <sheet name="Magic Weapons" sheetId="6" r:id="rId6"/>
    <sheet name="Armor-Weapons" sheetId="7" r:id="rId7"/>
  </sheets>
  <definedNames>
    <definedName name="AAAPC_Stats">CharGenMain!$A$1:$K$1700</definedName>
    <definedName name="Alchemy">'Magic Items'!$A$1:$D$74</definedName>
    <definedName name="Armor">'Armor-Weapons'!$A$1:$D$46</definedName>
    <definedName name="Blood_Magic">'Magic Items'!$F$1:$K$89</definedName>
    <definedName name="Knacks">'Talents-Skills'!$L$179:$T$328</definedName>
    <definedName name="Magic_Items">'Magic Items'!$M$1:$P$84</definedName>
    <definedName name="Melee_Weapons">'Armor-Weapons'!$K$1:$N$119</definedName>
    <definedName name="Missile_Weapons">'Armor-Weapons'!$P$1:$S$54</definedName>
    <definedName name="PrintDialogBox">#REF!</definedName>
    <definedName name="Shields">'Armor-Weapons'!$F$1:$I$16</definedName>
    <definedName name="Skills">'Talents-Skills'!$L$1:$T$185</definedName>
    <definedName name="Spell_List">Spells!$A$3:$J$583</definedName>
    <definedName name="Spells">Spells!$A$1:$J$583</definedName>
    <definedName name="Talents">'Talents-Skills'!$A$1:$I$495</definedName>
    <definedName name="Thread_Armor">'Magic Armor'!$A$1:$C$28</definedName>
    <definedName name="Thread_Items">'Magic Items'!$R$1:$T$151</definedName>
    <definedName name="Thread_Melee_Weapons">'Magic Weapons'!$A$1:$C$102</definedName>
    <definedName name="Thread_Missile_Weapons">'Magic Weapons'!$BG$1:$BI$23</definedName>
    <definedName name="Thread_Shields">'Magic Armor'!$BT$1:$BV$18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H226" i="1"/>
  <c r="CG226"/>
  <c r="CF226"/>
  <c r="CD226"/>
  <c r="M226"/>
  <c r="H226"/>
  <c r="G226"/>
  <c r="F226"/>
  <c r="D226"/>
  <c r="CH225"/>
  <c r="CG225"/>
  <c r="CF225"/>
  <c r="CD225"/>
  <c r="M225"/>
  <c r="H225"/>
  <c r="G225"/>
  <c r="F225"/>
  <c r="D225"/>
  <c r="CH224"/>
  <c r="CG224"/>
  <c r="CF224"/>
  <c r="CD224"/>
  <c r="M224"/>
  <c r="H224"/>
  <c r="G224"/>
  <c r="F224"/>
  <c r="D224"/>
  <c r="CH223"/>
  <c r="CG223"/>
  <c r="CF223"/>
  <c r="CD223"/>
  <c r="M223"/>
  <c r="H223"/>
  <c r="G223"/>
  <c r="F223"/>
  <c r="D223"/>
  <c r="CH222"/>
  <c r="CG222"/>
  <c r="CF222"/>
  <c r="CD222"/>
  <c r="M222"/>
  <c r="H222"/>
  <c r="G222"/>
  <c r="F222"/>
  <c r="D222"/>
  <c r="CH221"/>
  <c r="CG221"/>
  <c r="CF221"/>
  <c r="CD221"/>
  <c r="M221"/>
  <c r="H221"/>
  <c r="G221"/>
  <c r="F221"/>
  <c r="D221"/>
  <c r="CH220"/>
  <c r="CG220"/>
  <c r="CF220"/>
  <c r="CD220"/>
  <c r="M220"/>
  <c r="H220"/>
  <c r="G220"/>
  <c r="F220"/>
  <c r="D220"/>
  <c r="CH219"/>
  <c r="CG219"/>
  <c r="CF219"/>
  <c r="CD219"/>
  <c r="M219"/>
  <c r="H219"/>
  <c r="G219"/>
  <c r="F219"/>
  <c r="D219"/>
  <c r="CG218"/>
  <c r="CF218"/>
  <c r="CD218"/>
  <c r="M218"/>
  <c r="G218"/>
  <c r="F218"/>
  <c r="D218"/>
  <c r="CG217"/>
  <c r="CF217"/>
  <c r="CD217"/>
  <c r="M217"/>
  <c r="G217"/>
  <c r="F217"/>
  <c r="D217"/>
  <c r="CG216"/>
  <c r="CF216"/>
  <c r="CD216"/>
  <c r="M216"/>
  <c r="G216"/>
  <c r="F216"/>
  <c r="D216"/>
  <c r="CG215"/>
  <c r="CF215"/>
  <c r="CD215"/>
  <c r="M215"/>
  <c r="G215"/>
  <c r="F215"/>
  <c r="D215"/>
  <c r="CG214"/>
  <c r="CF214"/>
  <c r="CD214"/>
  <c r="M214"/>
  <c r="G214"/>
  <c r="F214"/>
  <c r="D214"/>
  <c r="CG213"/>
  <c r="CF213"/>
  <c r="CD213"/>
  <c r="M213"/>
  <c r="G213"/>
  <c r="F213"/>
  <c r="D213"/>
  <c r="CG212"/>
  <c r="CF212"/>
  <c r="CD212"/>
  <c r="M212"/>
  <c r="G212"/>
  <c r="F212"/>
  <c r="D212"/>
  <c r="CE226"/>
  <c r="L226"/>
  <c r="E226"/>
  <c r="CE225"/>
  <c r="L225"/>
  <c r="E225"/>
  <c r="CE224"/>
  <c r="L224"/>
  <c r="E224"/>
  <c r="CE223"/>
  <c r="L223"/>
  <c r="E223"/>
  <c r="CE222"/>
  <c r="L222"/>
  <c r="E222"/>
  <c r="CE221"/>
  <c r="L221"/>
  <c r="E221"/>
  <c r="CE220"/>
  <c r="L220"/>
  <c r="E220"/>
  <c r="CE219"/>
  <c r="L219"/>
  <c r="E219"/>
  <c r="CE218"/>
  <c r="L218"/>
  <c r="E218"/>
  <c r="CE217"/>
  <c r="AU25"/>
  <c r="AU26"/>
  <c r="AU27"/>
  <c r="AU28"/>
  <c r="L217"/>
  <c r="E217"/>
  <c r="CE216"/>
  <c r="AW25"/>
  <c r="AW26"/>
  <c r="AW27"/>
  <c r="L216"/>
  <c r="E216"/>
  <c r="CE215"/>
  <c r="L215"/>
  <c r="E215"/>
  <c r="CE214"/>
  <c r="L214"/>
  <c r="E214"/>
  <c r="CE213"/>
  <c r="L213"/>
  <c r="E213"/>
  <c r="CE212"/>
  <c r="L212"/>
  <c r="E212"/>
  <c r="B22"/>
  <c r="AS25"/>
  <c r="AS26"/>
  <c r="AS27"/>
  <c r="AS28"/>
  <c r="AS29"/>
  <c r="AS30"/>
  <c r="AS31"/>
  <c r="AS32"/>
  <c r="L22"/>
  <c r="B23"/>
  <c r="L23"/>
  <c r="B24"/>
  <c r="L24"/>
  <c r="B25"/>
  <c r="L25"/>
  <c r="B26"/>
  <c r="L26"/>
  <c r="B27"/>
  <c r="AS33"/>
  <c r="L27"/>
  <c r="B28"/>
  <c r="AS34"/>
  <c r="L28"/>
  <c r="B29"/>
  <c r="L29"/>
  <c r="B30"/>
  <c r="L30"/>
  <c r="B31"/>
  <c r="L31"/>
  <c r="B32"/>
  <c r="L32"/>
  <c r="B33"/>
  <c r="L33"/>
  <c r="B34"/>
  <c r="L34"/>
  <c r="B35"/>
  <c r="AU29"/>
  <c r="L35"/>
  <c r="B36"/>
  <c r="L36"/>
  <c r="B37"/>
  <c r="AU30"/>
  <c r="AU31"/>
  <c r="AU32"/>
  <c r="L37"/>
  <c r="B38"/>
  <c r="L38"/>
  <c r="B39"/>
  <c r="L39"/>
  <c r="B40"/>
  <c r="L40"/>
  <c r="B41"/>
  <c r="L41"/>
  <c r="B42"/>
  <c r="L42"/>
  <c r="B43"/>
  <c r="L43"/>
  <c r="B44"/>
  <c r="L44"/>
  <c r="B45"/>
  <c r="C45"/>
  <c r="AW28"/>
  <c r="AW29"/>
  <c r="AW30"/>
  <c r="AW31"/>
  <c r="AW32"/>
  <c r="L45"/>
  <c r="B46"/>
  <c r="C46"/>
  <c r="L46"/>
  <c r="B47"/>
  <c r="C47"/>
  <c r="L47"/>
  <c r="B48"/>
  <c r="C48"/>
  <c r="L48"/>
  <c r="B49"/>
  <c r="C49"/>
  <c r="L49"/>
  <c r="B50"/>
  <c r="C50"/>
  <c r="L50"/>
  <c r="B51"/>
  <c r="C51"/>
  <c r="L51"/>
  <c r="B52"/>
  <c r="C52"/>
  <c r="L52"/>
  <c r="B53"/>
  <c r="C53"/>
  <c r="L53"/>
  <c r="B54"/>
  <c r="C54"/>
  <c r="L54"/>
  <c r="B55"/>
  <c r="C55"/>
  <c r="L55"/>
  <c r="B56"/>
  <c r="C56"/>
  <c r="L56"/>
  <c r="B57"/>
  <c r="C57"/>
  <c r="L57"/>
  <c r="L58"/>
  <c r="AS44"/>
  <c r="AS45"/>
  <c r="AS46"/>
  <c r="AS47"/>
  <c r="L6"/>
  <c r="L7"/>
  <c r="L8"/>
  <c r="L9"/>
  <c r="L10"/>
  <c r="L11"/>
  <c r="L85"/>
  <c r="AU33"/>
  <c r="AU34"/>
  <c r="AU35"/>
  <c r="AU36"/>
  <c r="L86"/>
  <c r="L87"/>
  <c r="L88"/>
  <c r="L89"/>
  <c r="L90"/>
  <c r="L91"/>
  <c r="L92"/>
  <c r="L93"/>
  <c r="L94"/>
  <c r="L125"/>
  <c r="L126"/>
  <c r="L127"/>
  <c r="C128"/>
  <c r="L128"/>
  <c r="C129"/>
  <c r="L129"/>
  <c r="A130"/>
  <c r="L130"/>
  <c r="B136"/>
  <c r="L136"/>
  <c r="B137"/>
  <c r="AS35"/>
  <c r="L137"/>
  <c r="B138"/>
  <c r="L138"/>
  <c r="B139"/>
  <c r="L139"/>
  <c r="B140"/>
  <c r="L140"/>
  <c r="B141"/>
  <c r="L141"/>
  <c r="B142"/>
  <c r="L142"/>
  <c r="B143"/>
  <c r="L143"/>
  <c r="B144"/>
  <c r="L144"/>
  <c r="B145"/>
  <c r="L145"/>
  <c r="B146"/>
  <c r="L146"/>
  <c r="B147"/>
  <c r="L147"/>
  <c r="B148"/>
  <c r="L148"/>
  <c r="B149"/>
  <c r="L149"/>
  <c r="B150"/>
  <c r="L150"/>
  <c r="B151"/>
  <c r="L151"/>
  <c r="B152"/>
  <c r="L152"/>
  <c r="B153"/>
  <c r="L153"/>
  <c r="B154"/>
  <c r="L154"/>
  <c r="B155"/>
  <c r="L155"/>
  <c r="B156"/>
  <c r="AW33"/>
  <c r="L156"/>
  <c r="B157"/>
  <c r="L157"/>
  <c r="B158"/>
  <c r="L158"/>
  <c r="B159"/>
  <c r="L159"/>
  <c r="B160"/>
  <c r="L160"/>
  <c r="B161"/>
  <c r="C161"/>
  <c r="L161"/>
  <c r="B162"/>
  <c r="C162"/>
  <c r="L162"/>
  <c r="B163"/>
  <c r="C163"/>
  <c r="L163"/>
  <c r="B164"/>
  <c r="C164"/>
  <c r="L164"/>
  <c r="B165"/>
  <c r="C165"/>
  <c r="L165"/>
  <c r="B166"/>
  <c r="C166"/>
  <c r="L166"/>
  <c r="B167"/>
  <c r="C167"/>
  <c r="L167"/>
  <c r="B168"/>
  <c r="C168"/>
  <c r="L168"/>
  <c r="B169"/>
  <c r="C169"/>
  <c r="L169"/>
  <c r="B170"/>
  <c r="C170"/>
  <c r="L170"/>
  <c r="L171"/>
  <c r="M202"/>
  <c r="L202"/>
  <c r="L204"/>
  <c r="L206"/>
  <c r="L207"/>
  <c r="L209"/>
  <c r="L210"/>
  <c r="A96"/>
  <c r="E96"/>
  <c r="L96"/>
  <c r="A97"/>
  <c r="E97"/>
  <c r="L97"/>
  <c r="A98"/>
  <c r="E98"/>
  <c r="L98"/>
  <c r="A99"/>
  <c r="E99"/>
  <c r="L99"/>
  <c r="A100"/>
  <c r="E100"/>
  <c r="L100"/>
  <c r="A101"/>
  <c r="E101"/>
  <c r="L101"/>
  <c r="A102"/>
  <c r="E102"/>
  <c r="L102"/>
  <c r="A103"/>
  <c r="E103"/>
  <c r="L103"/>
  <c r="A104"/>
  <c r="E104"/>
  <c r="L104"/>
  <c r="A105"/>
  <c r="E105"/>
  <c r="L105"/>
  <c r="A106"/>
  <c r="E106"/>
  <c r="L106"/>
  <c r="A107"/>
  <c r="L107"/>
  <c r="A108"/>
  <c r="L108"/>
  <c r="A109"/>
  <c r="L109"/>
  <c r="A110"/>
  <c r="E110"/>
  <c r="L110"/>
  <c r="A111"/>
  <c r="E111"/>
  <c r="L111"/>
  <c r="A112"/>
  <c r="E112"/>
  <c r="L112"/>
  <c r="A113"/>
  <c r="E113"/>
  <c r="L113"/>
  <c r="A114"/>
  <c r="E114"/>
  <c r="L114"/>
  <c r="A115"/>
  <c r="E115"/>
  <c r="L115"/>
  <c r="A116"/>
  <c r="L116"/>
  <c r="A117"/>
  <c r="L117"/>
  <c r="A118"/>
  <c r="L118"/>
  <c r="A119"/>
  <c r="L119"/>
  <c r="A120"/>
  <c r="L120"/>
  <c r="A121"/>
  <c r="L121"/>
  <c r="A122"/>
  <c r="L122"/>
  <c r="A123"/>
  <c r="L123"/>
  <c r="CG1"/>
  <c r="J1"/>
  <c r="G1"/>
  <c r="D170"/>
  <c r="BW170"/>
  <c r="E170"/>
  <c r="D169"/>
  <c r="BW169"/>
  <c r="E169"/>
  <c r="D168"/>
  <c r="BW168"/>
  <c r="E168"/>
  <c r="D167"/>
  <c r="BW167"/>
  <c r="E167"/>
  <c r="D166"/>
  <c r="BW166"/>
  <c r="E166"/>
  <c r="D165"/>
  <c r="BW165"/>
  <c r="E165"/>
  <c r="D164"/>
  <c r="BW164"/>
  <c r="E164"/>
  <c r="D163"/>
  <c r="BW163"/>
  <c r="E163"/>
  <c r="D162"/>
  <c r="BW162"/>
  <c r="E162"/>
  <c r="D161"/>
  <c r="BW161"/>
  <c r="E161"/>
  <c r="A160"/>
  <c r="D160"/>
  <c r="C6"/>
  <c r="E6"/>
  <c r="N2"/>
  <c r="O2"/>
  <c r="F6"/>
  <c r="E160"/>
  <c r="A159"/>
  <c r="D159"/>
  <c r="C8"/>
  <c r="E8"/>
  <c r="N4"/>
  <c r="O4"/>
  <c r="F8"/>
  <c r="E159"/>
  <c r="A158"/>
  <c r="D158"/>
  <c r="C7"/>
  <c r="E7"/>
  <c r="N3"/>
  <c r="O3"/>
  <c r="F7"/>
  <c r="E158"/>
  <c r="A157"/>
  <c r="D157"/>
  <c r="C10"/>
  <c r="E10"/>
  <c r="N6"/>
  <c r="O6"/>
  <c r="F10"/>
  <c r="E157"/>
  <c r="A155"/>
  <c r="D155"/>
  <c r="E155"/>
  <c r="A154"/>
  <c r="D154"/>
  <c r="C9"/>
  <c r="E9"/>
  <c r="N5"/>
  <c r="O5"/>
  <c r="F9"/>
  <c r="E154"/>
  <c r="A153"/>
  <c r="D153"/>
  <c r="E153"/>
  <c r="A152"/>
  <c r="D152"/>
  <c r="E152"/>
  <c r="A151"/>
  <c r="D151"/>
  <c r="C11"/>
  <c r="E11"/>
  <c r="N7"/>
  <c r="O7"/>
  <c r="F11"/>
  <c r="E151"/>
  <c r="A150"/>
  <c r="D150"/>
  <c r="E150"/>
  <c r="A149"/>
  <c r="D149"/>
  <c r="E149"/>
  <c r="A148"/>
  <c r="D148"/>
  <c r="E148"/>
  <c r="A147"/>
  <c r="D147"/>
  <c r="E147"/>
  <c r="A146"/>
  <c r="D146"/>
  <c r="E146"/>
  <c r="A145"/>
  <c r="D145"/>
  <c r="E145"/>
  <c r="A144"/>
  <c r="D144"/>
  <c r="E144"/>
  <c r="A143"/>
  <c r="D143"/>
  <c r="E143"/>
  <c r="A142"/>
  <c r="D142"/>
  <c r="E142"/>
  <c r="A141"/>
  <c r="D141"/>
  <c r="E141"/>
  <c r="A140"/>
  <c r="D140"/>
  <c r="E140"/>
  <c r="A139"/>
  <c r="D139"/>
  <c r="E139"/>
  <c r="A138"/>
  <c r="D138"/>
  <c r="E138"/>
  <c r="A137"/>
  <c r="D137"/>
  <c r="E137"/>
  <c r="D130"/>
  <c r="E130"/>
  <c r="D129"/>
  <c r="E129"/>
  <c r="D128"/>
  <c r="E128"/>
  <c r="D127"/>
  <c r="E127"/>
  <c r="D126"/>
  <c r="E126"/>
  <c r="D125"/>
  <c r="E125"/>
  <c r="D94"/>
  <c r="BW94"/>
  <c r="E94"/>
  <c r="D93"/>
  <c r="BW93"/>
  <c r="E93"/>
  <c r="D92"/>
  <c r="BW92"/>
  <c r="E92"/>
  <c r="D91"/>
  <c r="BW91"/>
  <c r="E91"/>
  <c r="D90"/>
  <c r="BW90"/>
  <c r="E90"/>
  <c r="D89"/>
  <c r="BW89"/>
  <c r="E89"/>
  <c r="D88"/>
  <c r="BW88"/>
  <c r="E88"/>
  <c r="D87"/>
  <c r="BW87"/>
  <c r="E87"/>
  <c r="D86"/>
  <c r="E86"/>
  <c r="D85"/>
  <c r="BW85"/>
  <c r="E85"/>
  <c r="D57"/>
  <c r="BW57"/>
  <c r="E57"/>
  <c r="D56"/>
  <c r="BW56"/>
  <c r="E56"/>
  <c r="D55"/>
  <c r="BW55"/>
  <c r="E55"/>
  <c r="D54"/>
  <c r="BW54"/>
  <c r="E54"/>
  <c r="D53"/>
  <c r="BW53"/>
  <c r="E53"/>
  <c r="D52"/>
  <c r="BW52"/>
  <c r="E52"/>
  <c r="D51"/>
  <c r="BW51"/>
  <c r="E51"/>
  <c r="D50"/>
  <c r="BW50"/>
  <c r="E50"/>
  <c r="D49"/>
  <c r="BW49"/>
  <c r="E49"/>
  <c r="D48"/>
  <c r="BW48"/>
  <c r="E48"/>
  <c r="D47"/>
  <c r="BW47"/>
  <c r="E47"/>
  <c r="D46"/>
  <c r="BW46"/>
  <c r="E46"/>
  <c r="A45"/>
  <c r="D45"/>
  <c r="E45"/>
  <c r="A44"/>
  <c r="D44"/>
  <c r="E44"/>
  <c r="A43"/>
  <c r="D43"/>
  <c r="E43"/>
  <c r="A42"/>
  <c r="D42"/>
  <c r="E42"/>
  <c r="A41"/>
  <c r="D41"/>
  <c r="E41"/>
  <c r="A40"/>
  <c r="D40"/>
  <c r="E40"/>
  <c r="A39"/>
  <c r="D39"/>
  <c r="E39"/>
  <c r="A38"/>
  <c r="D38"/>
  <c r="E38"/>
  <c r="A37"/>
  <c r="D37"/>
  <c r="E37"/>
  <c r="A36"/>
  <c r="D36"/>
  <c r="E36"/>
  <c r="A35"/>
  <c r="D35"/>
  <c r="E35"/>
  <c r="A34"/>
  <c r="D34"/>
  <c r="E34"/>
  <c r="A33"/>
  <c r="D33"/>
  <c r="E33"/>
  <c r="A32"/>
  <c r="D32"/>
  <c r="E32"/>
  <c r="A31"/>
  <c r="D31"/>
  <c r="E31"/>
  <c r="A30"/>
  <c r="D30"/>
  <c r="E30"/>
  <c r="A29"/>
  <c r="D29"/>
  <c r="E29"/>
  <c r="A27"/>
  <c r="D27"/>
  <c r="E27"/>
  <c r="A26"/>
  <c r="D26"/>
  <c r="E26"/>
  <c r="A25"/>
  <c r="D25"/>
  <c r="E25"/>
  <c r="A24"/>
  <c r="D24"/>
  <c r="E24"/>
  <c r="A23"/>
  <c r="D23"/>
  <c r="E23"/>
  <c r="CB171"/>
  <c r="CC171"/>
  <c r="CA171"/>
  <c r="CD171"/>
  <c r="CE171"/>
  <c r="CB170"/>
  <c r="CC170"/>
  <c r="CA170"/>
  <c r="CD170"/>
  <c r="CE170"/>
  <c r="CB169"/>
  <c r="CC169"/>
  <c r="CA169"/>
  <c r="CD169"/>
  <c r="CE169"/>
  <c r="CB168"/>
  <c r="CC168"/>
  <c r="CA168"/>
  <c r="CD168"/>
  <c r="CE168"/>
  <c r="CB167"/>
  <c r="CC167"/>
  <c r="CA167"/>
  <c r="CD167"/>
  <c r="CE167"/>
  <c r="CB166"/>
  <c r="CC166"/>
  <c r="CA166"/>
  <c r="CD166"/>
  <c r="CE166"/>
  <c r="CB165"/>
  <c r="CC165"/>
  <c r="CA165"/>
  <c r="CD165"/>
  <c r="CE165"/>
  <c r="CB164"/>
  <c r="CC164"/>
  <c r="CA164"/>
  <c r="CD164"/>
  <c r="CE164"/>
  <c r="CB163"/>
  <c r="CC163"/>
  <c r="CA163"/>
  <c r="CD163"/>
  <c r="CE163"/>
  <c r="CB162"/>
  <c r="CC162"/>
  <c r="CA162"/>
  <c r="CD162"/>
  <c r="CE162"/>
  <c r="CB161"/>
  <c r="CC161"/>
  <c r="CA161"/>
  <c r="CD161"/>
  <c r="CE161"/>
  <c r="CB160"/>
  <c r="CC160"/>
  <c r="CA160"/>
  <c r="CD160"/>
  <c r="CE160"/>
  <c r="CB159"/>
  <c r="CC159"/>
  <c r="CA159"/>
  <c r="CD159"/>
  <c r="CE159"/>
  <c r="CB158"/>
  <c r="CC158"/>
  <c r="CA158"/>
  <c r="CD158"/>
  <c r="CE158"/>
  <c r="CB157"/>
  <c r="CC157"/>
  <c r="CA157"/>
  <c r="CD157"/>
  <c r="CE157"/>
  <c r="CB155"/>
  <c r="CC155"/>
  <c r="CA155"/>
  <c r="CD155"/>
  <c r="CE155"/>
  <c r="CB154"/>
  <c r="CC154"/>
  <c r="CA154"/>
  <c r="CD154"/>
  <c r="CE154"/>
  <c r="CB153"/>
  <c r="CC153"/>
  <c r="CA153"/>
  <c r="CD153"/>
  <c r="CE153"/>
  <c r="CB152"/>
  <c r="CC152"/>
  <c r="CA152"/>
  <c r="CD152"/>
  <c r="CE152"/>
  <c r="CB151"/>
  <c r="CC151"/>
  <c r="CA151"/>
  <c r="CD151"/>
  <c r="CE151"/>
  <c r="CB150"/>
  <c r="CC150"/>
  <c r="CA150"/>
  <c r="CD150"/>
  <c r="CE150"/>
  <c r="CB149"/>
  <c r="CC149"/>
  <c r="CA149"/>
  <c r="CD149"/>
  <c r="CE149"/>
  <c r="CB148"/>
  <c r="CC148"/>
  <c r="CA148"/>
  <c r="CD148"/>
  <c r="CE148"/>
  <c r="CB147"/>
  <c r="CC147"/>
  <c r="CA147"/>
  <c r="CD147"/>
  <c r="CE147"/>
  <c r="CB146"/>
  <c r="CC146"/>
  <c r="CA146"/>
  <c r="CD146"/>
  <c r="CE146"/>
  <c r="CB145"/>
  <c r="CC145"/>
  <c r="CA145"/>
  <c r="CD145"/>
  <c r="CE145"/>
  <c r="CB144"/>
  <c r="CC144"/>
  <c r="CA144"/>
  <c r="CD144"/>
  <c r="CE144"/>
  <c r="CB143"/>
  <c r="CC143"/>
  <c r="CA143"/>
  <c r="CD143"/>
  <c r="CE143"/>
  <c r="CB142"/>
  <c r="CC142"/>
  <c r="CA142"/>
  <c r="CD142"/>
  <c r="CE142"/>
  <c r="CB141"/>
  <c r="CC141"/>
  <c r="CA141"/>
  <c r="CD141"/>
  <c r="CE141"/>
  <c r="CB140"/>
  <c r="CC140"/>
  <c r="CA140"/>
  <c r="CD140"/>
  <c r="CE140"/>
  <c r="CB139"/>
  <c r="CC139"/>
  <c r="CA139"/>
  <c r="CD139"/>
  <c r="CE139"/>
  <c r="CB138"/>
  <c r="CC138"/>
  <c r="CA138"/>
  <c r="CD138"/>
  <c r="CE138"/>
  <c r="CB137"/>
  <c r="CC137"/>
  <c r="CA137"/>
  <c r="CD137"/>
  <c r="CE137"/>
  <c r="CE133"/>
  <c r="E173"/>
  <c r="E174"/>
  <c r="E175"/>
  <c r="E176"/>
  <c r="E177"/>
  <c r="E178"/>
  <c r="E179"/>
  <c r="E180"/>
  <c r="E181"/>
  <c r="E182"/>
  <c r="E183"/>
  <c r="E184"/>
  <c r="E185"/>
  <c r="E188"/>
  <c r="E189"/>
  <c r="E190"/>
  <c r="E191"/>
  <c r="E192"/>
  <c r="E193"/>
  <c r="E194"/>
  <c r="E195"/>
  <c r="E196"/>
  <c r="E197"/>
  <c r="E198"/>
  <c r="E199"/>
  <c r="E200"/>
  <c r="CE132"/>
  <c r="CA130"/>
  <c r="CD130"/>
  <c r="CE130"/>
  <c r="CA129"/>
  <c r="CD129"/>
  <c r="CE129"/>
  <c r="CA128"/>
  <c r="CD128"/>
  <c r="CE128"/>
  <c r="CD127"/>
  <c r="CE127"/>
  <c r="CD126"/>
  <c r="CE126"/>
  <c r="CD125"/>
  <c r="CE125"/>
  <c r="CE123"/>
  <c r="CE122"/>
  <c r="CE121"/>
  <c r="CE120"/>
  <c r="CE119"/>
  <c r="CE118"/>
  <c r="CE117"/>
  <c r="CE116"/>
  <c r="CE115"/>
  <c r="CE114"/>
  <c r="CE113"/>
  <c r="CE112"/>
  <c r="CE111"/>
  <c r="CE110"/>
  <c r="CE109"/>
  <c r="CE108"/>
  <c r="CE107"/>
  <c r="CE106"/>
  <c r="CE105"/>
  <c r="CE104"/>
  <c r="CE103"/>
  <c r="CE102"/>
  <c r="CE101"/>
  <c r="CE100"/>
  <c r="CE99"/>
  <c r="CE98"/>
  <c r="CE97"/>
  <c r="CE96"/>
  <c r="CD94"/>
  <c r="CE94"/>
  <c r="CD93"/>
  <c r="CE93"/>
  <c r="CD92"/>
  <c r="CE92"/>
  <c r="CD91"/>
  <c r="CE91"/>
  <c r="CD90"/>
  <c r="CE90"/>
  <c r="CD89"/>
  <c r="CE89"/>
  <c r="CD88"/>
  <c r="CE88"/>
  <c r="CD87"/>
  <c r="CE87"/>
  <c r="CD86"/>
  <c r="CE86"/>
  <c r="CD85"/>
  <c r="CE85"/>
  <c r="CG204"/>
  <c r="CC61"/>
  <c r="CE61"/>
  <c r="CB58"/>
  <c r="CC58"/>
  <c r="CA58"/>
  <c r="CD58"/>
  <c r="CE58"/>
  <c r="CB57"/>
  <c r="CC57"/>
  <c r="CA57"/>
  <c r="CD57"/>
  <c r="CE57"/>
  <c r="CB56"/>
  <c r="CC56"/>
  <c r="CA56"/>
  <c r="CD56"/>
  <c r="CE56"/>
  <c r="CB55"/>
  <c r="CC55"/>
  <c r="CA55"/>
  <c r="CD55"/>
  <c r="CE55"/>
  <c r="CB54"/>
  <c r="CC54"/>
  <c r="CA54"/>
  <c r="CD54"/>
  <c r="CE54"/>
  <c r="CB53"/>
  <c r="CC53"/>
  <c r="CA53"/>
  <c r="CD53"/>
  <c r="CE53"/>
  <c r="CB52"/>
  <c r="CC52"/>
  <c r="CA52"/>
  <c r="CD52"/>
  <c r="CE52"/>
  <c r="CB51"/>
  <c r="CC51"/>
  <c r="CA51"/>
  <c r="CD51"/>
  <c r="CE51"/>
  <c r="CB50"/>
  <c r="CC50"/>
  <c r="CA50"/>
  <c r="CD50"/>
  <c r="CE50"/>
  <c r="CB49"/>
  <c r="CC49"/>
  <c r="CA49"/>
  <c r="CD49"/>
  <c r="CE49"/>
  <c r="CB48"/>
  <c r="CC48"/>
  <c r="CA48"/>
  <c r="CD48"/>
  <c r="CE48"/>
  <c r="CB47"/>
  <c r="CC47"/>
  <c r="CA47"/>
  <c r="CD47"/>
  <c r="CE47"/>
  <c r="CB46"/>
  <c r="CC46"/>
  <c r="CA46"/>
  <c r="CD46"/>
  <c r="CE46"/>
  <c r="CB45"/>
  <c r="CC45"/>
  <c r="CA45"/>
  <c r="CD45"/>
  <c r="CE45"/>
  <c r="CB44"/>
  <c r="CC44"/>
  <c r="CA44"/>
  <c r="CD44"/>
  <c r="CE44"/>
  <c r="CB43"/>
  <c r="CC43"/>
  <c r="CA43"/>
  <c r="CD43"/>
  <c r="CE43"/>
  <c r="CB42"/>
  <c r="CC42"/>
  <c r="CA42"/>
  <c r="CD42"/>
  <c r="CE42"/>
  <c r="CB41"/>
  <c r="CC41"/>
  <c r="CA41"/>
  <c r="CD41"/>
  <c r="CE41"/>
  <c r="CB40"/>
  <c r="CC40"/>
  <c r="CA40"/>
  <c r="CD40"/>
  <c r="CE40"/>
  <c r="CB39"/>
  <c r="CC39"/>
  <c r="CA39"/>
  <c r="CD39"/>
  <c r="CE39"/>
  <c r="CB38"/>
  <c r="CC38"/>
  <c r="CA38"/>
  <c r="CD38"/>
  <c r="CE38"/>
  <c r="CB37"/>
  <c r="CC37"/>
  <c r="CA37"/>
  <c r="CD37"/>
  <c r="CE37"/>
  <c r="CB36"/>
  <c r="CC36"/>
  <c r="CA36"/>
  <c r="CD36"/>
  <c r="CE36"/>
  <c r="CB35"/>
  <c r="CC35"/>
  <c r="CA35"/>
  <c r="CD35"/>
  <c r="CE35"/>
  <c r="CB34"/>
  <c r="CC34"/>
  <c r="CA34"/>
  <c r="CD34"/>
  <c r="CE34"/>
  <c r="CB33"/>
  <c r="CC33"/>
  <c r="CA33"/>
  <c r="CD33"/>
  <c r="CE33"/>
  <c r="CB32"/>
  <c r="CC32"/>
  <c r="CA32"/>
  <c r="CD32"/>
  <c r="CE32"/>
  <c r="CB31"/>
  <c r="CC31"/>
  <c r="CA31"/>
  <c r="CD31"/>
  <c r="CE31"/>
  <c r="CB30"/>
  <c r="CC30"/>
  <c r="CA30"/>
  <c r="CD30"/>
  <c r="CE30"/>
  <c r="CB29"/>
  <c r="CC29"/>
  <c r="CA29"/>
  <c r="CD29"/>
  <c r="CE29"/>
  <c r="CB27"/>
  <c r="CC27"/>
  <c r="CA27"/>
  <c r="CD27"/>
  <c r="CE27"/>
  <c r="CB26"/>
  <c r="CC26"/>
  <c r="CA26"/>
  <c r="CD26"/>
  <c r="CE26"/>
  <c r="CB25"/>
  <c r="CC25"/>
  <c r="CA25"/>
  <c r="CD25"/>
  <c r="CE25"/>
  <c r="CB24"/>
  <c r="CC24"/>
  <c r="CA24"/>
  <c r="CD24"/>
  <c r="CE24"/>
  <c r="CB23"/>
  <c r="CC23"/>
  <c r="CA23"/>
  <c r="CD23"/>
  <c r="CE23"/>
  <c r="BW171"/>
  <c r="E171"/>
  <c r="BB86"/>
  <c r="BW86"/>
  <c r="BW58"/>
  <c r="E58"/>
  <c r="CC238"/>
  <c r="CC239"/>
  <c r="CC240"/>
  <c r="CC241"/>
  <c r="CC242"/>
  <c r="CC243"/>
  <c r="CC244"/>
  <c r="CC245"/>
  <c r="CC246"/>
  <c r="CD17"/>
  <c r="CG14"/>
  <c r="C238"/>
  <c r="C239"/>
  <c r="C240"/>
  <c r="C241"/>
  <c r="C242"/>
  <c r="C243"/>
  <c r="C244"/>
  <c r="C245"/>
  <c r="C246"/>
  <c r="D17"/>
  <c r="G14"/>
  <c r="CK53"/>
  <c r="CI53"/>
  <c r="CJ53"/>
  <c r="CH53"/>
  <c r="CF53"/>
  <c r="CG53"/>
  <c r="CK52"/>
  <c r="CI52"/>
  <c r="CJ52"/>
  <c r="CH52"/>
  <c r="CF52"/>
  <c r="CG52"/>
  <c r="CK51"/>
  <c r="CI51"/>
  <c r="CJ51"/>
  <c r="CH51"/>
  <c r="CF51"/>
  <c r="CG51"/>
  <c r="CK50"/>
  <c r="CI50"/>
  <c r="CJ50"/>
  <c r="CH50"/>
  <c r="CF50"/>
  <c r="CG50"/>
  <c r="CK49"/>
  <c r="CI49"/>
  <c r="CJ49"/>
  <c r="CH49"/>
  <c r="CF49"/>
  <c r="CG49"/>
  <c r="CK48"/>
  <c r="CI48"/>
  <c r="CJ48"/>
  <c r="CH48"/>
  <c r="CF48"/>
  <c r="CG48"/>
  <c r="CK47"/>
  <c r="CI47"/>
  <c r="CJ47"/>
  <c r="CH47"/>
  <c r="CF47"/>
  <c r="CG47"/>
  <c r="CK46"/>
  <c r="CI46"/>
  <c r="CJ46"/>
  <c r="CH46"/>
  <c r="CF46"/>
  <c r="CG46"/>
  <c r="CK45"/>
  <c r="CI45"/>
  <c r="CJ45"/>
  <c r="CH45"/>
  <c r="CF45"/>
  <c r="CG45"/>
  <c r="CK44"/>
  <c r="CI44"/>
  <c r="CJ44"/>
  <c r="CH44"/>
  <c r="CF44"/>
  <c r="CG44"/>
  <c r="CK43"/>
  <c r="CI43"/>
  <c r="CJ43"/>
  <c r="CH43"/>
  <c r="CF43"/>
  <c r="CG43"/>
  <c r="CK42"/>
  <c r="CI42"/>
  <c r="CJ42"/>
  <c r="CH42"/>
  <c r="CF42"/>
  <c r="CG42"/>
  <c r="CK41"/>
  <c r="CI41"/>
  <c r="CJ41"/>
  <c r="CH41"/>
  <c r="CF41"/>
  <c r="CG41"/>
  <c r="CK40"/>
  <c r="CI40"/>
  <c r="CJ40"/>
  <c r="CH40"/>
  <c r="CF40"/>
  <c r="CG40"/>
  <c r="CK39"/>
  <c r="CI39"/>
  <c r="CJ39"/>
  <c r="CH39"/>
  <c r="CF39"/>
  <c r="CG39"/>
  <c r="CK38"/>
  <c r="CI38"/>
  <c r="CJ38"/>
  <c r="CH38"/>
  <c r="CF38"/>
  <c r="CG38"/>
  <c r="CK37"/>
  <c r="CI37"/>
  <c r="CJ37"/>
  <c r="CH37"/>
  <c r="CF37"/>
  <c r="CG37"/>
  <c r="CK36"/>
  <c r="CI36"/>
  <c r="CJ36"/>
  <c r="CH36"/>
  <c r="CF36"/>
  <c r="CG36"/>
  <c r="CK35"/>
  <c r="CI35"/>
  <c r="CJ35"/>
  <c r="CH35"/>
  <c r="CF35"/>
  <c r="CG35"/>
  <c r="CK34"/>
  <c r="CI34"/>
  <c r="CJ34"/>
  <c r="CH34"/>
  <c r="CF34"/>
  <c r="CG34"/>
  <c r="CK33"/>
  <c r="CI33"/>
  <c r="CJ33"/>
  <c r="CH33"/>
  <c r="CF33"/>
  <c r="CG33"/>
  <c r="CK32"/>
  <c r="CI32"/>
  <c r="CJ32"/>
  <c r="CH32"/>
  <c r="CF32"/>
  <c r="CG32"/>
  <c r="CK31"/>
  <c r="CI31"/>
  <c r="CJ31"/>
  <c r="CH31"/>
  <c r="CF31"/>
  <c r="CG31"/>
  <c r="CK30"/>
  <c r="CI30"/>
  <c r="CJ30"/>
  <c r="CH30"/>
  <c r="CF30"/>
  <c r="CG30"/>
  <c r="CK29"/>
  <c r="CI29"/>
  <c r="CJ29"/>
  <c r="CH29"/>
  <c r="CF29"/>
  <c r="CG29"/>
  <c r="CB28"/>
  <c r="CC28"/>
  <c r="CA28"/>
  <c r="CK28"/>
  <c r="CI28"/>
  <c r="CJ28"/>
  <c r="CH28"/>
  <c r="CD28"/>
  <c r="CF28"/>
  <c r="CG28"/>
  <c r="J2"/>
  <c r="AG16"/>
  <c r="D12"/>
  <c r="AF14"/>
  <c r="G12"/>
  <c r="AX117"/>
  <c r="AW117"/>
  <c r="AY117"/>
  <c r="AZ117"/>
  <c r="AX118"/>
  <c r="AW118"/>
  <c r="AY118"/>
  <c r="AZ118"/>
  <c r="AX119"/>
  <c r="AW119"/>
  <c r="AY119"/>
  <c r="AZ119"/>
  <c r="AX120"/>
  <c r="AW120"/>
  <c r="AY120"/>
  <c r="AZ120"/>
  <c r="AX121"/>
  <c r="AW121"/>
  <c r="AY121"/>
  <c r="AZ121"/>
  <c r="AX122"/>
  <c r="AW122"/>
  <c r="AY122"/>
  <c r="AZ122"/>
  <c r="AX123"/>
  <c r="AW123"/>
  <c r="AY123"/>
  <c r="AZ123"/>
  <c r="AX124"/>
  <c r="AW124"/>
  <c r="AY124"/>
  <c r="AZ124"/>
  <c r="AX125"/>
  <c r="AW125"/>
  <c r="AY125"/>
  <c r="AZ125"/>
  <c r="AX126"/>
  <c r="AW126"/>
  <c r="AY126"/>
  <c r="AZ126"/>
  <c r="AX127"/>
  <c r="AW127"/>
  <c r="AY127"/>
  <c r="AZ127"/>
  <c r="AX128"/>
  <c r="AW128"/>
  <c r="AY128"/>
  <c r="AZ128"/>
  <c r="AX129"/>
  <c r="AW129"/>
  <c r="AY129"/>
  <c r="AZ129"/>
  <c r="AX130"/>
  <c r="AW130"/>
  <c r="AY130"/>
  <c r="AZ130"/>
  <c r="AZ131"/>
  <c r="AZ116"/>
  <c r="AZ132"/>
  <c r="AX98"/>
  <c r="AW98"/>
  <c r="AY98"/>
  <c r="AZ98"/>
  <c r="AX99"/>
  <c r="AW99"/>
  <c r="AY99"/>
  <c r="AZ99"/>
  <c r="AX100"/>
  <c r="AW100"/>
  <c r="AY100"/>
  <c r="AZ100"/>
  <c r="AX101"/>
  <c r="AW101"/>
  <c r="AY101"/>
  <c r="AZ101"/>
  <c r="AX102"/>
  <c r="AW102"/>
  <c r="AY102"/>
  <c r="AZ102"/>
  <c r="AX103"/>
  <c r="AW103"/>
  <c r="AY103"/>
  <c r="AZ103"/>
  <c r="AX104"/>
  <c r="AW104"/>
  <c r="AY104"/>
  <c r="AZ104"/>
  <c r="AX105"/>
  <c r="AW105"/>
  <c r="AY105"/>
  <c r="AZ105"/>
  <c r="AX106"/>
  <c r="AW106"/>
  <c r="AY106"/>
  <c r="AZ106"/>
  <c r="AX107"/>
  <c r="AW107"/>
  <c r="AY107"/>
  <c r="AZ107"/>
  <c r="AX108"/>
  <c r="AW108"/>
  <c r="AY108"/>
  <c r="AZ108"/>
  <c r="AX109"/>
  <c r="AW109"/>
  <c r="AY109"/>
  <c r="AZ109"/>
  <c r="AX110"/>
  <c r="AW110"/>
  <c r="AY110"/>
  <c r="AZ110"/>
  <c r="AX111"/>
  <c r="AW111"/>
  <c r="AY111"/>
  <c r="AZ111"/>
  <c r="AZ112"/>
  <c r="AZ114"/>
  <c r="AZ113"/>
  <c r="AX76"/>
  <c r="AW76"/>
  <c r="AY76"/>
  <c r="AZ76"/>
  <c r="AX77"/>
  <c r="AW77"/>
  <c r="AY77"/>
  <c r="AZ77"/>
  <c r="AX78"/>
  <c r="AW78"/>
  <c r="AY78"/>
  <c r="AZ78"/>
  <c r="AX79"/>
  <c r="AW79"/>
  <c r="AY79"/>
  <c r="AZ79"/>
  <c r="AX80"/>
  <c r="AW80"/>
  <c r="AY80"/>
  <c r="AZ80"/>
  <c r="AX81"/>
  <c r="AW81"/>
  <c r="AY81"/>
  <c r="AZ81"/>
  <c r="AX82"/>
  <c r="AW82"/>
  <c r="AY82"/>
  <c r="AZ82"/>
  <c r="AX83"/>
  <c r="AW83"/>
  <c r="AY83"/>
  <c r="AZ83"/>
  <c r="AX84"/>
  <c r="AW84"/>
  <c r="AY84"/>
  <c r="AZ84"/>
  <c r="AX85"/>
  <c r="AW85"/>
  <c r="AY85"/>
  <c r="AZ85"/>
  <c r="AX86"/>
  <c r="AW86"/>
  <c r="AY86"/>
  <c r="AZ86"/>
  <c r="AX87"/>
  <c r="AW87"/>
  <c r="AY87"/>
  <c r="AZ87"/>
  <c r="AX88"/>
  <c r="AW88"/>
  <c r="AY88"/>
  <c r="AZ88"/>
  <c r="AX89"/>
  <c r="AW89"/>
  <c r="AY89"/>
  <c r="AZ89"/>
  <c r="AZ90"/>
  <c r="AZ75"/>
  <c r="AZ91"/>
  <c r="AX57"/>
  <c r="AW57"/>
  <c r="AY57"/>
  <c r="AZ57"/>
  <c r="AX58"/>
  <c r="AW58"/>
  <c r="AY58"/>
  <c r="AZ58"/>
  <c r="AX59"/>
  <c r="AW59"/>
  <c r="AY59"/>
  <c r="AZ59"/>
  <c r="AX60"/>
  <c r="AW60"/>
  <c r="AY60"/>
  <c r="AZ60"/>
  <c r="AX61"/>
  <c r="AW61"/>
  <c r="AY61"/>
  <c r="AZ61"/>
  <c r="AX62"/>
  <c r="AW62"/>
  <c r="AY62"/>
  <c r="AZ62"/>
  <c r="AX63"/>
  <c r="AW63"/>
  <c r="AY63"/>
  <c r="AZ63"/>
  <c r="AX64"/>
  <c r="AW64"/>
  <c r="AY64"/>
  <c r="AZ64"/>
  <c r="AX65"/>
  <c r="AW65"/>
  <c r="AY65"/>
  <c r="AZ65"/>
  <c r="AX66"/>
  <c r="AW66"/>
  <c r="AY66"/>
  <c r="AZ66"/>
  <c r="AX67"/>
  <c r="AW67"/>
  <c r="AY67"/>
  <c r="AZ67"/>
  <c r="AX68"/>
  <c r="AW68"/>
  <c r="AY68"/>
  <c r="AZ68"/>
  <c r="AX69"/>
  <c r="AW69"/>
  <c r="AY69"/>
  <c r="AZ69"/>
  <c r="AX70"/>
  <c r="AW70"/>
  <c r="AY70"/>
  <c r="AZ70"/>
  <c r="AZ71"/>
  <c r="AZ73"/>
  <c r="AZ72"/>
  <c r="CK246"/>
  <c r="K246"/>
  <c r="CK245"/>
  <c r="K245"/>
  <c r="CK244"/>
  <c r="K244"/>
  <c r="CK243"/>
  <c r="K243"/>
  <c r="CK242"/>
  <c r="K242"/>
  <c r="CK241"/>
  <c r="K241"/>
  <c r="CK240"/>
  <c r="K240"/>
  <c r="CK239"/>
  <c r="K239"/>
  <c r="CK238"/>
  <c r="K238"/>
  <c r="CA19"/>
  <c r="A19"/>
  <c r="K180"/>
  <c r="H63"/>
  <c r="J198"/>
  <c r="J196"/>
  <c r="H80"/>
  <c r="H194"/>
  <c r="H79"/>
  <c r="H193"/>
  <c r="H78"/>
  <c r="H191"/>
  <c r="H77"/>
  <c r="H188"/>
  <c r="H76"/>
  <c r="A133"/>
  <c r="B173"/>
  <c r="B174"/>
  <c r="B175"/>
  <c r="B176"/>
  <c r="B177"/>
  <c r="B178"/>
  <c r="B179"/>
  <c r="B180"/>
  <c r="B181"/>
  <c r="B182"/>
  <c r="B183"/>
  <c r="B184"/>
  <c r="B185"/>
  <c r="B188"/>
  <c r="B189"/>
  <c r="B190"/>
  <c r="B191"/>
  <c r="B192"/>
  <c r="B193"/>
  <c r="B194"/>
  <c r="B195"/>
  <c r="B196"/>
  <c r="B197"/>
  <c r="B198"/>
  <c r="B199"/>
  <c r="B200"/>
  <c r="B132"/>
  <c r="I60"/>
  <c r="K60"/>
  <c r="I61"/>
  <c r="K61"/>
  <c r="I62"/>
  <c r="K62"/>
  <c r="I63"/>
  <c r="K63"/>
  <c r="I64"/>
  <c r="K64"/>
  <c r="I65"/>
  <c r="K65"/>
  <c r="J190"/>
  <c r="J188"/>
  <c r="F167"/>
  <c r="J183"/>
  <c r="J181"/>
  <c r="H71"/>
  <c r="H70"/>
  <c r="H177"/>
  <c r="H69"/>
  <c r="H175"/>
  <c r="H68"/>
  <c r="H173"/>
  <c r="H67"/>
  <c r="A4"/>
  <c r="J173"/>
  <c r="CI817"/>
  <c r="CH817"/>
  <c r="CG817"/>
  <c r="CF817"/>
  <c r="CE817"/>
  <c r="CD817"/>
  <c r="CA817"/>
  <c r="CI617"/>
  <c r="CH617"/>
  <c r="CG617"/>
  <c r="CF617"/>
  <c r="CE617"/>
  <c r="CD617"/>
  <c r="CA617"/>
  <c r="CI417"/>
  <c r="CH417"/>
  <c r="CG417"/>
  <c r="CF417"/>
  <c r="CE417"/>
  <c r="CD417"/>
  <c r="CA417"/>
  <c r="I817"/>
  <c r="H817"/>
  <c r="G817"/>
  <c r="F817"/>
  <c r="E817"/>
  <c r="D817"/>
  <c r="A817"/>
  <c r="I617"/>
  <c r="H617"/>
  <c r="G617"/>
  <c r="F617"/>
  <c r="E617"/>
  <c r="D617"/>
  <c r="A617"/>
  <c r="I417"/>
  <c r="H417"/>
  <c r="G417"/>
  <c r="F417"/>
  <c r="E417"/>
  <c r="D417"/>
  <c r="A417"/>
  <c r="CD505"/>
  <c r="CA505"/>
  <c r="D505"/>
  <c r="A505"/>
  <c r="CG504"/>
  <c r="CD504"/>
  <c r="CA504"/>
  <c r="G504"/>
  <c r="D504"/>
  <c r="A504"/>
  <c r="CG503"/>
  <c r="CD503"/>
  <c r="CA503"/>
  <c r="G503"/>
  <c r="D503"/>
  <c r="A503"/>
  <c r="CG502"/>
  <c r="CD502"/>
  <c r="CA502"/>
  <c r="G502"/>
  <c r="D502"/>
  <c r="A502"/>
  <c r="CI900"/>
  <c r="CH900"/>
  <c r="CG900"/>
  <c r="CF900"/>
  <c r="CE900"/>
  <c r="CD900"/>
  <c r="CA900"/>
  <c r="I900"/>
  <c r="H900"/>
  <c r="G900"/>
  <c r="F900"/>
  <c r="E900"/>
  <c r="D900"/>
  <c r="A900"/>
  <c r="CI899"/>
  <c r="CH899"/>
  <c r="CG899"/>
  <c r="CF899"/>
  <c r="CE899"/>
  <c r="CD899"/>
  <c r="CA899"/>
  <c r="I899"/>
  <c r="H899"/>
  <c r="G899"/>
  <c r="F899"/>
  <c r="E899"/>
  <c r="D899"/>
  <c r="A899"/>
  <c r="CI898"/>
  <c r="CH898"/>
  <c r="CG898"/>
  <c r="CF898"/>
  <c r="CE898"/>
  <c r="CD898"/>
  <c r="CA898"/>
  <c r="I898"/>
  <c r="H898"/>
  <c r="G898"/>
  <c r="F898"/>
  <c r="E898"/>
  <c r="D898"/>
  <c r="A898"/>
  <c r="CI897"/>
  <c r="CH897"/>
  <c r="CG897"/>
  <c r="CF897"/>
  <c r="CE897"/>
  <c r="CD897"/>
  <c r="CA897"/>
  <c r="I897"/>
  <c r="H897"/>
  <c r="G897"/>
  <c r="F897"/>
  <c r="E897"/>
  <c r="D897"/>
  <c r="A897"/>
  <c r="CI896"/>
  <c r="CH896"/>
  <c r="CG896"/>
  <c r="CF896"/>
  <c r="CE896"/>
  <c r="CD896"/>
  <c r="CA896"/>
  <c r="I896"/>
  <c r="H896"/>
  <c r="G896"/>
  <c r="F896"/>
  <c r="E896"/>
  <c r="D896"/>
  <c r="A896"/>
  <c r="CI894"/>
  <c r="CH894"/>
  <c r="CG894"/>
  <c r="CF894"/>
  <c r="CE894"/>
  <c r="CD894"/>
  <c r="CA894"/>
  <c r="I894"/>
  <c r="H894"/>
  <c r="G894"/>
  <c r="F894"/>
  <c r="E894"/>
  <c r="D894"/>
  <c r="A894"/>
  <c r="CI893"/>
  <c r="CH893"/>
  <c r="CG893"/>
  <c r="CF893"/>
  <c r="CE893"/>
  <c r="CD893"/>
  <c r="CA893"/>
  <c r="I893"/>
  <c r="H893"/>
  <c r="G893"/>
  <c r="F893"/>
  <c r="E893"/>
  <c r="D893"/>
  <c r="A893"/>
  <c r="CI892"/>
  <c r="CH892"/>
  <c r="CG892"/>
  <c r="CF892"/>
  <c r="CE892"/>
  <c r="CD892"/>
  <c r="CA892"/>
  <c r="I892"/>
  <c r="H892"/>
  <c r="G892"/>
  <c r="F892"/>
  <c r="E892"/>
  <c r="D892"/>
  <c r="A892"/>
  <c r="CI891"/>
  <c r="CH891"/>
  <c r="CG891"/>
  <c r="CF891"/>
  <c r="CE891"/>
  <c r="CD891"/>
  <c r="CA891"/>
  <c r="I891"/>
  <c r="H891"/>
  <c r="G891"/>
  <c r="F891"/>
  <c r="E891"/>
  <c r="D891"/>
  <c r="A891"/>
  <c r="CI890"/>
  <c r="CH890"/>
  <c r="CG890"/>
  <c r="CF890"/>
  <c r="CE890"/>
  <c r="CD890"/>
  <c r="CA890"/>
  <c r="I890"/>
  <c r="H890"/>
  <c r="G890"/>
  <c r="F890"/>
  <c r="E890"/>
  <c r="D890"/>
  <c r="A890"/>
  <c r="CI888"/>
  <c r="CH888"/>
  <c r="CG888"/>
  <c r="CF888"/>
  <c r="CE888"/>
  <c r="CD888"/>
  <c r="CA888"/>
  <c r="I888"/>
  <c r="H888"/>
  <c r="G888"/>
  <c r="F888"/>
  <c r="E888"/>
  <c r="D888"/>
  <c r="A888"/>
  <c r="CI887"/>
  <c r="CH887"/>
  <c r="CG887"/>
  <c r="CF887"/>
  <c r="CE887"/>
  <c r="CD887"/>
  <c r="CA887"/>
  <c r="I887"/>
  <c r="H887"/>
  <c r="G887"/>
  <c r="F887"/>
  <c r="E887"/>
  <c r="D887"/>
  <c r="A887"/>
  <c r="CI886"/>
  <c r="CH886"/>
  <c r="CG886"/>
  <c r="CF886"/>
  <c r="CE886"/>
  <c r="CD886"/>
  <c r="CA886"/>
  <c r="I886"/>
  <c r="H886"/>
  <c r="G886"/>
  <c r="F886"/>
  <c r="E886"/>
  <c r="D886"/>
  <c r="A886"/>
  <c r="CI885"/>
  <c r="CH885"/>
  <c r="CG885"/>
  <c r="CF885"/>
  <c r="CE885"/>
  <c r="CD885"/>
  <c r="CA885"/>
  <c r="I885"/>
  <c r="H885"/>
  <c r="G885"/>
  <c r="F885"/>
  <c r="E885"/>
  <c r="D885"/>
  <c r="A885"/>
  <c r="CI884"/>
  <c r="CH884"/>
  <c r="CG884"/>
  <c r="CF884"/>
  <c r="CE884"/>
  <c r="CD884"/>
  <c r="CA884"/>
  <c r="I884"/>
  <c r="H884"/>
  <c r="G884"/>
  <c r="F884"/>
  <c r="E884"/>
  <c r="D884"/>
  <c r="A884"/>
  <c r="CI882"/>
  <c r="CH882"/>
  <c r="CG882"/>
  <c r="CF882"/>
  <c r="CE882"/>
  <c r="CD882"/>
  <c r="CA882"/>
  <c r="I882"/>
  <c r="H882"/>
  <c r="G882"/>
  <c r="F882"/>
  <c r="E882"/>
  <c r="D882"/>
  <c r="A882"/>
  <c r="CI881"/>
  <c r="CH881"/>
  <c r="CG881"/>
  <c r="CF881"/>
  <c r="CE881"/>
  <c r="CD881"/>
  <c r="CA881"/>
  <c r="I881"/>
  <c r="H881"/>
  <c r="G881"/>
  <c r="F881"/>
  <c r="E881"/>
  <c r="D881"/>
  <c r="A881"/>
  <c r="CI880"/>
  <c r="CH880"/>
  <c r="CG880"/>
  <c r="CF880"/>
  <c r="CE880"/>
  <c r="CD880"/>
  <c r="CA880"/>
  <c r="I880"/>
  <c r="H880"/>
  <c r="G880"/>
  <c r="F880"/>
  <c r="E880"/>
  <c r="D880"/>
  <c r="A880"/>
  <c r="CI879"/>
  <c r="CH879"/>
  <c r="CG879"/>
  <c r="CF879"/>
  <c r="CE879"/>
  <c r="CD879"/>
  <c r="CA879"/>
  <c r="I879"/>
  <c r="H879"/>
  <c r="G879"/>
  <c r="F879"/>
  <c r="E879"/>
  <c r="D879"/>
  <c r="A879"/>
  <c r="CI878"/>
  <c r="CH878"/>
  <c r="CG878"/>
  <c r="CF878"/>
  <c r="CE878"/>
  <c r="CD878"/>
  <c r="CA878"/>
  <c r="I878"/>
  <c r="H878"/>
  <c r="G878"/>
  <c r="F878"/>
  <c r="E878"/>
  <c r="D878"/>
  <c r="A878"/>
  <c r="CI876"/>
  <c r="CH876"/>
  <c r="CG876"/>
  <c r="CF876"/>
  <c r="CE876"/>
  <c r="CD876"/>
  <c r="CA876"/>
  <c r="I876"/>
  <c r="H876"/>
  <c r="G876"/>
  <c r="F876"/>
  <c r="E876"/>
  <c r="D876"/>
  <c r="A876"/>
  <c r="CI875"/>
  <c r="CH875"/>
  <c r="CG875"/>
  <c r="CF875"/>
  <c r="CE875"/>
  <c r="CD875"/>
  <c r="CA875"/>
  <c r="I875"/>
  <c r="H875"/>
  <c r="G875"/>
  <c r="F875"/>
  <c r="E875"/>
  <c r="D875"/>
  <c r="A875"/>
  <c r="CI874"/>
  <c r="CH874"/>
  <c r="CG874"/>
  <c r="CF874"/>
  <c r="CE874"/>
  <c r="CD874"/>
  <c r="CA874"/>
  <c r="I874"/>
  <c r="H874"/>
  <c r="G874"/>
  <c r="F874"/>
  <c r="E874"/>
  <c r="D874"/>
  <c r="A874"/>
  <c r="CI873"/>
  <c r="CH873"/>
  <c r="CG873"/>
  <c r="CF873"/>
  <c r="CE873"/>
  <c r="CD873"/>
  <c r="CA873"/>
  <c r="I873"/>
  <c r="H873"/>
  <c r="G873"/>
  <c r="F873"/>
  <c r="E873"/>
  <c r="D873"/>
  <c r="A873"/>
  <c r="CI872"/>
  <c r="CH872"/>
  <c r="CG872"/>
  <c r="CF872"/>
  <c r="CE872"/>
  <c r="CD872"/>
  <c r="CA872"/>
  <c r="I872"/>
  <c r="H872"/>
  <c r="G872"/>
  <c r="F872"/>
  <c r="E872"/>
  <c r="D872"/>
  <c r="A872"/>
  <c r="CI870"/>
  <c r="CH870"/>
  <c r="CG870"/>
  <c r="CF870"/>
  <c r="CE870"/>
  <c r="CD870"/>
  <c r="CA870"/>
  <c r="I870"/>
  <c r="H870"/>
  <c r="G870"/>
  <c r="F870"/>
  <c r="E870"/>
  <c r="D870"/>
  <c r="A870"/>
  <c r="CI869"/>
  <c r="CH869"/>
  <c r="CG869"/>
  <c r="CF869"/>
  <c r="CE869"/>
  <c r="CD869"/>
  <c r="CA869"/>
  <c r="I869"/>
  <c r="H869"/>
  <c r="G869"/>
  <c r="F869"/>
  <c r="E869"/>
  <c r="D869"/>
  <c r="A869"/>
  <c r="CI868"/>
  <c r="CH868"/>
  <c r="CG868"/>
  <c r="CF868"/>
  <c r="CE868"/>
  <c r="CD868"/>
  <c r="CA868"/>
  <c r="I868"/>
  <c r="H868"/>
  <c r="G868"/>
  <c r="F868"/>
  <c r="E868"/>
  <c r="D868"/>
  <c r="A868"/>
  <c r="CI867"/>
  <c r="CH867"/>
  <c r="CG867"/>
  <c r="CF867"/>
  <c r="CE867"/>
  <c r="CD867"/>
  <c r="CA867"/>
  <c r="I867"/>
  <c r="H867"/>
  <c r="G867"/>
  <c r="F867"/>
  <c r="E867"/>
  <c r="D867"/>
  <c r="A867"/>
  <c r="CI866"/>
  <c r="CH866"/>
  <c r="CG866"/>
  <c r="CF866"/>
  <c r="CE866"/>
  <c r="CD866"/>
  <c r="CA866"/>
  <c r="I866"/>
  <c r="H866"/>
  <c r="G866"/>
  <c r="F866"/>
  <c r="E866"/>
  <c r="D866"/>
  <c r="A866"/>
  <c r="CI865"/>
  <c r="CH865"/>
  <c r="CG865"/>
  <c r="CF865"/>
  <c r="CE865"/>
  <c r="CD865"/>
  <c r="CA865"/>
  <c r="I865"/>
  <c r="H865"/>
  <c r="G865"/>
  <c r="F865"/>
  <c r="E865"/>
  <c r="D865"/>
  <c r="A865"/>
  <c r="CI864"/>
  <c r="CH864"/>
  <c r="CG864"/>
  <c r="CF864"/>
  <c r="CE864"/>
  <c r="CD864"/>
  <c r="CA864"/>
  <c r="I864"/>
  <c r="H864"/>
  <c r="G864"/>
  <c r="F864"/>
  <c r="E864"/>
  <c r="D864"/>
  <c r="A864"/>
  <c r="CI863"/>
  <c r="CH863"/>
  <c r="CG863"/>
  <c r="CF863"/>
  <c r="CE863"/>
  <c r="CD863"/>
  <c r="CA863"/>
  <c r="I863"/>
  <c r="H863"/>
  <c r="G863"/>
  <c r="F863"/>
  <c r="E863"/>
  <c r="D863"/>
  <c r="A863"/>
  <c r="CI862"/>
  <c r="CH862"/>
  <c r="CG862"/>
  <c r="CF862"/>
  <c r="CE862"/>
  <c r="CD862"/>
  <c r="CA862"/>
  <c r="I862"/>
  <c r="H862"/>
  <c r="G862"/>
  <c r="F862"/>
  <c r="E862"/>
  <c r="D862"/>
  <c r="A862"/>
  <c r="CI861"/>
  <c r="CH861"/>
  <c r="CG861"/>
  <c r="CF861"/>
  <c r="CE861"/>
  <c r="CD861"/>
  <c r="CA861"/>
  <c r="I861"/>
  <c r="H861"/>
  <c r="G861"/>
  <c r="F861"/>
  <c r="E861"/>
  <c r="D861"/>
  <c r="A861"/>
  <c r="CI860"/>
  <c r="CH860"/>
  <c r="CG860"/>
  <c r="CF860"/>
  <c r="CE860"/>
  <c r="CD860"/>
  <c r="CA860"/>
  <c r="I860"/>
  <c r="H860"/>
  <c r="G860"/>
  <c r="F860"/>
  <c r="E860"/>
  <c r="D860"/>
  <c r="A860"/>
  <c r="CI859"/>
  <c r="CH859"/>
  <c r="CG859"/>
  <c r="CF859"/>
  <c r="CE859"/>
  <c r="CD859"/>
  <c r="CA859"/>
  <c r="I859"/>
  <c r="H859"/>
  <c r="G859"/>
  <c r="F859"/>
  <c r="E859"/>
  <c r="D859"/>
  <c r="A859"/>
  <c r="CI857"/>
  <c r="CH857"/>
  <c r="CG857"/>
  <c r="CF857"/>
  <c r="CE857"/>
  <c r="CD857"/>
  <c r="CA857"/>
  <c r="I857"/>
  <c r="H857"/>
  <c r="G857"/>
  <c r="F857"/>
  <c r="E857"/>
  <c r="D857"/>
  <c r="A857"/>
  <c r="CI856"/>
  <c r="CH856"/>
  <c r="CG856"/>
  <c r="CF856"/>
  <c r="CE856"/>
  <c r="CD856"/>
  <c r="CA856"/>
  <c r="I856"/>
  <c r="H856"/>
  <c r="G856"/>
  <c r="F856"/>
  <c r="E856"/>
  <c r="D856"/>
  <c r="A856"/>
  <c r="CI855"/>
  <c r="CH855"/>
  <c r="CG855"/>
  <c r="CF855"/>
  <c r="CE855"/>
  <c r="CD855"/>
  <c r="CA855"/>
  <c r="I855"/>
  <c r="H855"/>
  <c r="G855"/>
  <c r="F855"/>
  <c r="E855"/>
  <c r="D855"/>
  <c r="A855"/>
  <c r="CI854"/>
  <c r="CH854"/>
  <c r="CG854"/>
  <c r="CF854"/>
  <c r="CE854"/>
  <c r="CD854"/>
  <c r="CA854"/>
  <c r="I854"/>
  <c r="H854"/>
  <c r="G854"/>
  <c r="F854"/>
  <c r="E854"/>
  <c r="D854"/>
  <c r="A854"/>
  <c r="CI853"/>
  <c r="CH853"/>
  <c r="CG853"/>
  <c r="CF853"/>
  <c r="CE853"/>
  <c r="CD853"/>
  <c r="CA853"/>
  <c r="I853"/>
  <c r="H853"/>
  <c r="G853"/>
  <c r="F853"/>
  <c r="E853"/>
  <c r="D853"/>
  <c r="A853"/>
  <c r="CI852"/>
  <c r="CH852"/>
  <c r="CG852"/>
  <c r="CF852"/>
  <c r="CE852"/>
  <c r="CD852"/>
  <c r="CA852"/>
  <c r="I852"/>
  <c r="H852"/>
  <c r="G852"/>
  <c r="F852"/>
  <c r="E852"/>
  <c r="D852"/>
  <c r="A852"/>
  <c r="CI851"/>
  <c r="CH851"/>
  <c r="CG851"/>
  <c r="CF851"/>
  <c r="CE851"/>
  <c r="CD851"/>
  <c r="CA851"/>
  <c r="I851"/>
  <c r="H851"/>
  <c r="G851"/>
  <c r="F851"/>
  <c r="E851"/>
  <c r="D851"/>
  <c r="A851"/>
  <c r="CI850"/>
  <c r="CH850"/>
  <c r="CG850"/>
  <c r="CF850"/>
  <c r="CE850"/>
  <c r="CD850"/>
  <c r="CA850"/>
  <c r="I850"/>
  <c r="H850"/>
  <c r="G850"/>
  <c r="F850"/>
  <c r="E850"/>
  <c r="D850"/>
  <c r="A850"/>
  <c r="CI849"/>
  <c r="CH849"/>
  <c r="CG849"/>
  <c r="CF849"/>
  <c r="CE849"/>
  <c r="CD849"/>
  <c r="CA849"/>
  <c r="I849"/>
  <c r="H849"/>
  <c r="G849"/>
  <c r="F849"/>
  <c r="E849"/>
  <c r="D849"/>
  <c r="A849"/>
  <c r="CI848"/>
  <c r="CH848"/>
  <c r="CG848"/>
  <c r="CF848"/>
  <c r="CE848"/>
  <c r="CD848"/>
  <c r="CA848"/>
  <c r="I848"/>
  <c r="H848"/>
  <c r="G848"/>
  <c r="F848"/>
  <c r="E848"/>
  <c r="D848"/>
  <c r="A848"/>
  <c r="CI847"/>
  <c r="CH847"/>
  <c r="CG847"/>
  <c r="CF847"/>
  <c r="CE847"/>
  <c r="CD847"/>
  <c r="CA847"/>
  <c r="I847"/>
  <c r="H847"/>
  <c r="G847"/>
  <c r="F847"/>
  <c r="E847"/>
  <c r="D847"/>
  <c r="A847"/>
  <c r="CI845"/>
  <c r="CH845"/>
  <c r="CG845"/>
  <c r="CF845"/>
  <c r="CE845"/>
  <c r="CD845"/>
  <c r="CA845"/>
  <c r="I845"/>
  <c r="H845"/>
  <c r="G845"/>
  <c r="F845"/>
  <c r="E845"/>
  <c r="D845"/>
  <c r="A845"/>
  <c r="CI844"/>
  <c r="CH844"/>
  <c r="CG844"/>
  <c r="CF844"/>
  <c r="CE844"/>
  <c r="CD844"/>
  <c r="CA844"/>
  <c r="I844"/>
  <c r="H844"/>
  <c r="G844"/>
  <c r="F844"/>
  <c r="E844"/>
  <c r="D844"/>
  <c r="A844"/>
  <c r="CI843"/>
  <c r="CH843"/>
  <c r="CG843"/>
  <c r="CF843"/>
  <c r="CE843"/>
  <c r="CD843"/>
  <c r="CA843"/>
  <c r="I843"/>
  <c r="H843"/>
  <c r="G843"/>
  <c r="F843"/>
  <c r="E843"/>
  <c r="D843"/>
  <c r="A843"/>
  <c r="CI842"/>
  <c r="CH842"/>
  <c r="CG842"/>
  <c r="CF842"/>
  <c r="CE842"/>
  <c r="CD842"/>
  <c r="CA842"/>
  <c r="I842"/>
  <c r="H842"/>
  <c r="G842"/>
  <c r="F842"/>
  <c r="E842"/>
  <c r="D842"/>
  <c r="A842"/>
  <c r="CI841"/>
  <c r="CH841"/>
  <c r="CG841"/>
  <c r="CF841"/>
  <c r="CE841"/>
  <c r="CD841"/>
  <c r="CA841"/>
  <c r="I841"/>
  <c r="H841"/>
  <c r="G841"/>
  <c r="F841"/>
  <c r="E841"/>
  <c r="D841"/>
  <c r="A841"/>
  <c r="CI840"/>
  <c r="CH840"/>
  <c r="CG840"/>
  <c r="CF840"/>
  <c r="CE840"/>
  <c r="CD840"/>
  <c r="CA840"/>
  <c r="I840"/>
  <c r="H840"/>
  <c r="G840"/>
  <c r="F840"/>
  <c r="E840"/>
  <c r="D840"/>
  <c r="A840"/>
  <c r="CI839"/>
  <c r="CH839"/>
  <c r="CG839"/>
  <c r="CF839"/>
  <c r="CE839"/>
  <c r="CD839"/>
  <c r="CA839"/>
  <c r="I839"/>
  <c r="H839"/>
  <c r="G839"/>
  <c r="F839"/>
  <c r="E839"/>
  <c r="D839"/>
  <c r="A839"/>
  <c r="CI838"/>
  <c r="CH838"/>
  <c r="CG838"/>
  <c r="CF838"/>
  <c r="CE838"/>
  <c r="CD838"/>
  <c r="CA838"/>
  <c r="I838"/>
  <c r="H838"/>
  <c r="G838"/>
  <c r="F838"/>
  <c r="E838"/>
  <c r="D838"/>
  <c r="A838"/>
  <c r="CI837"/>
  <c r="CH837"/>
  <c r="CG837"/>
  <c r="CF837"/>
  <c r="CE837"/>
  <c r="CD837"/>
  <c r="CA837"/>
  <c r="I837"/>
  <c r="H837"/>
  <c r="G837"/>
  <c r="F837"/>
  <c r="E837"/>
  <c r="D837"/>
  <c r="A837"/>
  <c r="CI836"/>
  <c r="CH836"/>
  <c r="CG836"/>
  <c r="CF836"/>
  <c r="CE836"/>
  <c r="CD836"/>
  <c r="CA836"/>
  <c r="I836"/>
  <c r="H836"/>
  <c r="G836"/>
  <c r="F836"/>
  <c r="E836"/>
  <c r="D836"/>
  <c r="A836"/>
  <c r="CI835"/>
  <c r="CH835"/>
  <c r="CG835"/>
  <c r="CF835"/>
  <c r="CE835"/>
  <c r="CD835"/>
  <c r="CA835"/>
  <c r="I835"/>
  <c r="H835"/>
  <c r="G835"/>
  <c r="F835"/>
  <c r="E835"/>
  <c r="D835"/>
  <c r="A835"/>
  <c r="CI834"/>
  <c r="CH834"/>
  <c r="CG834"/>
  <c r="CF834"/>
  <c r="CE834"/>
  <c r="CD834"/>
  <c r="CA834"/>
  <c r="I834"/>
  <c r="H834"/>
  <c r="G834"/>
  <c r="F834"/>
  <c r="E834"/>
  <c r="D834"/>
  <c r="A834"/>
  <c r="CI832"/>
  <c r="CH832"/>
  <c r="CG832"/>
  <c r="CF832"/>
  <c r="CE832"/>
  <c r="CD832"/>
  <c r="CA832"/>
  <c r="I832"/>
  <c r="H832"/>
  <c r="G832"/>
  <c r="F832"/>
  <c r="E832"/>
  <c r="D832"/>
  <c r="A832"/>
  <c r="CI831"/>
  <c r="CH831"/>
  <c r="CG831"/>
  <c r="CF831"/>
  <c r="CE831"/>
  <c r="CD831"/>
  <c r="CA831"/>
  <c r="I831"/>
  <c r="H831"/>
  <c r="G831"/>
  <c r="F831"/>
  <c r="E831"/>
  <c r="D831"/>
  <c r="A831"/>
  <c r="CI830"/>
  <c r="CH830"/>
  <c r="CG830"/>
  <c r="CF830"/>
  <c r="CE830"/>
  <c r="CD830"/>
  <c r="CA830"/>
  <c r="I830"/>
  <c r="H830"/>
  <c r="G830"/>
  <c r="F830"/>
  <c r="E830"/>
  <c r="D830"/>
  <c r="A830"/>
  <c r="CI829"/>
  <c r="CH829"/>
  <c r="CG829"/>
  <c r="CF829"/>
  <c r="CE829"/>
  <c r="CD829"/>
  <c r="CA829"/>
  <c r="I829"/>
  <c r="H829"/>
  <c r="G829"/>
  <c r="F829"/>
  <c r="E829"/>
  <c r="D829"/>
  <c r="A829"/>
  <c r="CI828"/>
  <c r="CH828"/>
  <c r="CG828"/>
  <c r="CF828"/>
  <c r="CE828"/>
  <c r="CD828"/>
  <c r="CA828"/>
  <c r="I828"/>
  <c r="H828"/>
  <c r="G828"/>
  <c r="F828"/>
  <c r="E828"/>
  <c r="D828"/>
  <c r="A828"/>
  <c r="CI827"/>
  <c r="CH827"/>
  <c r="CG827"/>
  <c r="CF827"/>
  <c r="CE827"/>
  <c r="CD827"/>
  <c r="CA827"/>
  <c r="I827"/>
  <c r="H827"/>
  <c r="G827"/>
  <c r="F827"/>
  <c r="E827"/>
  <c r="D827"/>
  <c r="A827"/>
  <c r="CI826"/>
  <c r="CH826"/>
  <c r="CG826"/>
  <c r="CF826"/>
  <c r="CE826"/>
  <c r="CD826"/>
  <c r="CA826"/>
  <c r="I826"/>
  <c r="H826"/>
  <c r="G826"/>
  <c r="F826"/>
  <c r="E826"/>
  <c r="D826"/>
  <c r="A826"/>
  <c r="CI825"/>
  <c r="CH825"/>
  <c r="CG825"/>
  <c r="CF825"/>
  <c r="CE825"/>
  <c r="CD825"/>
  <c r="CA825"/>
  <c r="I825"/>
  <c r="H825"/>
  <c r="G825"/>
  <c r="F825"/>
  <c r="E825"/>
  <c r="D825"/>
  <c r="A825"/>
  <c r="CI824"/>
  <c r="CH824"/>
  <c r="CG824"/>
  <c r="CF824"/>
  <c r="CE824"/>
  <c r="CD824"/>
  <c r="CA824"/>
  <c r="I824"/>
  <c r="H824"/>
  <c r="G824"/>
  <c r="F824"/>
  <c r="E824"/>
  <c r="D824"/>
  <c r="A824"/>
  <c r="CI823"/>
  <c r="CH823"/>
  <c r="CG823"/>
  <c r="CF823"/>
  <c r="CE823"/>
  <c r="CD823"/>
  <c r="CA823"/>
  <c r="I823"/>
  <c r="H823"/>
  <c r="G823"/>
  <c r="F823"/>
  <c r="E823"/>
  <c r="D823"/>
  <c r="A823"/>
  <c r="CI822"/>
  <c r="CH822"/>
  <c r="CG822"/>
  <c r="CF822"/>
  <c r="CE822"/>
  <c r="CD822"/>
  <c r="CA822"/>
  <c r="I822"/>
  <c r="H822"/>
  <c r="G822"/>
  <c r="F822"/>
  <c r="E822"/>
  <c r="D822"/>
  <c r="A822"/>
  <c r="CI821"/>
  <c r="CH821"/>
  <c r="CG821"/>
  <c r="CF821"/>
  <c r="CE821"/>
  <c r="CD821"/>
  <c r="CA821"/>
  <c r="I821"/>
  <c r="H821"/>
  <c r="G821"/>
  <c r="F821"/>
  <c r="E821"/>
  <c r="D821"/>
  <c r="A821"/>
  <c r="CI820"/>
  <c r="CH820"/>
  <c r="CG820"/>
  <c r="CF820"/>
  <c r="CE820"/>
  <c r="CD820"/>
  <c r="CA820"/>
  <c r="I820"/>
  <c r="H820"/>
  <c r="G820"/>
  <c r="F820"/>
  <c r="E820"/>
  <c r="D820"/>
  <c r="A820"/>
  <c r="CI819"/>
  <c r="CH819"/>
  <c r="CG819"/>
  <c r="CF819"/>
  <c r="CE819"/>
  <c r="CD819"/>
  <c r="CA819"/>
  <c r="I819"/>
  <c r="H819"/>
  <c r="G819"/>
  <c r="F819"/>
  <c r="E819"/>
  <c r="D819"/>
  <c r="A819"/>
  <c r="CI818"/>
  <c r="CH818"/>
  <c r="CG818"/>
  <c r="CF818"/>
  <c r="CE818"/>
  <c r="CD818"/>
  <c r="CA818"/>
  <c r="I818"/>
  <c r="H818"/>
  <c r="G818"/>
  <c r="F818"/>
  <c r="E818"/>
  <c r="D818"/>
  <c r="A818"/>
  <c r="CI815"/>
  <c r="CH815"/>
  <c r="CG815"/>
  <c r="CF815"/>
  <c r="CE815"/>
  <c r="CD815"/>
  <c r="CA815"/>
  <c r="I815"/>
  <c r="H815"/>
  <c r="G815"/>
  <c r="F815"/>
  <c r="E815"/>
  <c r="D815"/>
  <c r="A815"/>
  <c r="CI814"/>
  <c r="CH814"/>
  <c r="CG814"/>
  <c r="CF814"/>
  <c r="CE814"/>
  <c r="CD814"/>
  <c r="CA814"/>
  <c r="I814"/>
  <c r="H814"/>
  <c r="G814"/>
  <c r="F814"/>
  <c r="E814"/>
  <c r="D814"/>
  <c r="A814"/>
  <c r="CI813"/>
  <c r="CH813"/>
  <c r="CG813"/>
  <c r="CF813"/>
  <c r="CE813"/>
  <c r="CD813"/>
  <c r="CA813"/>
  <c r="I813"/>
  <c r="H813"/>
  <c r="G813"/>
  <c r="F813"/>
  <c r="E813"/>
  <c r="D813"/>
  <c r="A813"/>
  <c r="CI812"/>
  <c r="CH812"/>
  <c r="CG812"/>
  <c r="CF812"/>
  <c r="CE812"/>
  <c r="CD812"/>
  <c r="CA812"/>
  <c r="I812"/>
  <c r="H812"/>
  <c r="G812"/>
  <c r="F812"/>
  <c r="E812"/>
  <c r="D812"/>
  <c r="A812"/>
  <c r="CI811"/>
  <c r="CH811"/>
  <c r="CG811"/>
  <c r="CF811"/>
  <c r="CE811"/>
  <c r="CD811"/>
  <c r="CA811"/>
  <c r="I811"/>
  <c r="H811"/>
  <c r="G811"/>
  <c r="F811"/>
  <c r="E811"/>
  <c r="D811"/>
  <c r="A811"/>
  <c r="CI810"/>
  <c r="CH810"/>
  <c r="CG810"/>
  <c r="CF810"/>
  <c r="CE810"/>
  <c r="CD810"/>
  <c r="CA810"/>
  <c r="I810"/>
  <c r="H810"/>
  <c r="G810"/>
  <c r="F810"/>
  <c r="E810"/>
  <c r="D810"/>
  <c r="A810"/>
  <c r="CI809"/>
  <c r="CH809"/>
  <c r="CG809"/>
  <c r="CF809"/>
  <c r="CE809"/>
  <c r="CD809"/>
  <c r="CA809"/>
  <c r="I809"/>
  <c r="H809"/>
  <c r="G809"/>
  <c r="F809"/>
  <c r="E809"/>
  <c r="D809"/>
  <c r="A809"/>
  <c r="CI808"/>
  <c r="CH808"/>
  <c r="CG808"/>
  <c r="CF808"/>
  <c r="CE808"/>
  <c r="CD808"/>
  <c r="CA808"/>
  <c r="I808"/>
  <c r="H808"/>
  <c r="G808"/>
  <c r="F808"/>
  <c r="E808"/>
  <c r="D808"/>
  <c r="A808"/>
  <c r="CI807"/>
  <c r="CH807"/>
  <c r="CG807"/>
  <c r="CF807"/>
  <c r="CE807"/>
  <c r="CD807"/>
  <c r="CA807"/>
  <c r="I807"/>
  <c r="H807"/>
  <c r="G807"/>
  <c r="F807"/>
  <c r="E807"/>
  <c r="D807"/>
  <c r="A807"/>
  <c r="CI806"/>
  <c r="CH806"/>
  <c r="CG806"/>
  <c r="CF806"/>
  <c r="CE806"/>
  <c r="CD806"/>
  <c r="CA806"/>
  <c r="I806"/>
  <c r="H806"/>
  <c r="G806"/>
  <c r="F806"/>
  <c r="E806"/>
  <c r="D806"/>
  <c r="A806"/>
  <c r="CI805"/>
  <c r="CH805"/>
  <c r="CG805"/>
  <c r="CF805"/>
  <c r="CE805"/>
  <c r="CD805"/>
  <c r="CA805"/>
  <c r="I805"/>
  <c r="H805"/>
  <c r="G805"/>
  <c r="F805"/>
  <c r="E805"/>
  <c r="D805"/>
  <c r="A805"/>
  <c r="CI804"/>
  <c r="CH804"/>
  <c r="CG804"/>
  <c r="CF804"/>
  <c r="CE804"/>
  <c r="CD804"/>
  <c r="CA804"/>
  <c r="I804"/>
  <c r="H804"/>
  <c r="G804"/>
  <c r="F804"/>
  <c r="E804"/>
  <c r="D804"/>
  <c r="A804"/>
  <c r="CI802"/>
  <c r="CH802"/>
  <c r="CG802"/>
  <c r="CF802"/>
  <c r="CE802"/>
  <c r="CD802"/>
  <c r="CA802"/>
  <c r="I802"/>
  <c r="H802"/>
  <c r="G802"/>
  <c r="F802"/>
  <c r="E802"/>
  <c r="D802"/>
  <c r="A802"/>
  <c r="CI801"/>
  <c r="CH801"/>
  <c r="CG801"/>
  <c r="CF801"/>
  <c r="CE801"/>
  <c r="CD801"/>
  <c r="CA801"/>
  <c r="I801"/>
  <c r="H801"/>
  <c r="G801"/>
  <c r="F801"/>
  <c r="E801"/>
  <c r="D801"/>
  <c r="A801"/>
  <c r="CI800"/>
  <c r="CH800"/>
  <c r="CG800"/>
  <c r="CF800"/>
  <c r="CE800"/>
  <c r="CD800"/>
  <c r="CA800"/>
  <c r="I800"/>
  <c r="H800"/>
  <c r="G800"/>
  <c r="F800"/>
  <c r="E800"/>
  <c r="D800"/>
  <c r="A800"/>
  <c r="CI799"/>
  <c r="CH799"/>
  <c r="CG799"/>
  <c r="CF799"/>
  <c r="CE799"/>
  <c r="CD799"/>
  <c r="CA799"/>
  <c r="I799"/>
  <c r="H799"/>
  <c r="G799"/>
  <c r="F799"/>
  <c r="E799"/>
  <c r="D799"/>
  <c r="A799"/>
  <c r="CI798"/>
  <c r="CH798"/>
  <c r="CG798"/>
  <c r="CF798"/>
  <c r="CE798"/>
  <c r="CD798"/>
  <c r="CA798"/>
  <c r="I798"/>
  <c r="H798"/>
  <c r="G798"/>
  <c r="F798"/>
  <c r="E798"/>
  <c r="D798"/>
  <c r="A798"/>
  <c r="CI797"/>
  <c r="CH797"/>
  <c r="CG797"/>
  <c r="CF797"/>
  <c r="CE797"/>
  <c r="CD797"/>
  <c r="CA797"/>
  <c r="I797"/>
  <c r="H797"/>
  <c r="G797"/>
  <c r="F797"/>
  <c r="E797"/>
  <c r="D797"/>
  <c r="A797"/>
  <c r="CI796"/>
  <c r="CH796"/>
  <c r="CG796"/>
  <c r="CF796"/>
  <c r="CE796"/>
  <c r="CD796"/>
  <c r="CA796"/>
  <c r="I796"/>
  <c r="H796"/>
  <c r="G796"/>
  <c r="F796"/>
  <c r="E796"/>
  <c r="D796"/>
  <c r="A796"/>
  <c r="CI795"/>
  <c r="CH795"/>
  <c r="CG795"/>
  <c r="CF795"/>
  <c r="CE795"/>
  <c r="CD795"/>
  <c r="CA795"/>
  <c r="I795"/>
  <c r="H795"/>
  <c r="G795"/>
  <c r="F795"/>
  <c r="E795"/>
  <c r="D795"/>
  <c r="A795"/>
  <c r="CI794"/>
  <c r="CH794"/>
  <c r="CG794"/>
  <c r="CF794"/>
  <c r="CE794"/>
  <c r="CD794"/>
  <c r="CA794"/>
  <c r="I794"/>
  <c r="H794"/>
  <c r="G794"/>
  <c r="F794"/>
  <c r="E794"/>
  <c r="D794"/>
  <c r="A794"/>
  <c r="CI793"/>
  <c r="CH793"/>
  <c r="CG793"/>
  <c r="CF793"/>
  <c r="CE793"/>
  <c r="CD793"/>
  <c r="CA793"/>
  <c r="I793"/>
  <c r="H793"/>
  <c r="G793"/>
  <c r="F793"/>
  <c r="E793"/>
  <c r="D793"/>
  <c r="A793"/>
  <c r="CI792"/>
  <c r="CH792"/>
  <c r="CG792"/>
  <c r="CF792"/>
  <c r="CE792"/>
  <c r="CD792"/>
  <c r="CA792"/>
  <c r="I792"/>
  <c r="H792"/>
  <c r="G792"/>
  <c r="F792"/>
  <c r="E792"/>
  <c r="D792"/>
  <c r="A792"/>
  <c r="CI791"/>
  <c r="CH791"/>
  <c r="CG791"/>
  <c r="CF791"/>
  <c r="CE791"/>
  <c r="CD791"/>
  <c r="CA791"/>
  <c r="I791"/>
  <c r="H791"/>
  <c r="G791"/>
  <c r="F791"/>
  <c r="E791"/>
  <c r="D791"/>
  <c r="A791"/>
  <c r="CI790"/>
  <c r="CH790"/>
  <c r="CG790"/>
  <c r="CF790"/>
  <c r="CE790"/>
  <c r="CD790"/>
  <c r="CA790"/>
  <c r="I790"/>
  <c r="H790"/>
  <c r="G790"/>
  <c r="F790"/>
  <c r="E790"/>
  <c r="D790"/>
  <c r="A790"/>
  <c r="CI789"/>
  <c r="CH789"/>
  <c r="CG789"/>
  <c r="CF789"/>
  <c r="CE789"/>
  <c r="CD789"/>
  <c r="CA789"/>
  <c r="I789"/>
  <c r="H789"/>
  <c r="G789"/>
  <c r="F789"/>
  <c r="E789"/>
  <c r="D789"/>
  <c r="A789"/>
  <c r="CI788"/>
  <c r="CH788"/>
  <c r="CG788"/>
  <c r="CF788"/>
  <c r="CE788"/>
  <c r="CD788"/>
  <c r="CA788"/>
  <c r="I788"/>
  <c r="H788"/>
  <c r="G788"/>
  <c r="F788"/>
  <c r="E788"/>
  <c r="D788"/>
  <c r="A788"/>
  <c r="CI787"/>
  <c r="CH787"/>
  <c r="CG787"/>
  <c r="CF787"/>
  <c r="CE787"/>
  <c r="CD787"/>
  <c r="CA787"/>
  <c r="I787"/>
  <c r="H787"/>
  <c r="G787"/>
  <c r="F787"/>
  <c r="E787"/>
  <c r="D787"/>
  <c r="A787"/>
  <c r="CI786"/>
  <c r="CH786"/>
  <c r="CG786"/>
  <c r="CF786"/>
  <c r="CE786"/>
  <c r="CD786"/>
  <c r="CA786"/>
  <c r="I786"/>
  <c r="H786"/>
  <c r="G786"/>
  <c r="F786"/>
  <c r="E786"/>
  <c r="D786"/>
  <c r="A786"/>
  <c r="CI785"/>
  <c r="CH785"/>
  <c r="CG785"/>
  <c r="CF785"/>
  <c r="CE785"/>
  <c r="CD785"/>
  <c r="CA785"/>
  <c r="I785"/>
  <c r="H785"/>
  <c r="G785"/>
  <c r="F785"/>
  <c r="E785"/>
  <c r="D785"/>
  <c r="A785"/>
  <c r="CI784"/>
  <c r="CH784"/>
  <c r="CG784"/>
  <c r="CF784"/>
  <c r="CE784"/>
  <c r="CD784"/>
  <c r="CA784"/>
  <c r="I784"/>
  <c r="H784"/>
  <c r="G784"/>
  <c r="F784"/>
  <c r="E784"/>
  <c r="D784"/>
  <c r="A784"/>
  <c r="CI782"/>
  <c r="CH782"/>
  <c r="CG782"/>
  <c r="CF782"/>
  <c r="CE782"/>
  <c r="CD782"/>
  <c r="CA782"/>
  <c r="I782"/>
  <c r="H782"/>
  <c r="G782"/>
  <c r="F782"/>
  <c r="E782"/>
  <c r="D782"/>
  <c r="A782"/>
  <c r="CI781"/>
  <c r="CH781"/>
  <c r="CG781"/>
  <c r="CF781"/>
  <c r="CE781"/>
  <c r="CD781"/>
  <c r="CA781"/>
  <c r="I781"/>
  <c r="H781"/>
  <c r="G781"/>
  <c r="F781"/>
  <c r="E781"/>
  <c r="D781"/>
  <c r="A781"/>
  <c r="CI780"/>
  <c r="CH780"/>
  <c r="CG780"/>
  <c r="CF780"/>
  <c r="CE780"/>
  <c r="CD780"/>
  <c r="CA780"/>
  <c r="I780"/>
  <c r="H780"/>
  <c r="G780"/>
  <c r="F780"/>
  <c r="E780"/>
  <c r="D780"/>
  <c r="A780"/>
  <c r="CI779"/>
  <c r="CH779"/>
  <c r="CG779"/>
  <c r="CF779"/>
  <c r="CE779"/>
  <c r="CD779"/>
  <c r="CA779"/>
  <c r="I779"/>
  <c r="H779"/>
  <c r="G779"/>
  <c r="F779"/>
  <c r="E779"/>
  <c r="D779"/>
  <c r="A779"/>
  <c r="CI778"/>
  <c r="CH778"/>
  <c r="CG778"/>
  <c r="CF778"/>
  <c r="CE778"/>
  <c r="CD778"/>
  <c r="CA778"/>
  <c r="I778"/>
  <c r="H778"/>
  <c r="G778"/>
  <c r="F778"/>
  <c r="E778"/>
  <c r="D778"/>
  <c r="A778"/>
  <c r="CI777"/>
  <c r="CH777"/>
  <c r="CG777"/>
  <c r="CF777"/>
  <c r="CE777"/>
  <c r="CD777"/>
  <c r="CA777"/>
  <c r="I777"/>
  <c r="H777"/>
  <c r="G777"/>
  <c r="F777"/>
  <c r="E777"/>
  <c r="D777"/>
  <c r="A777"/>
  <c r="CI776"/>
  <c r="CH776"/>
  <c r="CG776"/>
  <c r="CF776"/>
  <c r="CE776"/>
  <c r="CD776"/>
  <c r="CA776"/>
  <c r="I776"/>
  <c r="H776"/>
  <c r="G776"/>
  <c r="F776"/>
  <c r="E776"/>
  <c r="D776"/>
  <c r="A776"/>
  <c r="CI775"/>
  <c r="CH775"/>
  <c r="CG775"/>
  <c r="CF775"/>
  <c r="CE775"/>
  <c r="CD775"/>
  <c r="CA775"/>
  <c r="I775"/>
  <c r="H775"/>
  <c r="G775"/>
  <c r="F775"/>
  <c r="E775"/>
  <c r="D775"/>
  <c r="A775"/>
  <c r="CI774"/>
  <c r="CH774"/>
  <c r="CG774"/>
  <c r="CF774"/>
  <c r="CE774"/>
  <c r="CD774"/>
  <c r="CA774"/>
  <c r="I774"/>
  <c r="H774"/>
  <c r="G774"/>
  <c r="F774"/>
  <c r="E774"/>
  <c r="D774"/>
  <c r="A774"/>
  <c r="CI773"/>
  <c r="CH773"/>
  <c r="CG773"/>
  <c r="CF773"/>
  <c r="CE773"/>
  <c r="CD773"/>
  <c r="CA773"/>
  <c r="I773"/>
  <c r="H773"/>
  <c r="G773"/>
  <c r="F773"/>
  <c r="E773"/>
  <c r="D773"/>
  <c r="A773"/>
  <c r="CI772"/>
  <c r="CH772"/>
  <c r="CG772"/>
  <c r="CF772"/>
  <c r="CE772"/>
  <c r="CD772"/>
  <c r="CA772"/>
  <c r="I772"/>
  <c r="H772"/>
  <c r="G772"/>
  <c r="F772"/>
  <c r="E772"/>
  <c r="D772"/>
  <c r="A772"/>
  <c r="CI771"/>
  <c r="CH771"/>
  <c r="CG771"/>
  <c r="CF771"/>
  <c r="CE771"/>
  <c r="CD771"/>
  <c r="CA771"/>
  <c r="I771"/>
  <c r="H771"/>
  <c r="G771"/>
  <c r="F771"/>
  <c r="E771"/>
  <c r="D771"/>
  <c r="A771"/>
  <c r="CI770"/>
  <c r="CH770"/>
  <c r="CG770"/>
  <c r="CF770"/>
  <c r="CE770"/>
  <c r="CD770"/>
  <c r="CA770"/>
  <c r="I770"/>
  <c r="H770"/>
  <c r="G770"/>
  <c r="F770"/>
  <c r="E770"/>
  <c r="D770"/>
  <c r="A770"/>
  <c r="CI769"/>
  <c r="CH769"/>
  <c r="CG769"/>
  <c r="CF769"/>
  <c r="CE769"/>
  <c r="CD769"/>
  <c r="CA769"/>
  <c r="I769"/>
  <c r="H769"/>
  <c r="G769"/>
  <c r="F769"/>
  <c r="E769"/>
  <c r="D769"/>
  <c r="A769"/>
  <c r="CI768"/>
  <c r="CH768"/>
  <c r="CG768"/>
  <c r="CF768"/>
  <c r="CE768"/>
  <c r="CD768"/>
  <c r="CA768"/>
  <c r="I768"/>
  <c r="H768"/>
  <c r="G768"/>
  <c r="F768"/>
  <c r="E768"/>
  <c r="D768"/>
  <c r="A768"/>
  <c r="CI767"/>
  <c r="CH767"/>
  <c r="CG767"/>
  <c r="CF767"/>
  <c r="CE767"/>
  <c r="CD767"/>
  <c r="CA767"/>
  <c r="I767"/>
  <c r="H767"/>
  <c r="G767"/>
  <c r="F767"/>
  <c r="E767"/>
  <c r="D767"/>
  <c r="A767"/>
  <c r="CI766"/>
  <c r="CH766"/>
  <c r="CG766"/>
  <c r="CF766"/>
  <c r="CE766"/>
  <c r="CD766"/>
  <c r="CA766"/>
  <c r="I766"/>
  <c r="H766"/>
  <c r="G766"/>
  <c r="F766"/>
  <c r="E766"/>
  <c r="D766"/>
  <c r="A766"/>
  <c r="CI765"/>
  <c r="CH765"/>
  <c r="CG765"/>
  <c r="CF765"/>
  <c r="CE765"/>
  <c r="CD765"/>
  <c r="CA765"/>
  <c r="I765"/>
  <c r="H765"/>
  <c r="G765"/>
  <c r="F765"/>
  <c r="E765"/>
  <c r="D765"/>
  <c r="A765"/>
  <c r="CI763"/>
  <c r="CH763"/>
  <c r="CG763"/>
  <c r="CF763"/>
  <c r="CE763"/>
  <c r="CD763"/>
  <c r="CA763"/>
  <c r="I763"/>
  <c r="H763"/>
  <c r="G763"/>
  <c r="F763"/>
  <c r="E763"/>
  <c r="D763"/>
  <c r="A763"/>
  <c r="CI762"/>
  <c r="CH762"/>
  <c r="CG762"/>
  <c r="CF762"/>
  <c r="CE762"/>
  <c r="CD762"/>
  <c r="CA762"/>
  <c r="I762"/>
  <c r="H762"/>
  <c r="G762"/>
  <c r="F762"/>
  <c r="E762"/>
  <c r="D762"/>
  <c r="A762"/>
  <c r="CI761"/>
  <c r="CH761"/>
  <c r="CG761"/>
  <c r="CF761"/>
  <c r="CE761"/>
  <c r="CD761"/>
  <c r="CA761"/>
  <c r="I761"/>
  <c r="H761"/>
  <c r="G761"/>
  <c r="F761"/>
  <c r="E761"/>
  <c r="D761"/>
  <c r="A761"/>
  <c r="CI760"/>
  <c r="CH760"/>
  <c r="CG760"/>
  <c r="CF760"/>
  <c r="CE760"/>
  <c r="CD760"/>
  <c r="CA760"/>
  <c r="I760"/>
  <c r="H760"/>
  <c r="G760"/>
  <c r="F760"/>
  <c r="E760"/>
  <c r="D760"/>
  <c r="A760"/>
  <c r="CI759"/>
  <c r="CH759"/>
  <c r="CG759"/>
  <c r="CF759"/>
  <c r="CE759"/>
  <c r="CD759"/>
  <c r="CA759"/>
  <c r="I759"/>
  <c r="H759"/>
  <c r="G759"/>
  <c r="F759"/>
  <c r="E759"/>
  <c r="D759"/>
  <c r="A759"/>
  <c r="CI758"/>
  <c r="CH758"/>
  <c r="CG758"/>
  <c r="CF758"/>
  <c r="CE758"/>
  <c r="CD758"/>
  <c r="CA758"/>
  <c r="I758"/>
  <c r="H758"/>
  <c r="G758"/>
  <c r="F758"/>
  <c r="E758"/>
  <c r="D758"/>
  <c r="A758"/>
  <c r="CI757"/>
  <c r="CH757"/>
  <c r="CG757"/>
  <c r="CF757"/>
  <c r="CE757"/>
  <c r="CD757"/>
  <c r="CA757"/>
  <c r="I757"/>
  <c r="H757"/>
  <c r="G757"/>
  <c r="F757"/>
  <c r="E757"/>
  <c r="D757"/>
  <c r="A757"/>
  <c r="CI756"/>
  <c r="CH756"/>
  <c r="CG756"/>
  <c r="CF756"/>
  <c r="CE756"/>
  <c r="CD756"/>
  <c r="CA756"/>
  <c r="I756"/>
  <c r="H756"/>
  <c r="G756"/>
  <c r="F756"/>
  <c r="E756"/>
  <c r="D756"/>
  <c r="A756"/>
  <c r="CI755"/>
  <c r="CH755"/>
  <c r="CG755"/>
  <c r="CF755"/>
  <c r="CE755"/>
  <c r="CD755"/>
  <c r="CA755"/>
  <c r="I755"/>
  <c r="H755"/>
  <c r="G755"/>
  <c r="F755"/>
  <c r="E755"/>
  <c r="D755"/>
  <c r="A755"/>
  <c r="CI754"/>
  <c r="CH754"/>
  <c r="CG754"/>
  <c r="CF754"/>
  <c r="CE754"/>
  <c r="CD754"/>
  <c r="CA754"/>
  <c r="I754"/>
  <c r="H754"/>
  <c r="G754"/>
  <c r="F754"/>
  <c r="E754"/>
  <c r="D754"/>
  <c r="A754"/>
  <c r="CI753"/>
  <c r="CH753"/>
  <c r="CG753"/>
  <c r="CF753"/>
  <c r="CE753"/>
  <c r="CD753"/>
  <c r="CA753"/>
  <c r="I753"/>
  <c r="H753"/>
  <c r="G753"/>
  <c r="F753"/>
  <c r="E753"/>
  <c r="D753"/>
  <c r="A753"/>
  <c r="CI752"/>
  <c r="CH752"/>
  <c r="CG752"/>
  <c r="CF752"/>
  <c r="CE752"/>
  <c r="CD752"/>
  <c r="CA752"/>
  <c r="I752"/>
  <c r="H752"/>
  <c r="G752"/>
  <c r="F752"/>
  <c r="E752"/>
  <c r="D752"/>
  <c r="A752"/>
  <c r="CI751"/>
  <c r="CH751"/>
  <c r="CG751"/>
  <c r="CF751"/>
  <c r="CE751"/>
  <c r="CD751"/>
  <c r="CA751"/>
  <c r="I751"/>
  <c r="H751"/>
  <c r="G751"/>
  <c r="F751"/>
  <c r="E751"/>
  <c r="D751"/>
  <c r="A751"/>
  <c r="CI750"/>
  <c r="CH750"/>
  <c r="CG750"/>
  <c r="CF750"/>
  <c r="CE750"/>
  <c r="CD750"/>
  <c r="CA750"/>
  <c r="I750"/>
  <c r="H750"/>
  <c r="G750"/>
  <c r="F750"/>
  <c r="E750"/>
  <c r="D750"/>
  <c r="A750"/>
  <c r="CI749"/>
  <c r="CH749"/>
  <c r="CG749"/>
  <c r="CF749"/>
  <c r="CE749"/>
  <c r="CD749"/>
  <c r="CA749"/>
  <c r="I749"/>
  <c r="H749"/>
  <c r="G749"/>
  <c r="F749"/>
  <c r="E749"/>
  <c r="D749"/>
  <c r="A749"/>
  <c r="CI748"/>
  <c r="CH748"/>
  <c r="CG748"/>
  <c r="CF748"/>
  <c r="CE748"/>
  <c r="CD748"/>
  <c r="CA748"/>
  <c r="I748"/>
  <c r="H748"/>
  <c r="G748"/>
  <c r="F748"/>
  <c r="E748"/>
  <c r="D748"/>
  <c r="A748"/>
  <c r="CI747"/>
  <c r="CH747"/>
  <c r="CG747"/>
  <c r="CF747"/>
  <c r="CE747"/>
  <c r="CD747"/>
  <c r="CA747"/>
  <c r="I747"/>
  <c r="H747"/>
  <c r="G747"/>
  <c r="F747"/>
  <c r="E747"/>
  <c r="D747"/>
  <c r="A747"/>
  <c r="CI746"/>
  <c r="CH746"/>
  <c r="CG746"/>
  <c r="CF746"/>
  <c r="CE746"/>
  <c r="CD746"/>
  <c r="CA746"/>
  <c r="I746"/>
  <c r="H746"/>
  <c r="G746"/>
  <c r="F746"/>
  <c r="E746"/>
  <c r="D746"/>
  <c r="A746"/>
  <c r="CI745"/>
  <c r="CH745"/>
  <c r="CG745"/>
  <c r="CF745"/>
  <c r="CE745"/>
  <c r="CD745"/>
  <c r="CA745"/>
  <c r="I745"/>
  <c r="H745"/>
  <c r="G745"/>
  <c r="F745"/>
  <c r="E745"/>
  <c r="D745"/>
  <c r="A745"/>
  <c r="CI744"/>
  <c r="CH744"/>
  <c r="CG744"/>
  <c r="CF744"/>
  <c r="CE744"/>
  <c r="CD744"/>
  <c r="CA744"/>
  <c r="I744"/>
  <c r="H744"/>
  <c r="G744"/>
  <c r="F744"/>
  <c r="E744"/>
  <c r="D744"/>
  <c r="A744"/>
  <c r="CI743"/>
  <c r="CH743"/>
  <c r="CG743"/>
  <c r="CF743"/>
  <c r="CE743"/>
  <c r="CD743"/>
  <c r="CA743"/>
  <c r="I743"/>
  <c r="H743"/>
  <c r="G743"/>
  <c r="F743"/>
  <c r="E743"/>
  <c r="D743"/>
  <c r="A743"/>
  <c r="CI741"/>
  <c r="CH741"/>
  <c r="CG741"/>
  <c r="CF741"/>
  <c r="CE741"/>
  <c r="CD741"/>
  <c r="CA741"/>
  <c r="I741"/>
  <c r="H741"/>
  <c r="G741"/>
  <c r="F741"/>
  <c r="E741"/>
  <c r="D741"/>
  <c r="A741"/>
  <c r="CI740"/>
  <c r="CH740"/>
  <c r="CG740"/>
  <c r="CF740"/>
  <c r="CE740"/>
  <c r="CD740"/>
  <c r="CA740"/>
  <c r="I740"/>
  <c r="H740"/>
  <c r="G740"/>
  <c r="F740"/>
  <c r="E740"/>
  <c r="D740"/>
  <c r="A740"/>
  <c r="CI739"/>
  <c r="CH739"/>
  <c r="CG739"/>
  <c r="CF739"/>
  <c r="CE739"/>
  <c r="CD739"/>
  <c r="CA739"/>
  <c r="I739"/>
  <c r="H739"/>
  <c r="G739"/>
  <c r="F739"/>
  <c r="E739"/>
  <c r="D739"/>
  <c r="A739"/>
  <c r="CI738"/>
  <c r="CH738"/>
  <c r="CG738"/>
  <c r="CF738"/>
  <c r="CE738"/>
  <c r="CD738"/>
  <c r="CA738"/>
  <c r="I738"/>
  <c r="H738"/>
  <c r="G738"/>
  <c r="F738"/>
  <c r="E738"/>
  <c r="D738"/>
  <c r="A738"/>
  <c r="CI737"/>
  <c r="CH737"/>
  <c r="CG737"/>
  <c r="CF737"/>
  <c r="CE737"/>
  <c r="CD737"/>
  <c r="CA737"/>
  <c r="I737"/>
  <c r="H737"/>
  <c r="G737"/>
  <c r="F737"/>
  <c r="E737"/>
  <c r="D737"/>
  <c r="A737"/>
  <c r="CI736"/>
  <c r="CH736"/>
  <c r="CG736"/>
  <c r="CF736"/>
  <c r="CE736"/>
  <c r="CD736"/>
  <c r="CA736"/>
  <c r="I736"/>
  <c r="H736"/>
  <c r="G736"/>
  <c r="F736"/>
  <c r="E736"/>
  <c r="D736"/>
  <c r="A736"/>
  <c r="CI735"/>
  <c r="CH735"/>
  <c r="CG735"/>
  <c r="CF735"/>
  <c r="CE735"/>
  <c r="CD735"/>
  <c r="CA735"/>
  <c r="I735"/>
  <c r="H735"/>
  <c r="G735"/>
  <c r="F735"/>
  <c r="E735"/>
  <c r="D735"/>
  <c r="A735"/>
  <c r="CI734"/>
  <c r="CH734"/>
  <c r="CG734"/>
  <c r="CF734"/>
  <c r="CE734"/>
  <c r="CD734"/>
  <c r="CA734"/>
  <c r="I734"/>
  <c r="H734"/>
  <c r="G734"/>
  <c r="F734"/>
  <c r="E734"/>
  <c r="D734"/>
  <c r="A734"/>
  <c r="CI733"/>
  <c r="CH733"/>
  <c r="CG733"/>
  <c r="CF733"/>
  <c r="CE733"/>
  <c r="CD733"/>
  <c r="CA733"/>
  <c r="I733"/>
  <c r="H733"/>
  <c r="G733"/>
  <c r="F733"/>
  <c r="E733"/>
  <c r="D733"/>
  <c r="A733"/>
  <c r="CI732"/>
  <c r="CH732"/>
  <c r="CG732"/>
  <c r="CF732"/>
  <c r="CE732"/>
  <c r="CD732"/>
  <c r="CA732"/>
  <c r="I732"/>
  <c r="H732"/>
  <c r="G732"/>
  <c r="F732"/>
  <c r="E732"/>
  <c r="D732"/>
  <c r="A732"/>
  <c r="CI731"/>
  <c r="CH731"/>
  <c r="CG731"/>
  <c r="CF731"/>
  <c r="CE731"/>
  <c r="CD731"/>
  <c r="CA731"/>
  <c r="I731"/>
  <c r="H731"/>
  <c r="G731"/>
  <c r="F731"/>
  <c r="E731"/>
  <c r="D731"/>
  <c r="A731"/>
  <c r="CI730"/>
  <c r="CH730"/>
  <c r="CG730"/>
  <c r="CF730"/>
  <c r="CE730"/>
  <c r="CD730"/>
  <c r="CA730"/>
  <c r="I730"/>
  <c r="H730"/>
  <c r="G730"/>
  <c r="F730"/>
  <c r="E730"/>
  <c r="D730"/>
  <c r="A730"/>
  <c r="CI729"/>
  <c r="CH729"/>
  <c r="CG729"/>
  <c r="CF729"/>
  <c r="CE729"/>
  <c r="CD729"/>
  <c r="CA729"/>
  <c r="I729"/>
  <c r="H729"/>
  <c r="G729"/>
  <c r="F729"/>
  <c r="E729"/>
  <c r="D729"/>
  <c r="A729"/>
  <c r="CI728"/>
  <c r="CH728"/>
  <c r="CG728"/>
  <c r="CF728"/>
  <c r="CE728"/>
  <c r="CD728"/>
  <c r="CA728"/>
  <c r="I728"/>
  <c r="H728"/>
  <c r="G728"/>
  <c r="F728"/>
  <c r="E728"/>
  <c r="D728"/>
  <c r="A728"/>
  <c r="CI727"/>
  <c r="CH727"/>
  <c r="CG727"/>
  <c r="CF727"/>
  <c r="CE727"/>
  <c r="CD727"/>
  <c r="CA727"/>
  <c r="I727"/>
  <c r="H727"/>
  <c r="G727"/>
  <c r="F727"/>
  <c r="E727"/>
  <c r="D727"/>
  <c r="A727"/>
  <c r="CI726"/>
  <c r="CH726"/>
  <c r="CG726"/>
  <c r="CF726"/>
  <c r="CE726"/>
  <c r="CD726"/>
  <c r="CA726"/>
  <c r="I726"/>
  <c r="H726"/>
  <c r="G726"/>
  <c r="F726"/>
  <c r="E726"/>
  <c r="D726"/>
  <c r="A726"/>
  <c r="CI724"/>
  <c r="CH724"/>
  <c r="CG724"/>
  <c r="CF724"/>
  <c r="CE724"/>
  <c r="CD724"/>
  <c r="CA724"/>
  <c r="I724"/>
  <c r="H724"/>
  <c r="G724"/>
  <c r="F724"/>
  <c r="E724"/>
  <c r="D724"/>
  <c r="A724"/>
  <c r="CI723"/>
  <c r="CH723"/>
  <c r="CG723"/>
  <c r="CF723"/>
  <c r="CE723"/>
  <c r="CD723"/>
  <c r="CA723"/>
  <c r="I723"/>
  <c r="H723"/>
  <c r="G723"/>
  <c r="F723"/>
  <c r="E723"/>
  <c r="D723"/>
  <c r="A723"/>
  <c r="CI722"/>
  <c r="CH722"/>
  <c r="CG722"/>
  <c r="CF722"/>
  <c r="CE722"/>
  <c r="CD722"/>
  <c r="CA722"/>
  <c r="I722"/>
  <c r="H722"/>
  <c r="G722"/>
  <c r="F722"/>
  <c r="E722"/>
  <c r="D722"/>
  <c r="A722"/>
  <c r="CI721"/>
  <c r="CH721"/>
  <c r="CG721"/>
  <c r="CF721"/>
  <c r="CE721"/>
  <c r="CD721"/>
  <c r="CA721"/>
  <c r="I721"/>
  <c r="H721"/>
  <c r="G721"/>
  <c r="F721"/>
  <c r="E721"/>
  <c r="D721"/>
  <c r="A721"/>
  <c r="CI720"/>
  <c r="CH720"/>
  <c r="CG720"/>
  <c r="CF720"/>
  <c r="CE720"/>
  <c r="CD720"/>
  <c r="CA720"/>
  <c r="I720"/>
  <c r="H720"/>
  <c r="G720"/>
  <c r="F720"/>
  <c r="E720"/>
  <c r="D720"/>
  <c r="A720"/>
  <c r="CI719"/>
  <c r="CH719"/>
  <c r="CG719"/>
  <c r="CF719"/>
  <c r="CE719"/>
  <c r="CD719"/>
  <c r="CA719"/>
  <c r="I719"/>
  <c r="H719"/>
  <c r="G719"/>
  <c r="F719"/>
  <c r="E719"/>
  <c r="D719"/>
  <c r="A719"/>
  <c r="CI718"/>
  <c r="CH718"/>
  <c r="CG718"/>
  <c r="CF718"/>
  <c r="CE718"/>
  <c r="CD718"/>
  <c r="CA718"/>
  <c r="I718"/>
  <c r="H718"/>
  <c r="G718"/>
  <c r="F718"/>
  <c r="E718"/>
  <c r="D718"/>
  <c r="A718"/>
  <c r="CI717"/>
  <c r="CH717"/>
  <c r="CG717"/>
  <c r="CF717"/>
  <c r="CE717"/>
  <c r="CD717"/>
  <c r="CA717"/>
  <c r="I717"/>
  <c r="H717"/>
  <c r="G717"/>
  <c r="F717"/>
  <c r="E717"/>
  <c r="D717"/>
  <c r="A717"/>
  <c r="CI716"/>
  <c r="CH716"/>
  <c r="CG716"/>
  <c r="CF716"/>
  <c r="CE716"/>
  <c r="CD716"/>
  <c r="CA716"/>
  <c r="I716"/>
  <c r="H716"/>
  <c r="G716"/>
  <c r="F716"/>
  <c r="E716"/>
  <c r="D716"/>
  <c r="A716"/>
  <c r="CI715"/>
  <c r="CH715"/>
  <c r="CG715"/>
  <c r="CF715"/>
  <c r="CE715"/>
  <c r="CD715"/>
  <c r="CA715"/>
  <c r="I715"/>
  <c r="H715"/>
  <c r="G715"/>
  <c r="F715"/>
  <c r="E715"/>
  <c r="D715"/>
  <c r="A715"/>
  <c r="CI714"/>
  <c r="CH714"/>
  <c r="CG714"/>
  <c r="CF714"/>
  <c r="CE714"/>
  <c r="CD714"/>
  <c r="CA714"/>
  <c r="I714"/>
  <c r="H714"/>
  <c r="G714"/>
  <c r="F714"/>
  <c r="E714"/>
  <c r="D714"/>
  <c r="A714"/>
  <c r="CI713"/>
  <c r="CH713"/>
  <c r="CG713"/>
  <c r="CF713"/>
  <c r="CE713"/>
  <c r="CD713"/>
  <c r="CA713"/>
  <c r="I713"/>
  <c r="H713"/>
  <c r="G713"/>
  <c r="F713"/>
  <c r="E713"/>
  <c r="D713"/>
  <c r="A713"/>
  <c r="CI712"/>
  <c r="CH712"/>
  <c r="CG712"/>
  <c r="CF712"/>
  <c r="CE712"/>
  <c r="CD712"/>
  <c r="CA712"/>
  <c r="I712"/>
  <c r="H712"/>
  <c r="G712"/>
  <c r="F712"/>
  <c r="E712"/>
  <c r="D712"/>
  <c r="A712"/>
  <c r="CI711"/>
  <c r="CH711"/>
  <c r="CG711"/>
  <c r="CF711"/>
  <c r="CE711"/>
  <c r="CD711"/>
  <c r="CA711"/>
  <c r="I711"/>
  <c r="H711"/>
  <c r="G711"/>
  <c r="F711"/>
  <c r="E711"/>
  <c r="D711"/>
  <c r="A711"/>
  <c r="CI710"/>
  <c r="CH710"/>
  <c r="CG710"/>
  <c r="CF710"/>
  <c r="CE710"/>
  <c r="CD710"/>
  <c r="CA710"/>
  <c r="I710"/>
  <c r="H710"/>
  <c r="G710"/>
  <c r="F710"/>
  <c r="E710"/>
  <c r="D710"/>
  <c r="A710"/>
  <c r="CI709"/>
  <c r="CH709"/>
  <c r="CG709"/>
  <c r="CF709"/>
  <c r="CE709"/>
  <c r="CD709"/>
  <c r="CA709"/>
  <c r="I709"/>
  <c r="H709"/>
  <c r="G709"/>
  <c r="F709"/>
  <c r="E709"/>
  <c r="D709"/>
  <c r="A709"/>
  <c r="CI708"/>
  <c r="CH708"/>
  <c r="CG708"/>
  <c r="CF708"/>
  <c r="CE708"/>
  <c r="CD708"/>
  <c r="CA708"/>
  <c r="I708"/>
  <c r="H708"/>
  <c r="G708"/>
  <c r="F708"/>
  <c r="E708"/>
  <c r="D708"/>
  <c r="A708"/>
  <c r="CI707"/>
  <c r="CH707"/>
  <c r="CG707"/>
  <c r="CF707"/>
  <c r="CE707"/>
  <c r="CD707"/>
  <c r="CA707"/>
  <c r="I707"/>
  <c r="H707"/>
  <c r="G707"/>
  <c r="F707"/>
  <c r="E707"/>
  <c r="D707"/>
  <c r="A707"/>
  <c r="CI700"/>
  <c r="CH700"/>
  <c r="CG700"/>
  <c r="CF700"/>
  <c r="CE700"/>
  <c r="CD700"/>
  <c r="CA700"/>
  <c r="I700"/>
  <c r="H700"/>
  <c r="G700"/>
  <c r="F700"/>
  <c r="E700"/>
  <c r="D700"/>
  <c r="A700"/>
  <c r="CI699"/>
  <c r="CH699"/>
  <c r="CG699"/>
  <c r="CF699"/>
  <c r="CE699"/>
  <c r="CD699"/>
  <c r="CA699"/>
  <c r="I699"/>
  <c r="H699"/>
  <c r="G699"/>
  <c r="F699"/>
  <c r="E699"/>
  <c r="D699"/>
  <c r="A699"/>
  <c r="CI698"/>
  <c r="CH698"/>
  <c r="CG698"/>
  <c r="CF698"/>
  <c r="CE698"/>
  <c r="CD698"/>
  <c r="CA698"/>
  <c r="I698"/>
  <c r="H698"/>
  <c r="G698"/>
  <c r="F698"/>
  <c r="E698"/>
  <c r="D698"/>
  <c r="A698"/>
  <c r="CI697"/>
  <c r="CH697"/>
  <c r="CG697"/>
  <c r="CF697"/>
  <c r="CE697"/>
  <c r="CD697"/>
  <c r="CA697"/>
  <c r="I697"/>
  <c r="H697"/>
  <c r="G697"/>
  <c r="F697"/>
  <c r="E697"/>
  <c r="D697"/>
  <c r="A697"/>
  <c r="CI696"/>
  <c r="CH696"/>
  <c r="CG696"/>
  <c r="CF696"/>
  <c r="CE696"/>
  <c r="CD696"/>
  <c r="CA696"/>
  <c r="I696"/>
  <c r="H696"/>
  <c r="G696"/>
  <c r="F696"/>
  <c r="E696"/>
  <c r="D696"/>
  <c r="A696"/>
  <c r="CI694"/>
  <c r="CH694"/>
  <c r="CG694"/>
  <c r="CF694"/>
  <c r="CE694"/>
  <c r="CD694"/>
  <c r="CA694"/>
  <c r="I694"/>
  <c r="H694"/>
  <c r="G694"/>
  <c r="F694"/>
  <c r="E694"/>
  <c r="D694"/>
  <c r="A694"/>
  <c r="CI693"/>
  <c r="CH693"/>
  <c r="CG693"/>
  <c r="CF693"/>
  <c r="CE693"/>
  <c r="CD693"/>
  <c r="CA693"/>
  <c r="I693"/>
  <c r="H693"/>
  <c r="G693"/>
  <c r="F693"/>
  <c r="E693"/>
  <c r="D693"/>
  <c r="A693"/>
  <c r="CI692"/>
  <c r="CH692"/>
  <c r="CG692"/>
  <c r="CF692"/>
  <c r="CE692"/>
  <c r="CD692"/>
  <c r="CA692"/>
  <c r="I692"/>
  <c r="H692"/>
  <c r="G692"/>
  <c r="F692"/>
  <c r="E692"/>
  <c r="D692"/>
  <c r="A692"/>
  <c r="CI691"/>
  <c r="CH691"/>
  <c r="CG691"/>
  <c r="CF691"/>
  <c r="CE691"/>
  <c r="CD691"/>
  <c r="CA691"/>
  <c r="I691"/>
  <c r="H691"/>
  <c r="G691"/>
  <c r="F691"/>
  <c r="E691"/>
  <c r="D691"/>
  <c r="A691"/>
  <c r="CI690"/>
  <c r="CH690"/>
  <c r="CG690"/>
  <c r="CF690"/>
  <c r="CE690"/>
  <c r="CD690"/>
  <c r="CA690"/>
  <c r="I690"/>
  <c r="H690"/>
  <c r="G690"/>
  <c r="F690"/>
  <c r="E690"/>
  <c r="D690"/>
  <c r="A690"/>
  <c r="CI688"/>
  <c r="CH688"/>
  <c r="CG688"/>
  <c r="CF688"/>
  <c r="CE688"/>
  <c r="CD688"/>
  <c r="CA688"/>
  <c r="I688"/>
  <c r="H688"/>
  <c r="G688"/>
  <c r="F688"/>
  <c r="E688"/>
  <c r="D688"/>
  <c r="A688"/>
  <c r="CI687"/>
  <c r="CH687"/>
  <c r="CG687"/>
  <c r="CF687"/>
  <c r="CE687"/>
  <c r="CD687"/>
  <c r="CA687"/>
  <c r="I687"/>
  <c r="H687"/>
  <c r="G687"/>
  <c r="F687"/>
  <c r="E687"/>
  <c r="D687"/>
  <c r="A687"/>
  <c r="CI686"/>
  <c r="CH686"/>
  <c r="CG686"/>
  <c r="CF686"/>
  <c r="CE686"/>
  <c r="CD686"/>
  <c r="CA686"/>
  <c r="I686"/>
  <c r="H686"/>
  <c r="G686"/>
  <c r="F686"/>
  <c r="E686"/>
  <c r="D686"/>
  <c r="A686"/>
  <c r="CI685"/>
  <c r="CH685"/>
  <c r="CG685"/>
  <c r="CF685"/>
  <c r="CE685"/>
  <c r="CD685"/>
  <c r="CA685"/>
  <c r="I685"/>
  <c r="H685"/>
  <c r="G685"/>
  <c r="F685"/>
  <c r="E685"/>
  <c r="D685"/>
  <c r="A685"/>
  <c r="CI684"/>
  <c r="CH684"/>
  <c r="CG684"/>
  <c r="CF684"/>
  <c r="CE684"/>
  <c r="CD684"/>
  <c r="CA684"/>
  <c r="I684"/>
  <c r="H684"/>
  <c r="G684"/>
  <c r="F684"/>
  <c r="E684"/>
  <c r="D684"/>
  <c r="A684"/>
  <c r="CI682"/>
  <c r="CH682"/>
  <c r="CG682"/>
  <c r="CF682"/>
  <c r="CE682"/>
  <c r="CD682"/>
  <c r="CA682"/>
  <c r="I682"/>
  <c r="H682"/>
  <c r="G682"/>
  <c r="F682"/>
  <c r="E682"/>
  <c r="D682"/>
  <c r="A682"/>
  <c r="CI681"/>
  <c r="CH681"/>
  <c r="CG681"/>
  <c r="CF681"/>
  <c r="CE681"/>
  <c r="CD681"/>
  <c r="CA681"/>
  <c r="I681"/>
  <c r="H681"/>
  <c r="G681"/>
  <c r="F681"/>
  <c r="E681"/>
  <c r="D681"/>
  <c r="A681"/>
  <c r="CI680"/>
  <c r="CH680"/>
  <c r="CG680"/>
  <c r="CF680"/>
  <c r="CE680"/>
  <c r="CD680"/>
  <c r="CA680"/>
  <c r="I680"/>
  <c r="H680"/>
  <c r="G680"/>
  <c r="F680"/>
  <c r="E680"/>
  <c r="D680"/>
  <c r="A680"/>
  <c r="CI679"/>
  <c r="CH679"/>
  <c r="CG679"/>
  <c r="CF679"/>
  <c r="CE679"/>
  <c r="CD679"/>
  <c r="CA679"/>
  <c r="I679"/>
  <c r="H679"/>
  <c r="G679"/>
  <c r="F679"/>
  <c r="E679"/>
  <c r="D679"/>
  <c r="A679"/>
  <c r="CI678"/>
  <c r="CH678"/>
  <c r="CG678"/>
  <c r="CF678"/>
  <c r="CE678"/>
  <c r="CD678"/>
  <c r="CA678"/>
  <c r="I678"/>
  <c r="H678"/>
  <c r="G678"/>
  <c r="F678"/>
  <c r="E678"/>
  <c r="D678"/>
  <c r="A678"/>
  <c r="CI676"/>
  <c r="CH676"/>
  <c r="CG676"/>
  <c r="CF676"/>
  <c r="CE676"/>
  <c r="CD676"/>
  <c r="CA676"/>
  <c r="I676"/>
  <c r="H676"/>
  <c r="G676"/>
  <c r="F676"/>
  <c r="E676"/>
  <c r="D676"/>
  <c r="A676"/>
  <c r="CI675"/>
  <c r="CH675"/>
  <c r="CG675"/>
  <c r="CF675"/>
  <c r="CE675"/>
  <c r="CD675"/>
  <c r="CA675"/>
  <c r="I675"/>
  <c r="H675"/>
  <c r="G675"/>
  <c r="F675"/>
  <c r="E675"/>
  <c r="D675"/>
  <c r="A675"/>
  <c r="CI674"/>
  <c r="CH674"/>
  <c r="CG674"/>
  <c r="CF674"/>
  <c r="CE674"/>
  <c r="CD674"/>
  <c r="CA674"/>
  <c r="I674"/>
  <c r="H674"/>
  <c r="G674"/>
  <c r="F674"/>
  <c r="E674"/>
  <c r="D674"/>
  <c r="A674"/>
  <c r="CI673"/>
  <c r="CH673"/>
  <c r="CG673"/>
  <c r="CF673"/>
  <c r="CE673"/>
  <c r="CD673"/>
  <c r="CA673"/>
  <c r="I673"/>
  <c r="H673"/>
  <c r="G673"/>
  <c r="F673"/>
  <c r="E673"/>
  <c r="D673"/>
  <c r="A673"/>
  <c r="CI672"/>
  <c r="CH672"/>
  <c r="CG672"/>
  <c r="CF672"/>
  <c r="CE672"/>
  <c r="CD672"/>
  <c r="CA672"/>
  <c r="I672"/>
  <c r="H672"/>
  <c r="G672"/>
  <c r="F672"/>
  <c r="E672"/>
  <c r="D672"/>
  <c r="A672"/>
  <c r="CI670"/>
  <c r="CH670"/>
  <c r="CG670"/>
  <c r="CF670"/>
  <c r="CE670"/>
  <c r="CD670"/>
  <c r="CA670"/>
  <c r="I670"/>
  <c r="H670"/>
  <c r="G670"/>
  <c r="F670"/>
  <c r="E670"/>
  <c r="D670"/>
  <c r="A670"/>
  <c r="CI669"/>
  <c r="CH669"/>
  <c r="CG669"/>
  <c r="CF669"/>
  <c r="CE669"/>
  <c r="CD669"/>
  <c r="CA669"/>
  <c r="I669"/>
  <c r="H669"/>
  <c r="G669"/>
  <c r="F669"/>
  <c r="E669"/>
  <c r="D669"/>
  <c r="A669"/>
  <c r="CI668"/>
  <c r="CH668"/>
  <c r="CG668"/>
  <c r="CF668"/>
  <c r="CE668"/>
  <c r="CD668"/>
  <c r="CA668"/>
  <c r="I668"/>
  <c r="H668"/>
  <c r="G668"/>
  <c r="F668"/>
  <c r="E668"/>
  <c r="D668"/>
  <c r="A668"/>
  <c r="CI667"/>
  <c r="CH667"/>
  <c r="CG667"/>
  <c r="CF667"/>
  <c r="CE667"/>
  <c r="CD667"/>
  <c r="CA667"/>
  <c r="I667"/>
  <c r="H667"/>
  <c r="G667"/>
  <c r="F667"/>
  <c r="E667"/>
  <c r="D667"/>
  <c r="A667"/>
  <c r="CI666"/>
  <c r="CH666"/>
  <c r="CG666"/>
  <c r="CF666"/>
  <c r="CE666"/>
  <c r="CD666"/>
  <c r="CA666"/>
  <c r="I666"/>
  <c r="H666"/>
  <c r="G666"/>
  <c r="F666"/>
  <c r="E666"/>
  <c r="D666"/>
  <c r="A666"/>
  <c r="CI665"/>
  <c r="CH665"/>
  <c r="CG665"/>
  <c r="CF665"/>
  <c r="CE665"/>
  <c r="CD665"/>
  <c r="CA665"/>
  <c r="I665"/>
  <c r="H665"/>
  <c r="G665"/>
  <c r="F665"/>
  <c r="E665"/>
  <c r="D665"/>
  <c r="A665"/>
  <c r="CI664"/>
  <c r="CH664"/>
  <c r="CG664"/>
  <c r="CF664"/>
  <c r="CE664"/>
  <c r="CD664"/>
  <c r="CA664"/>
  <c r="I664"/>
  <c r="H664"/>
  <c r="G664"/>
  <c r="F664"/>
  <c r="E664"/>
  <c r="D664"/>
  <c r="A664"/>
  <c r="CI663"/>
  <c r="CH663"/>
  <c r="CG663"/>
  <c r="CF663"/>
  <c r="CE663"/>
  <c r="CD663"/>
  <c r="CA663"/>
  <c r="I663"/>
  <c r="H663"/>
  <c r="G663"/>
  <c r="F663"/>
  <c r="E663"/>
  <c r="D663"/>
  <c r="A663"/>
  <c r="CI662"/>
  <c r="CH662"/>
  <c r="CG662"/>
  <c r="CF662"/>
  <c r="CE662"/>
  <c r="CD662"/>
  <c r="CA662"/>
  <c r="I662"/>
  <c r="H662"/>
  <c r="G662"/>
  <c r="F662"/>
  <c r="E662"/>
  <c r="D662"/>
  <c r="A662"/>
  <c r="CI661"/>
  <c r="CH661"/>
  <c r="CG661"/>
  <c r="CF661"/>
  <c r="CE661"/>
  <c r="CD661"/>
  <c r="CA661"/>
  <c r="I661"/>
  <c r="H661"/>
  <c r="G661"/>
  <c r="F661"/>
  <c r="E661"/>
  <c r="D661"/>
  <c r="A661"/>
  <c r="CI660"/>
  <c r="CH660"/>
  <c r="CG660"/>
  <c r="CF660"/>
  <c r="CE660"/>
  <c r="CD660"/>
  <c r="CA660"/>
  <c r="I660"/>
  <c r="H660"/>
  <c r="G660"/>
  <c r="F660"/>
  <c r="E660"/>
  <c r="D660"/>
  <c r="A660"/>
  <c r="CI659"/>
  <c r="CH659"/>
  <c r="CG659"/>
  <c r="CF659"/>
  <c r="CE659"/>
  <c r="CD659"/>
  <c r="CA659"/>
  <c r="I659"/>
  <c r="H659"/>
  <c r="G659"/>
  <c r="F659"/>
  <c r="E659"/>
  <c r="D659"/>
  <c r="A659"/>
  <c r="CI657"/>
  <c r="CH657"/>
  <c r="CG657"/>
  <c r="CF657"/>
  <c r="CE657"/>
  <c r="CD657"/>
  <c r="CA657"/>
  <c r="I657"/>
  <c r="H657"/>
  <c r="G657"/>
  <c r="F657"/>
  <c r="E657"/>
  <c r="D657"/>
  <c r="A657"/>
  <c r="CI656"/>
  <c r="CH656"/>
  <c r="CG656"/>
  <c r="CF656"/>
  <c r="CE656"/>
  <c r="CD656"/>
  <c r="CA656"/>
  <c r="I656"/>
  <c r="H656"/>
  <c r="G656"/>
  <c r="F656"/>
  <c r="E656"/>
  <c r="D656"/>
  <c r="A656"/>
  <c r="CI655"/>
  <c r="CH655"/>
  <c r="CG655"/>
  <c r="CF655"/>
  <c r="CE655"/>
  <c r="CD655"/>
  <c r="CA655"/>
  <c r="I655"/>
  <c r="H655"/>
  <c r="G655"/>
  <c r="F655"/>
  <c r="E655"/>
  <c r="D655"/>
  <c r="A655"/>
  <c r="CI654"/>
  <c r="CH654"/>
  <c r="CG654"/>
  <c r="CF654"/>
  <c r="CE654"/>
  <c r="CD654"/>
  <c r="CA654"/>
  <c r="I654"/>
  <c r="H654"/>
  <c r="G654"/>
  <c r="F654"/>
  <c r="E654"/>
  <c r="D654"/>
  <c r="A654"/>
  <c r="CI653"/>
  <c r="CH653"/>
  <c r="CG653"/>
  <c r="CF653"/>
  <c r="CE653"/>
  <c r="CD653"/>
  <c r="CA653"/>
  <c r="I653"/>
  <c r="H653"/>
  <c r="G653"/>
  <c r="F653"/>
  <c r="E653"/>
  <c r="D653"/>
  <c r="A653"/>
  <c r="CI652"/>
  <c r="CH652"/>
  <c r="CG652"/>
  <c r="CF652"/>
  <c r="CE652"/>
  <c r="CD652"/>
  <c r="CA652"/>
  <c r="I652"/>
  <c r="H652"/>
  <c r="G652"/>
  <c r="F652"/>
  <c r="E652"/>
  <c r="D652"/>
  <c r="A652"/>
  <c r="CI651"/>
  <c r="CH651"/>
  <c r="CG651"/>
  <c r="CF651"/>
  <c r="CE651"/>
  <c r="CD651"/>
  <c r="CA651"/>
  <c r="I651"/>
  <c r="H651"/>
  <c r="G651"/>
  <c r="F651"/>
  <c r="E651"/>
  <c r="D651"/>
  <c r="A651"/>
  <c r="CI650"/>
  <c r="CH650"/>
  <c r="CG650"/>
  <c r="CF650"/>
  <c r="CE650"/>
  <c r="CD650"/>
  <c r="CA650"/>
  <c r="I650"/>
  <c r="H650"/>
  <c r="G650"/>
  <c r="F650"/>
  <c r="E650"/>
  <c r="D650"/>
  <c r="A650"/>
  <c r="CI649"/>
  <c r="CH649"/>
  <c r="CG649"/>
  <c r="CF649"/>
  <c r="CE649"/>
  <c r="CD649"/>
  <c r="CA649"/>
  <c r="I649"/>
  <c r="H649"/>
  <c r="G649"/>
  <c r="F649"/>
  <c r="E649"/>
  <c r="D649"/>
  <c r="A649"/>
  <c r="CI648"/>
  <c r="CH648"/>
  <c r="CG648"/>
  <c r="CF648"/>
  <c r="CE648"/>
  <c r="CD648"/>
  <c r="CA648"/>
  <c r="I648"/>
  <c r="H648"/>
  <c r="G648"/>
  <c r="F648"/>
  <c r="E648"/>
  <c r="D648"/>
  <c r="A648"/>
  <c r="CI647"/>
  <c r="CH647"/>
  <c r="CG647"/>
  <c r="CF647"/>
  <c r="CE647"/>
  <c r="CD647"/>
  <c r="CA647"/>
  <c r="I647"/>
  <c r="H647"/>
  <c r="G647"/>
  <c r="F647"/>
  <c r="E647"/>
  <c r="D647"/>
  <c r="A647"/>
  <c r="CI645"/>
  <c r="CH645"/>
  <c r="CG645"/>
  <c r="CF645"/>
  <c r="CE645"/>
  <c r="CD645"/>
  <c r="CA645"/>
  <c r="I645"/>
  <c r="H645"/>
  <c r="G645"/>
  <c r="F645"/>
  <c r="E645"/>
  <c r="D645"/>
  <c r="A645"/>
  <c r="CI644"/>
  <c r="CH644"/>
  <c r="CG644"/>
  <c r="CF644"/>
  <c r="CE644"/>
  <c r="CD644"/>
  <c r="CA644"/>
  <c r="I644"/>
  <c r="H644"/>
  <c r="G644"/>
  <c r="F644"/>
  <c r="E644"/>
  <c r="D644"/>
  <c r="A644"/>
  <c r="CI643"/>
  <c r="CH643"/>
  <c r="CG643"/>
  <c r="CF643"/>
  <c r="CE643"/>
  <c r="CD643"/>
  <c r="CA643"/>
  <c r="I643"/>
  <c r="H643"/>
  <c r="G643"/>
  <c r="F643"/>
  <c r="E643"/>
  <c r="D643"/>
  <c r="A643"/>
  <c r="CI642"/>
  <c r="CH642"/>
  <c r="CG642"/>
  <c r="CF642"/>
  <c r="CE642"/>
  <c r="CD642"/>
  <c r="CA642"/>
  <c r="I642"/>
  <c r="H642"/>
  <c r="G642"/>
  <c r="F642"/>
  <c r="E642"/>
  <c r="D642"/>
  <c r="A642"/>
  <c r="CI641"/>
  <c r="CH641"/>
  <c r="CG641"/>
  <c r="CF641"/>
  <c r="CE641"/>
  <c r="CD641"/>
  <c r="CA641"/>
  <c r="I641"/>
  <c r="H641"/>
  <c r="G641"/>
  <c r="F641"/>
  <c r="E641"/>
  <c r="D641"/>
  <c r="A641"/>
  <c r="CI640"/>
  <c r="CH640"/>
  <c r="CG640"/>
  <c r="CF640"/>
  <c r="CE640"/>
  <c r="CD640"/>
  <c r="CA640"/>
  <c r="I640"/>
  <c r="H640"/>
  <c r="G640"/>
  <c r="F640"/>
  <c r="E640"/>
  <c r="D640"/>
  <c r="A640"/>
  <c r="CI639"/>
  <c r="CH639"/>
  <c r="CG639"/>
  <c r="CF639"/>
  <c r="CE639"/>
  <c r="CD639"/>
  <c r="CA639"/>
  <c r="I639"/>
  <c r="H639"/>
  <c r="G639"/>
  <c r="F639"/>
  <c r="E639"/>
  <c r="D639"/>
  <c r="A639"/>
  <c r="CI638"/>
  <c r="CH638"/>
  <c r="CG638"/>
  <c r="CF638"/>
  <c r="CE638"/>
  <c r="CD638"/>
  <c r="CA638"/>
  <c r="I638"/>
  <c r="H638"/>
  <c r="G638"/>
  <c r="F638"/>
  <c r="E638"/>
  <c r="D638"/>
  <c r="A638"/>
  <c r="CI637"/>
  <c r="CH637"/>
  <c r="CG637"/>
  <c r="CF637"/>
  <c r="CE637"/>
  <c r="CD637"/>
  <c r="CA637"/>
  <c r="I637"/>
  <c r="H637"/>
  <c r="G637"/>
  <c r="F637"/>
  <c r="E637"/>
  <c r="D637"/>
  <c r="A637"/>
  <c r="CI636"/>
  <c r="CH636"/>
  <c r="CG636"/>
  <c r="CF636"/>
  <c r="CE636"/>
  <c r="CD636"/>
  <c r="CA636"/>
  <c r="I636"/>
  <c r="H636"/>
  <c r="G636"/>
  <c r="F636"/>
  <c r="E636"/>
  <c r="D636"/>
  <c r="A636"/>
  <c r="CI635"/>
  <c r="CH635"/>
  <c r="CG635"/>
  <c r="CF635"/>
  <c r="CE635"/>
  <c r="CD635"/>
  <c r="CA635"/>
  <c r="I635"/>
  <c r="H635"/>
  <c r="G635"/>
  <c r="F635"/>
  <c r="E635"/>
  <c r="D635"/>
  <c r="A635"/>
  <c r="CI634"/>
  <c r="CH634"/>
  <c r="CG634"/>
  <c r="CF634"/>
  <c r="CE634"/>
  <c r="CD634"/>
  <c r="CA634"/>
  <c r="I634"/>
  <c r="H634"/>
  <c r="G634"/>
  <c r="F634"/>
  <c r="E634"/>
  <c r="D634"/>
  <c r="A634"/>
  <c r="CI632"/>
  <c r="CH632"/>
  <c r="CG632"/>
  <c r="CF632"/>
  <c r="CE632"/>
  <c r="CD632"/>
  <c r="CA632"/>
  <c r="I632"/>
  <c r="H632"/>
  <c r="G632"/>
  <c r="F632"/>
  <c r="E632"/>
  <c r="D632"/>
  <c r="A632"/>
  <c r="CI631"/>
  <c r="CH631"/>
  <c r="CG631"/>
  <c r="CF631"/>
  <c r="CE631"/>
  <c r="CD631"/>
  <c r="CA631"/>
  <c r="I631"/>
  <c r="H631"/>
  <c r="G631"/>
  <c r="F631"/>
  <c r="E631"/>
  <c r="D631"/>
  <c r="A631"/>
  <c r="CI630"/>
  <c r="CH630"/>
  <c r="CG630"/>
  <c r="CF630"/>
  <c r="CE630"/>
  <c r="CD630"/>
  <c r="CA630"/>
  <c r="I630"/>
  <c r="H630"/>
  <c r="G630"/>
  <c r="F630"/>
  <c r="E630"/>
  <c r="D630"/>
  <c r="A630"/>
  <c r="CI629"/>
  <c r="CH629"/>
  <c r="CG629"/>
  <c r="CF629"/>
  <c r="CE629"/>
  <c r="CD629"/>
  <c r="CA629"/>
  <c r="I629"/>
  <c r="H629"/>
  <c r="G629"/>
  <c r="F629"/>
  <c r="E629"/>
  <c r="D629"/>
  <c r="A629"/>
  <c r="CI628"/>
  <c r="CH628"/>
  <c r="CG628"/>
  <c r="CF628"/>
  <c r="CE628"/>
  <c r="CD628"/>
  <c r="CA628"/>
  <c r="I628"/>
  <c r="H628"/>
  <c r="G628"/>
  <c r="F628"/>
  <c r="E628"/>
  <c r="D628"/>
  <c r="A628"/>
  <c r="CI627"/>
  <c r="CH627"/>
  <c r="CG627"/>
  <c r="CF627"/>
  <c r="CE627"/>
  <c r="CD627"/>
  <c r="CA627"/>
  <c r="I627"/>
  <c r="H627"/>
  <c r="G627"/>
  <c r="F627"/>
  <c r="E627"/>
  <c r="D627"/>
  <c r="A627"/>
  <c r="CI626"/>
  <c r="CH626"/>
  <c r="CG626"/>
  <c r="CF626"/>
  <c r="CE626"/>
  <c r="CD626"/>
  <c r="CA626"/>
  <c r="I626"/>
  <c r="H626"/>
  <c r="G626"/>
  <c r="F626"/>
  <c r="E626"/>
  <c r="D626"/>
  <c r="A626"/>
  <c r="CI625"/>
  <c r="CH625"/>
  <c r="CG625"/>
  <c r="CF625"/>
  <c r="CE625"/>
  <c r="CD625"/>
  <c r="CA625"/>
  <c r="I625"/>
  <c r="H625"/>
  <c r="G625"/>
  <c r="F625"/>
  <c r="E625"/>
  <c r="D625"/>
  <c r="A625"/>
  <c r="CI624"/>
  <c r="CH624"/>
  <c r="CG624"/>
  <c r="CF624"/>
  <c r="CE624"/>
  <c r="CD624"/>
  <c r="CA624"/>
  <c r="I624"/>
  <c r="H624"/>
  <c r="G624"/>
  <c r="F624"/>
  <c r="E624"/>
  <c r="D624"/>
  <c r="A624"/>
  <c r="CI623"/>
  <c r="CH623"/>
  <c r="CG623"/>
  <c r="CF623"/>
  <c r="CE623"/>
  <c r="CD623"/>
  <c r="CA623"/>
  <c r="I623"/>
  <c r="H623"/>
  <c r="G623"/>
  <c r="F623"/>
  <c r="E623"/>
  <c r="D623"/>
  <c r="A623"/>
  <c r="CI622"/>
  <c r="CH622"/>
  <c r="CG622"/>
  <c r="CF622"/>
  <c r="CE622"/>
  <c r="CD622"/>
  <c r="CA622"/>
  <c r="I622"/>
  <c r="H622"/>
  <c r="G622"/>
  <c r="F622"/>
  <c r="E622"/>
  <c r="D622"/>
  <c r="A622"/>
  <c r="CI621"/>
  <c r="CH621"/>
  <c r="CG621"/>
  <c r="CF621"/>
  <c r="CE621"/>
  <c r="CD621"/>
  <c r="CA621"/>
  <c r="I621"/>
  <c r="H621"/>
  <c r="G621"/>
  <c r="F621"/>
  <c r="E621"/>
  <c r="D621"/>
  <c r="A621"/>
  <c r="CI620"/>
  <c r="CH620"/>
  <c r="CG620"/>
  <c r="CF620"/>
  <c r="CE620"/>
  <c r="CD620"/>
  <c r="CA620"/>
  <c r="I620"/>
  <c r="H620"/>
  <c r="G620"/>
  <c r="F620"/>
  <c r="E620"/>
  <c r="D620"/>
  <c r="A620"/>
  <c r="CI619"/>
  <c r="CH619"/>
  <c r="CG619"/>
  <c r="CF619"/>
  <c r="CE619"/>
  <c r="CD619"/>
  <c r="CA619"/>
  <c r="I619"/>
  <c r="H619"/>
  <c r="G619"/>
  <c r="F619"/>
  <c r="E619"/>
  <c r="D619"/>
  <c r="A619"/>
  <c r="CI618"/>
  <c r="CH618"/>
  <c r="CG618"/>
  <c r="CF618"/>
  <c r="CE618"/>
  <c r="CD618"/>
  <c r="CA618"/>
  <c r="I618"/>
  <c r="H618"/>
  <c r="G618"/>
  <c r="F618"/>
  <c r="E618"/>
  <c r="D618"/>
  <c r="A618"/>
  <c r="CI615"/>
  <c r="CH615"/>
  <c r="CG615"/>
  <c r="CF615"/>
  <c r="CE615"/>
  <c r="CD615"/>
  <c r="CA615"/>
  <c r="I615"/>
  <c r="H615"/>
  <c r="G615"/>
  <c r="F615"/>
  <c r="E615"/>
  <c r="D615"/>
  <c r="A615"/>
  <c r="CI614"/>
  <c r="CH614"/>
  <c r="CG614"/>
  <c r="CF614"/>
  <c r="CE614"/>
  <c r="CD614"/>
  <c r="CA614"/>
  <c r="I614"/>
  <c r="H614"/>
  <c r="G614"/>
  <c r="F614"/>
  <c r="E614"/>
  <c r="D614"/>
  <c r="A614"/>
  <c r="CI613"/>
  <c r="CH613"/>
  <c r="CG613"/>
  <c r="CF613"/>
  <c r="CE613"/>
  <c r="CD613"/>
  <c r="CA613"/>
  <c r="I613"/>
  <c r="H613"/>
  <c r="G613"/>
  <c r="F613"/>
  <c r="E613"/>
  <c r="D613"/>
  <c r="A613"/>
  <c r="CI612"/>
  <c r="CH612"/>
  <c r="CG612"/>
  <c r="CF612"/>
  <c r="CE612"/>
  <c r="CD612"/>
  <c r="CA612"/>
  <c r="I612"/>
  <c r="H612"/>
  <c r="G612"/>
  <c r="F612"/>
  <c r="E612"/>
  <c r="D612"/>
  <c r="A612"/>
  <c r="CI611"/>
  <c r="CH611"/>
  <c r="CG611"/>
  <c r="CF611"/>
  <c r="CE611"/>
  <c r="CD611"/>
  <c r="CA611"/>
  <c r="I611"/>
  <c r="H611"/>
  <c r="G611"/>
  <c r="F611"/>
  <c r="E611"/>
  <c r="D611"/>
  <c r="A611"/>
  <c r="CI610"/>
  <c r="CH610"/>
  <c r="CG610"/>
  <c r="CF610"/>
  <c r="CE610"/>
  <c r="CD610"/>
  <c r="CA610"/>
  <c r="I610"/>
  <c r="H610"/>
  <c r="G610"/>
  <c r="F610"/>
  <c r="E610"/>
  <c r="D610"/>
  <c r="A610"/>
  <c r="CI609"/>
  <c r="CH609"/>
  <c r="CG609"/>
  <c r="CF609"/>
  <c r="CE609"/>
  <c r="CD609"/>
  <c r="CA609"/>
  <c r="I609"/>
  <c r="H609"/>
  <c r="G609"/>
  <c r="F609"/>
  <c r="E609"/>
  <c r="D609"/>
  <c r="A609"/>
  <c r="CI608"/>
  <c r="CH608"/>
  <c r="CG608"/>
  <c r="CF608"/>
  <c r="CE608"/>
  <c r="CD608"/>
  <c r="CA608"/>
  <c r="I608"/>
  <c r="H608"/>
  <c r="G608"/>
  <c r="F608"/>
  <c r="E608"/>
  <c r="D608"/>
  <c r="A608"/>
  <c r="CI607"/>
  <c r="CH607"/>
  <c r="CG607"/>
  <c r="CF607"/>
  <c r="CE607"/>
  <c r="CD607"/>
  <c r="CA607"/>
  <c r="I607"/>
  <c r="H607"/>
  <c r="G607"/>
  <c r="F607"/>
  <c r="E607"/>
  <c r="D607"/>
  <c r="A607"/>
  <c r="CI606"/>
  <c r="CH606"/>
  <c r="CG606"/>
  <c r="CF606"/>
  <c r="CE606"/>
  <c r="CD606"/>
  <c r="CA606"/>
  <c r="I606"/>
  <c r="H606"/>
  <c r="G606"/>
  <c r="F606"/>
  <c r="E606"/>
  <c r="D606"/>
  <c r="A606"/>
  <c r="CI605"/>
  <c r="CH605"/>
  <c r="CG605"/>
  <c r="CF605"/>
  <c r="CE605"/>
  <c r="CD605"/>
  <c r="CA605"/>
  <c r="I605"/>
  <c r="H605"/>
  <c r="G605"/>
  <c r="F605"/>
  <c r="E605"/>
  <c r="D605"/>
  <c r="A605"/>
  <c r="CI604"/>
  <c r="CH604"/>
  <c r="CG604"/>
  <c r="CF604"/>
  <c r="CE604"/>
  <c r="CD604"/>
  <c r="CA604"/>
  <c r="I604"/>
  <c r="H604"/>
  <c r="G604"/>
  <c r="F604"/>
  <c r="E604"/>
  <c r="D604"/>
  <c r="A604"/>
  <c r="CI602"/>
  <c r="CH602"/>
  <c r="CG602"/>
  <c r="CF602"/>
  <c r="CE602"/>
  <c r="CD602"/>
  <c r="CA602"/>
  <c r="I602"/>
  <c r="H602"/>
  <c r="G602"/>
  <c r="F602"/>
  <c r="E602"/>
  <c r="D602"/>
  <c r="A602"/>
  <c r="CI601"/>
  <c r="CH601"/>
  <c r="CG601"/>
  <c r="CF601"/>
  <c r="CE601"/>
  <c r="CD601"/>
  <c r="CA601"/>
  <c r="I601"/>
  <c r="H601"/>
  <c r="G601"/>
  <c r="F601"/>
  <c r="E601"/>
  <c r="D601"/>
  <c r="A601"/>
  <c r="CI600"/>
  <c r="CH600"/>
  <c r="CG600"/>
  <c r="CF600"/>
  <c r="CE600"/>
  <c r="CD600"/>
  <c r="CA600"/>
  <c r="I600"/>
  <c r="H600"/>
  <c r="G600"/>
  <c r="F600"/>
  <c r="E600"/>
  <c r="D600"/>
  <c r="A600"/>
  <c r="CI599"/>
  <c r="CH599"/>
  <c r="CG599"/>
  <c r="CF599"/>
  <c r="CE599"/>
  <c r="CD599"/>
  <c r="CA599"/>
  <c r="I599"/>
  <c r="H599"/>
  <c r="G599"/>
  <c r="F599"/>
  <c r="E599"/>
  <c r="D599"/>
  <c r="A599"/>
  <c r="CI598"/>
  <c r="CH598"/>
  <c r="CG598"/>
  <c r="CF598"/>
  <c r="CE598"/>
  <c r="CD598"/>
  <c r="CA598"/>
  <c r="I598"/>
  <c r="H598"/>
  <c r="G598"/>
  <c r="F598"/>
  <c r="E598"/>
  <c r="D598"/>
  <c r="A598"/>
  <c r="CI597"/>
  <c r="CH597"/>
  <c r="CG597"/>
  <c r="CF597"/>
  <c r="CE597"/>
  <c r="CD597"/>
  <c r="CA597"/>
  <c r="I597"/>
  <c r="H597"/>
  <c r="G597"/>
  <c r="F597"/>
  <c r="E597"/>
  <c r="D597"/>
  <c r="A597"/>
  <c r="CI596"/>
  <c r="CH596"/>
  <c r="CG596"/>
  <c r="CF596"/>
  <c r="CE596"/>
  <c r="CD596"/>
  <c r="CA596"/>
  <c r="I596"/>
  <c r="H596"/>
  <c r="G596"/>
  <c r="F596"/>
  <c r="E596"/>
  <c r="D596"/>
  <c r="A596"/>
  <c r="CI595"/>
  <c r="CH595"/>
  <c r="CG595"/>
  <c r="CF595"/>
  <c r="CE595"/>
  <c r="CD595"/>
  <c r="CA595"/>
  <c r="I595"/>
  <c r="H595"/>
  <c r="G595"/>
  <c r="F595"/>
  <c r="E595"/>
  <c r="D595"/>
  <c r="A595"/>
  <c r="CI594"/>
  <c r="CH594"/>
  <c r="CG594"/>
  <c r="CF594"/>
  <c r="CE594"/>
  <c r="CD594"/>
  <c r="CA594"/>
  <c r="I594"/>
  <c r="H594"/>
  <c r="G594"/>
  <c r="F594"/>
  <c r="E594"/>
  <c r="D594"/>
  <c r="A594"/>
  <c r="CI593"/>
  <c r="CH593"/>
  <c r="CG593"/>
  <c r="CF593"/>
  <c r="CE593"/>
  <c r="CD593"/>
  <c r="CA593"/>
  <c r="I593"/>
  <c r="H593"/>
  <c r="G593"/>
  <c r="F593"/>
  <c r="E593"/>
  <c r="D593"/>
  <c r="A593"/>
  <c r="CI592"/>
  <c r="CH592"/>
  <c r="CG592"/>
  <c r="CF592"/>
  <c r="CE592"/>
  <c r="CD592"/>
  <c r="CA592"/>
  <c r="I592"/>
  <c r="H592"/>
  <c r="G592"/>
  <c r="F592"/>
  <c r="E592"/>
  <c r="D592"/>
  <c r="A592"/>
  <c r="CI591"/>
  <c r="CH591"/>
  <c r="CG591"/>
  <c r="CF591"/>
  <c r="CE591"/>
  <c r="CD591"/>
  <c r="CA591"/>
  <c r="I591"/>
  <c r="H591"/>
  <c r="G591"/>
  <c r="F591"/>
  <c r="E591"/>
  <c r="D591"/>
  <c r="A591"/>
  <c r="CI590"/>
  <c r="CH590"/>
  <c r="CG590"/>
  <c r="CF590"/>
  <c r="CE590"/>
  <c r="CD590"/>
  <c r="CA590"/>
  <c r="I590"/>
  <c r="H590"/>
  <c r="G590"/>
  <c r="F590"/>
  <c r="E590"/>
  <c r="D590"/>
  <c r="A590"/>
  <c r="CI589"/>
  <c r="CH589"/>
  <c r="CG589"/>
  <c r="CF589"/>
  <c r="CE589"/>
  <c r="CD589"/>
  <c r="CA589"/>
  <c r="I589"/>
  <c r="H589"/>
  <c r="G589"/>
  <c r="F589"/>
  <c r="E589"/>
  <c r="D589"/>
  <c r="A589"/>
  <c r="CI588"/>
  <c r="CH588"/>
  <c r="CG588"/>
  <c r="CF588"/>
  <c r="CE588"/>
  <c r="CD588"/>
  <c r="CA588"/>
  <c r="I588"/>
  <c r="H588"/>
  <c r="G588"/>
  <c r="F588"/>
  <c r="E588"/>
  <c r="D588"/>
  <c r="A588"/>
  <c r="CI587"/>
  <c r="CH587"/>
  <c r="CG587"/>
  <c r="CF587"/>
  <c r="CE587"/>
  <c r="CD587"/>
  <c r="CA587"/>
  <c r="I587"/>
  <c r="H587"/>
  <c r="G587"/>
  <c r="F587"/>
  <c r="E587"/>
  <c r="D587"/>
  <c r="A587"/>
  <c r="CI586"/>
  <c r="CH586"/>
  <c r="CG586"/>
  <c r="CF586"/>
  <c r="CE586"/>
  <c r="CD586"/>
  <c r="CA586"/>
  <c r="I586"/>
  <c r="H586"/>
  <c r="G586"/>
  <c r="F586"/>
  <c r="E586"/>
  <c r="D586"/>
  <c r="A586"/>
  <c r="CI585"/>
  <c r="CH585"/>
  <c r="CG585"/>
  <c r="CF585"/>
  <c r="CE585"/>
  <c r="CD585"/>
  <c r="CA585"/>
  <c r="I585"/>
  <c r="H585"/>
  <c r="G585"/>
  <c r="F585"/>
  <c r="E585"/>
  <c r="D585"/>
  <c r="A585"/>
  <c r="CI584"/>
  <c r="CH584"/>
  <c r="CG584"/>
  <c r="CF584"/>
  <c r="CE584"/>
  <c r="CD584"/>
  <c r="CA584"/>
  <c r="I584"/>
  <c r="H584"/>
  <c r="G584"/>
  <c r="F584"/>
  <c r="E584"/>
  <c r="D584"/>
  <c r="A584"/>
  <c r="CI582"/>
  <c r="CH582"/>
  <c r="CG582"/>
  <c r="CF582"/>
  <c r="CE582"/>
  <c r="CD582"/>
  <c r="CA582"/>
  <c r="I582"/>
  <c r="H582"/>
  <c r="G582"/>
  <c r="F582"/>
  <c r="E582"/>
  <c r="D582"/>
  <c r="A582"/>
  <c r="CI581"/>
  <c r="CH581"/>
  <c r="CG581"/>
  <c r="CF581"/>
  <c r="CE581"/>
  <c r="CD581"/>
  <c r="CA581"/>
  <c r="I581"/>
  <c r="H581"/>
  <c r="G581"/>
  <c r="F581"/>
  <c r="E581"/>
  <c r="D581"/>
  <c r="A581"/>
  <c r="CI580"/>
  <c r="CH580"/>
  <c r="CG580"/>
  <c r="CF580"/>
  <c r="CE580"/>
  <c r="CD580"/>
  <c r="CA580"/>
  <c r="I580"/>
  <c r="H580"/>
  <c r="G580"/>
  <c r="F580"/>
  <c r="E580"/>
  <c r="D580"/>
  <c r="A580"/>
  <c r="CI579"/>
  <c r="CH579"/>
  <c r="CG579"/>
  <c r="CF579"/>
  <c r="CE579"/>
  <c r="CD579"/>
  <c r="CA579"/>
  <c r="I579"/>
  <c r="H579"/>
  <c r="G579"/>
  <c r="F579"/>
  <c r="E579"/>
  <c r="D579"/>
  <c r="A579"/>
  <c r="CI578"/>
  <c r="CH578"/>
  <c r="CG578"/>
  <c r="CF578"/>
  <c r="CE578"/>
  <c r="CD578"/>
  <c r="CA578"/>
  <c r="I578"/>
  <c r="H578"/>
  <c r="G578"/>
  <c r="F578"/>
  <c r="E578"/>
  <c r="D578"/>
  <c r="A578"/>
  <c r="CI577"/>
  <c r="CH577"/>
  <c r="CG577"/>
  <c r="CF577"/>
  <c r="CE577"/>
  <c r="CD577"/>
  <c r="CA577"/>
  <c r="I577"/>
  <c r="H577"/>
  <c r="G577"/>
  <c r="F577"/>
  <c r="E577"/>
  <c r="D577"/>
  <c r="A577"/>
  <c r="CI576"/>
  <c r="CH576"/>
  <c r="CG576"/>
  <c r="CF576"/>
  <c r="CE576"/>
  <c r="CD576"/>
  <c r="CA576"/>
  <c r="I576"/>
  <c r="H576"/>
  <c r="G576"/>
  <c r="F576"/>
  <c r="E576"/>
  <c r="D576"/>
  <c r="A576"/>
  <c r="CI575"/>
  <c r="CH575"/>
  <c r="CG575"/>
  <c r="CF575"/>
  <c r="CE575"/>
  <c r="CD575"/>
  <c r="CA575"/>
  <c r="I575"/>
  <c r="H575"/>
  <c r="G575"/>
  <c r="F575"/>
  <c r="E575"/>
  <c r="D575"/>
  <c r="A575"/>
  <c r="CI574"/>
  <c r="CH574"/>
  <c r="CG574"/>
  <c r="CF574"/>
  <c r="CE574"/>
  <c r="CD574"/>
  <c r="CA574"/>
  <c r="I574"/>
  <c r="H574"/>
  <c r="G574"/>
  <c r="F574"/>
  <c r="E574"/>
  <c r="D574"/>
  <c r="A574"/>
  <c r="CI573"/>
  <c r="CH573"/>
  <c r="CG573"/>
  <c r="CF573"/>
  <c r="CE573"/>
  <c r="CD573"/>
  <c r="CA573"/>
  <c r="I573"/>
  <c r="H573"/>
  <c r="G573"/>
  <c r="F573"/>
  <c r="E573"/>
  <c r="D573"/>
  <c r="A573"/>
  <c r="CI572"/>
  <c r="CH572"/>
  <c r="CG572"/>
  <c r="CF572"/>
  <c r="CE572"/>
  <c r="CD572"/>
  <c r="CA572"/>
  <c r="I572"/>
  <c r="H572"/>
  <c r="G572"/>
  <c r="F572"/>
  <c r="E572"/>
  <c r="D572"/>
  <c r="A572"/>
  <c r="CI571"/>
  <c r="CH571"/>
  <c r="CG571"/>
  <c r="CF571"/>
  <c r="CE571"/>
  <c r="CD571"/>
  <c r="CA571"/>
  <c r="I571"/>
  <c r="H571"/>
  <c r="G571"/>
  <c r="F571"/>
  <c r="E571"/>
  <c r="D571"/>
  <c r="A571"/>
  <c r="CI570"/>
  <c r="CH570"/>
  <c r="CG570"/>
  <c r="CF570"/>
  <c r="CE570"/>
  <c r="CD570"/>
  <c r="CA570"/>
  <c r="I570"/>
  <c r="H570"/>
  <c r="G570"/>
  <c r="F570"/>
  <c r="E570"/>
  <c r="D570"/>
  <c r="A570"/>
  <c r="CI569"/>
  <c r="CH569"/>
  <c r="CG569"/>
  <c r="CF569"/>
  <c r="CE569"/>
  <c r="CD569"/>
  <c r="CA569"/>
  <c r="I569"/>
  <c r="H569"/>
  <c r="G569"/>
  <c r="F569"/>
  <c r="E569"/>
  <c r="D569"/>
  <c r="A569"/>
  <c r="CI568"/>
  <c r="CH568"/>
  <c r="CG568"/>
  <c r="CF568"/>
  <c r="CE568"/>
  <c r="CD568"/>
  <c r="CA568"/>
  <c r="I568"/>
  <c r="H568"/>
  <c r="G568"/>
  <c r="F568"/>
  <c r="E568"/>
  <c r="D568"/>
  <c r="A568"/>
  <c r="CI567"/>
  <c r="CH567"/>
  <c r="CG567"/>
  <c r="CF567"/>
  <c r="CE567"/>
  <c r="CD567"/>
  <c r="CA567"/>
  <c r="I567"/>
  <c r="H567"/>
  <c r="G567"/>
  <c r="F567"/>
  <c r="E567"/>
  <c r="D567"/>
  <c r="A567"/>
  <c r="CI566"/>
  <c r="CH566"/>
  <c r="CG566"/>
  <c r="CF566"/>
  <c r="CE566"/>
  <c r="CD566"/>
  <c r="CA566"/>
  <c r="I566"/>
  <c r="H566"/>
  <c r="G566"/>
  <c r="F566"/>
  <c r="E566"/>
  <c r="D566"/>
  <c r="A566"/>
  <c r="CI565"/>
  <c r="CH565"/>
  <c r="CG565"/>
  <c r="CF565"/>
  <c r="CE565"/>
  <c r="CD565"/>
  <c r="CA565"/>
  <c r="I565"/>
  <c r="H565"/>
  <c r="G565"/>
  <c r="F565"/>
  <c r="E565"/>
  <c r="D565"/>
  <c r="A565"/>
  <c r="CI563"/>
  <c r="CH563"/>
  <c r="CG563"/>
  <c r="CF563"/>
  <c r="CE563"/>
  <c r="CD563"/>
  <c r="CA563"/>
  <c r="I563"/>
  <c r="H563"/>
  <c r="G563"/>
  <c r="F563"/>
  <c r="E563"/>
  <c r="D563"/>
  <c r="A563"/>
  <c r="CI562"/>
  <c r="CH562"/>
  <c r="CG562"/>
  <c r="CF562"/>
  <c r="CE562"/>
  <c r="CD562"/>
  <c r="CA562"/>
  <c r="I562"/>
  <c r="H562"/>
  <c r="G562"/>
  <c r="F562"/>
  <c r="E562"/>
  <c r="D562"/>
  <c r="A562"/>
  <c r="CI561"/>
  <c r="CH561"/>
  <c r="CG561"/>
  <c r="CF561"/>
  <c r="CE561"/>
  <c r="CD561"/>
  <c r="CA561"/>
  <c r="I561"/>
  <c r="H561"/>
  <c r="G561"/>
  <c r="F561"/>
  <c r="E561"/>
  <c r="D561"/>
  <c r="A561"/>
  <c r="CI560"/>
  <c r="CH560"/>
  <c r="CG560"/>
  <c r="CF560"/>
  <c r="CE560"/>
  <c r="CD560"/>
  <c r="CA560"/>
  <c r="I560"/>
  <c r="H560"/>
  <c r="G560"/>
  <c r="F560"/>
  <c r="E560"/>
  <c r="D560"/>
  <c r="A560"/>
  <c r="CI559"/>
  <c r="CH559"/>
  <c r="CG559"/>
  <c r="CF559"/>
  <c r="CE559"/>
  <c r="CD559"/>
  <c r="CA559"/>
  <c r="I559"/>
  <c r="H559"/>
  <c r="G559"/>
  <c r="F559"/>
  <c r="E559"/>
  <c r="D559"/>
  <c r="A559"/>
  <c r="CI558"/>
  <c r="CH558"/>
  <c r="CG558"/>
  <c r="CF558"/>
  <c r="CE558"/>
  <c r="CD558"/>
  <c r="CA558"/>
  <c r="I558"/>
  <c r="H558"/>
  <c r="G558"/>
  <c r="F558"/>
  <c r="E558"/>
  <c r="D558"/>
  <c r="A558"/>
  <c r="CI557"/>
  <c r="CH557"/>
  <c r="CG557"/>
  <c r="CF557"/>
  <c r="CE557"/>
  <c r="CD557"/>
  <c r="CA557"/>
  <c r="I557"/>
  <c r="H557"/>
  <c r="G557"/>
  <c r="F557"/>
  <c r="E557"/>
  <c r="D557"/>
  <c r="A557"/>
  <c r="CI556"/>
  <c r="CH556"/>
  <c r="CG556"/>
  <c r="CF556"/>
  <c r="CE556"/>
  <c r="CD556"/>
  <c r="CA556"/>
  <c r="I556"/>
  <c r="H556"/>
  <c r="G556"/>
  <c r="F556"/>
  <c r="E556"/>
  <c r="D556"/>
  <c r="A556"/>
  <c r="CI555"/>
  <c r="CH555"/>
  <c r="CG555"/>
  <c r="CF555"/>
  <c r="CE555"/>
  <c r="CD555"/>
  <c r="CA555"/>
  <c r="I555"/>
  <c r="H555"/>
  <c r="G555"/>
  <c r="F555"/>
  <c r="E555"/>
  <c r="D555"/>
  <c r="A555"/>
  <c r="CI554"/>
  <c r="CH554"/>
  <c r="CG554"/>
  <c r="CF554"/>
  <c r="CE554"/>
  <c r="CD554"/>
  <c r="CA554"/>
  <c r="I554"/>
  <c r="H554"/>
  <c r="G554"/>
  <c r="F554"/>
  <c r="E554"/>
  <c r="D554"/>
  <c r="A554"/>
  <c r="CI553"/>
  <c r="CH553"/>
  <c r="CG553"/>
  <c r="CF553"/>
  <c r="CE553"/>
  <c r="CD553"/>
  <c r="CA553"/>
  <c r="I553"/>
  <c r="H553"/>
  <c r="G553"/>
  <c r="F553"/>
  <c r="E553"/>
  <c r="D553"/>
  <c r="A553"/>
  <c r="CI552"/>
  <c r="CH552"/>
  <c r="CG552"/>
  <c r="CF552"/>
  <c r="CE552"/>
  <c r="CD552"/>
  <c r="CA552"/>
  <c r="I552"/>
  <c r="H552"/>
  <c r="G552"/>
  <c r="F552"/>
  <c r="E552"/>
  <c r="D552"/>
  <c r="A552"/>
  <c r="CI551"/>
  <c r="CH551"/>
  <c r="CG551"/>
  <c r="CF551"/>
  <c r="CE551"/>
  <c r="CD551"/>
  <c r="CA551"/>
  <c r="I551"/>
  <c r="H551"/>
  <c r="G551"/>
  <c r="F551"/>
  <c r="E551"/>
  <c r="D551"/>
  <c r="A551"/>
  <c r="CI550"/>
  <c r="CH550"/>
  <c r="CG550"/>
  <c r="CF550"/>
  <c r="CE550"/>
  <c r="CD550"/>
  <c r="CA550"/>
  <c r="I550"/>
  <c r="H550"/>
  <c r="G550"/>
  <c r="F550"/>
  <c r="E550"/>
  <c r="D550"/>
  <c r="A550"/>
  <c r="CI549"/>
  <c r="CH549"/>
  <c r="CG549"/>
  <c r="CF549"/>
  <c r="CE549"/>
  <c r="CD549"/>
  <c r="CA549"/>
  <c r="I549"/>
  <c r="H549"/>
  <c r="G549"/>
  <c r="F549"/>
  <c r="E549"/>
  <c r="D549"/>
  <c r="A549"/>
  <c r="CI548"/>
  <c r="CH548"/>
  <c r="CG548"/>
  <c r="CF548"/>
  <c r="CE548"/>
  <c r="CD548"/>
  <c r="CA548"/>
  <c r="I548"/>
  <c r="H548"/>
  <c r="G548"/>
  <c r="F548"/>
  <c r="E548"/>
  <c r="D548"/>
  <c r="A548"/>
  <c r="CI547"/>
  <c r="CH547"/>
  <c r="CG547"/>
  <c r="CF547"/>
  <c r="CE547"/>
  <c r="CD547"/>
  <c r="CA547"/>
  <c r="I547"/>
  <c r="H547"/>
  <c r="G547"/>
  <c r="F547"/>
  <c r="E547"/>
  <c r="D547"/>
  <c r="A547"/>
  <c r="CI546"/>
  <c r="CH546"/>
  <c r="CG546"/>
  <c r="CF546"/>
  <c r="CE546"/>
  <c r="CD546"/>
  <c r="CA546"/>
  <c r="I546"/>
  <c r="H546"/>
  <c r="G546"/>
  <c r="F546"/>
  <c r="E546"/>
  <c r="D546"/>
  <c r="A546"/>
  <c r="CI545"/>
  <c r="CH545"/>
  <c r="CG545"/>
  <c r="CF545"/>
  <c r="CE545"/>
  <c r="CD545"/>
  <c r="CA545"/>
  <c r="I545"/>
  <c r="H545"/>
  <c r="G545"/>
  <c r="F545"/>
  <c r="E545"/>
  <c r="D545"/>
  <c r="A545"/>
  <c r="CI544"/>
  <c r="CH544"/>
  <c r="CG544"/>
  <c r="CF544"/>
  <c r="CE544"/>
  <c r="CD544"/>
  <c r="CA544"/>
  <c r="I544"/>
  <c r="H544"/>
  <c r="G544"/>
  <c r="F544"/>
  <c r="E544"/>
  <c r="D544"/>
  <c r="A544"/>
  <c r="CI543"/>
  <c r="CH543"/>
  <c r="CG543"/>
  <c r="CF543"/>
  <c r="CE543"/>
  <c r="CD543"/>
  <c r="CA543"/>
  <c r="I543"/>
  <c r="H543"/>
  <c r="G543"/>
  <c r="F543"/>
  <c r="E543"/>
  <c r="D543"/>
  <c r="A543"/>
  <c r="CI541"/>
  <c r="CH541"/>
  <c r="CG541"/>
  <c r="CF541"/>
  <c r="CE541"/>
  <c r="CD541"/>
  <c r="CA541"/>
  <c r="I541"/>
  <c r="H541"/>
  <c r="G541"/>
  <c r="F541"/>
  <c r="E541"/>
  <c r="D541"/>
  <c r="A541"/>
  <c r="CI540"/>
  <c r="CH540"/>
  <c r="CG540"/>
  <c r="CF540"/>
  <c r="CE540"/>
  <c r="CD540"/>
  <c r="CA540"/>
  <c r="I540"/>
  <c r="H540"/>
  <c r="G540"/>
  <c r="F540"/>
  <c r="E540"/>
  <c r="D540"/>
  <c r="A540"/>
  <c r="CI539"/>
  <c r="CH539"/>
  <c r="CG539"/>
  <c r="CF539"/>
  <c r="CE539"/>
  <c r="CD539"/>
  <c r="CA539"/>
  <c r="I539"/>
  <c r="H539"/>
  <c r="G539"/>
  <c r="F539"/>
  <c r="E539"/>
  <c r="D539"/>
  <c r="A539"/>
  <c r="CI538"/>
  <c r="CH538"/>
  <c r="CG538"/>
  <c r="CF538"/>
  <c r="CE538"/>
  <c r="CD538"/>
  <c r="CA538"/>
  <c r="I538"/>
  <c r="H538"/>
  <c r="G538"/>
  <c r="F538"/>
  <c r="E538"/>
  <c r="D538"/>
  <c r="A538"/>
  <c r="CI537"/>
  <c r="CH537"/>
  <c r="CG537"/>
  <c r="CF537"/>
  <c r="CE537"/>
  <c r="CD537"/>
  <c r="CA537"/>
  <c r="I537"/>
  <c r="H537"/>
  <c r="G537"/>
  <c r="F537"/>
  <c r="E537"/>
  <c r="D537"/>
  <c r="A537"/>
  <c r="CI536"/>
  <c r="CH536"/>
  <c r="CG536"/>
  <c r="CF536"/>
  <c r="CE536"/>
  <c r="CD536"/>
  <c r="CA536"/>
  <c r="I536"/>
  <c r="H536"/>
  <c r="G536"/>
  <c r="F536"/>
  <c r="E536"/>
  <c r="D536"/>
  <c r="A536"/>
  <c r="CI535"/>
  <c r="CH535"/>
  <c r="CG535"/>
  <c r="CF535"/>
  <c r="CE535"/>
  <c r="CD535"/>
  <c r="CA535"/>
  <c r="I535"/>
  <c r="H535"/>
  <c r="G535"/>
  <c r="F535"/>
  <c r="E535"/>
  <c r="D535"/>
  <c r="A535"/>
  <c r="CI534"/>
  <c r="CH534"/>
  <c r="CG534"/>
  <c r="CF534"/>
  <c r="CE534"/>
  <c r="CD534"/>
  <c r="CA534"/>
  <c r="I534"/>
  <c r="H534"/>
  <c r="G534"/>
  <c r="F534"/>
  <c r="E534"/>
  <c r="D534"/>
  <c r="A534"/>
  <c r="CI533"/>
  <c r="CH533"/>
  <c r="CG533"/>
  <c r="CF533"/>
  <c r="CE533"/>
  <c r="CD533"/>
  <c r="CA533"/>
  <c r="I533"/>
  <c r="H533"/>
  <c r="G533"/>
  <c r="F533"/>
  <c r="E533"/>
  <c r="D533"/>
  <c r="A533"/>
  <c r="CI532"/>
  <c r="CH532"/>
  <c r="CG532"/>
  <c r="CF532"/>
  <c r="CE532"/>
  <c r="CD532"/>
  <c r="CA532"/>
  <c r="I532"/>
  <c r="H532"/>
  <c r="G532"/>
  <c r="F532"/>
  <c r="E532"/>
  <c r="D532"/>
  <c r="A532"/>
  <c r="CI531"/>
  <c r="CH531"/>
  <c r="CG531"/>
  <c r="CF531"/>
  <c r="CE531"/>
  <c r="CD531"/>
  <c r="CA531"/>
  <c r="I531"/>
  <c r="H531"/>
  <c r="G531"/>
  <c r="F531"/>
  <c r="E531"/>
  <c r="D531"/>
  <c r="A531"/>
  <c r="CI530"/>
  <c r="CH530"/>
  <c r="CG530"/>
  <c r="CF530"/>
  <c r="CE530"/>
  <c r="CD530"/>
  <c r="CA530"/>
  <c r="I530"/>
  <c r="H530"/>
  <c r="G530"/>
  <c r="F530"/>
  <c r="E530"/>
  <c r="D530"/>
  <c r="A530"/>
  <c r="CI529"/>
  <c r="CH529"/>
  <c r="CG529"/>
  <c r="CF529"/>
  <c r="CE529"/>
  <c r="CD529"/>
  <c r="CA529"/>
  <c r="I529"/>
  <c r="H529"/>
  <c r="G529"/>
  <c r="F529"/>
  <c r="E529"/>
  <c r="D529"/>
  <c r="A529"/>
  <c r="CI528"/>
  <c r="CH528"/>
  <c r="CG528"/>
  <c r="CF528"/>
  <c r="CE528"/>
  <c r="CD528"/>
  <c r="CA528"/>
  <c r="I528"/>
  <c r="H528"/>
  <c r="G528"/>
  <c r="F528"/>
  <c r="E528"/>
  <c r="D528"/>
  <c r="A528"/>
  <c r="CI527"/>
  <c r="CH527"/>
  <c r="CG527"/>
  <c r="CF527"/>
  <c r="CE527"/>
  <c r="CD527"/>
  <c r="CA527"/>
  <c r="I527"/>
  <c r="H527"/>
  <c r="G527"/>
  <c r="F527"/>
  <c r="E527"/>
  <c r="D527"/>
  <c r="A527"/>
  <c r="CI526"/>
  <c r="CH526"/>
  <c r="CG526"/>
  <c r="CF526"/>
  <c r="CE526"/>
  <c r="CD526"/>
  <c r="CA526"/>
  <c r="I526"/>
  <c r="H526"/>
  <c r="G526"/>
  <c r="F526"/>
  <c r="E526"/>
  <c r="D526"/>
  <c r="A526"/>
  <c r="CI524"/>
  <c r="CH524"/>
  <c r="CG524"/>
  <c r="CF524"/>
  <c r="CE524"/>
  <c r="CD524"/>
  <c r="CA524"/>
  <c r="I524"/>
  <c r="H524"/>
  <c r="G524"/>
  <c r="F524"/>
  <c r="E524"/>
  <c r="D524"/>
  <c r="A524"/>
  <c r="CI523"/>
  <c r="CH523"/>
  <c r="CG523"/>
  <c r="CF523"/>
  <c r="CE523"/>
  <c r="CD523"/>
  <c r="CA523"/>
  <c r="I523"/>
  <c r="H523"/>
  <c r="G523"/>
  <c r="F523"/>
  <c r="E523"/>
  <c r="D523"/>
  <c r="A523"/>
  <c r="CI522"/>
  <c r="CH522"/>
  <c r="CG522"/>
  <c r="CF522"/>
  <c r="CE522"/>
  <c r="CD522"/>
  <c r="CA522"/>
  <c r="I522"/>
  <c r="H522"/>
  <c r="G522"/>
  <c r="F522"/>
  <c r="E522"/>
  <c r="D522"/>
  <c r="A522"/>
  <c r="CI521"/>
  <c r="CH521"/>
  <c r="CG521"/>
  <c r="CF521"/>
  <c r="CE521"/>
  <c r="CD521"/>
  <c r="CA521"/>
  <c r="I521"/>
  <c r="H521"/>
  <c r="G521"/>
  <c r="F521"/>
  <c r="E521"/>
  <c r="D521"/>
  <c r="A521"/>
  <c r="CI520"/>
  <c r="CH520"/>
  <c r="CG520"/>
  <c r="CF520"/>
  <c r="CE520"/>
  <c r="CD520"/>
  <c r="CA520"/>
  <c r="I520"/>
  <c r="H520"/>
  <c r="G520"/>
  <c r="F520"/>
  <c r="E520"/>
  <c r="D520"/>
  <c r="A520"/>
  <c r="CI519"/>
  <c r="CH519"/>
  <c r="CG519"/>
  <c r="CF519"/>
  <c r="CE519"/>
  <c r="CD519"/>
  <c r="CA519"/>
  <c r="I519"/>
  <c r="H519"/>
  <c r="G519"/>
  <c r="F519"/>
  <c r="E519"/>
  <c r="D519"/>
  <c r="A519"/>
  <c r="CI518"/>
  <c r="CH518"/>
  <c r="CG518"/>
  <c r="CF518"/>
  <c r="CE518"/>
  <c r="CD518"/>
  <c r="CA518"/>
  <c r="I518"/>
  <c r="H518"/>
  <c r="G518"/>
  <c r="F518"/>
  <c r="E518"/>
  <c r="D518"/>
  <c r="A518"/>
  <c r="CI517"/>
  <c r="CH517"/>
  <c r="CG517"/>
  <c r="CF517"/>
  <c r="CE517"/>
  <c r="CD517"/>
  <c r="CA517"/>
  <c r="I517"/>
  <c r="H517"/>
  <c r="G517"/>
  <c r="F517"/>
  <c r="E517"/>
  <c r="D517"/>
  <c r="A517"/>
  <c r="CI516"/>
  <c r="CH516"/>
  <c r="CG516"/>
  <c r="CF516"/>
  <c r="CE516"/>
  <c r="CD516"/>
  <c r="CA516"/>
  <c r="I516"/>
  <c r="H516"/>
  <c r="G516"/>
  <c r="F516"/>
  <c r="E516"/>
  <c r="D516"/>
  <c r="A516"/>
  <c r="CI515"/>
  <c r="CH515"/>
  <c r="CG515"/>
  <c r="CF515"/>
  <c r="CE515"/>
  <c r="CD515"/>
  <c r="CA515"/>
  <c r="I515"/>
  <c r="H515"/>
  <c r="G515"/>
  <c r="F515"/>
  <c r="E515"/>
  <c r="D515"/>
  <c r="A515"/>
  <c r="CI514"/>
  <c r="CH514"/>
  <c r="CG514"/>
  <c r="CF514"/>
  <c r="CE514"/>
  <c r="CD514"/>
  <c r="CA514"/>
  <c r="I514"/>
  <c r="H514"/>
  <c r="G514"/>
  <c r="F514"/>
  <c r="E514"/>
  <c r="D514"/>
  <c r="A514"/>
  <c r="CI513"/>
  <c r="CH513"/>
  <c r="CG513"/>
  <c r="CF513"/>
  <c r="CE513"/>
  <c r="CD513"/>
  <c r="CA513"/>
  <c r="I513"/>
  <c r="H513"/>
  <c r="G513"/>
  <c r="F513"/>
  <c r="E513"/>
  <c r="D513"/>
  <c r="A513"/>
  <c r="CI512"/>
  <c r="CH512"/>
  <c r="CG512"/>
  <c r="CF512"/>
  <c r="CE512"/>
  <c r="CD512"/>
  <c r="CA512"/>
  <c r="I512"/>
  <c r="H512"/>
  <c r="G512"/>
  <c r="F512"/>
  <c r="E512"/>
  <c r="D512"/>
  <c r="A512"/>
  <c r="CI511"/>
  <c r="CH511"/>
  <c r="CG511"/>
  <c r="CF511"/>
  <c r="CE511"/>
  <c r="CD511"/>
  <c r="CA511"/>
  <c r="I511"/>
  <c r="H511"/>
  <c r="G511"/>
  <c r="F511"/>
  <c r="E511"/>
  <c r="D511"/>
  <c r="A511"/>
  <c r="CI510"/>
  <c r="CH510"/>
  <c r="CG510"/>
  <c r="CF510"/>
  <c r="CE510"/>
  <c r="CD510"/>
  <c r="CA510"/>
  <c r="I510"/>
  <c r="H510"/>
  <c r="G510"/>
  <c r="F510"/>
  <c r="E510"/>
  <c r="D510"/>
  <c r="A510"/>
  <c r="CI509"/>
  <c r="CH509"/>
  <c r="CG509"/>
  <c r="CF509"/>
  <c r="CE509"/>
  <c r="CD509"/>
  <c r="CA509"/>
  <c r="I509"/>
  <c r="H509"/>
  <c r="G509"/>
  <c r="F509"/>
  <c r="E509"/>
  <c r="D509"/>
  <c r="A509"/>
  <c r="CI508"/>
  <c r="CH508"/>
  <c r="CG508"/>
  <c r="CF508"/>
  <c r="CE508"/>
  <c r="CD508"/>
  <c r="CA508"/>
  <c r="I508"/>
  <c r="H508"/>
  <c r="G508"/>
  <c r="F508"/>
  <c r="E508"/>
  <c r="D508"/>
  <c r="A508"/>
  <c r="CI507"/>
  <c r="CH507"/>
  <c r="CG507"/>
  <c r="CF507"/>
  <c r="CE507"/>
  <c r="CD507"/>
  <c r="CA507"/>
  <c r="I507"/>
  <c r="H507"/>
  <c r="G507"/>
  <c r="F507"/>
  <c r="E507"/>
  <c r="D507"/>
  <c r="A507"/>
  <c r="CI500"/>
  <c r="CH500"/>
  <c r="CG500"/>
  <c r="CF500"/>
  <c r="CE500"/>
  <c r="CD500"/>
  <c r="CA500"/>
  <c r="I500"/>
  <c r="H500"/>
  <c r="G500"/>
  <c r="F500"/>
  <c r="E500"/>
  <c r="D500"/>
  <c r="A500"/>
  <c r="CI499"/>
  <c r="CH499"/>
  <c r="CG499"/>
  <c r="CF499"/>
  <c r="CE499"/>
  <c r="CD499"/>
  <c r="CA499"/>
  <c r="I499"/>
  <c r="H499"/>
  <c r="G499"/>
  <c r="F499"/>
  <c r="E499"/>
  <c r="D499"/>
  <c r="A499"/>
  <c r="CI498"/>
  <c r="CH498"/>
  <c r="CG498"/>
  <c r="CF498"/>
  <c r="CE498"/>
  <c r="CD498"/>
  <c r="CA498"/>
  <c r="I498"/>
  <c r="H498"/>
  <c r="G498"/>
  <c r="F498"/>
  <c r="E498"/>
  <c r="D498"/>
  <c r="A498"/>
  <c r="CI497"/>
  <c r="CH497"/>
  <c r="CG497"/>
  <c r="CF497"/>
  <c r="CE497"/>
  <c r="CD497"/>
  <c r="CA497"/>
  <c r="I497"/>
  <c r="H497"/>
  <c r="G497"/>
  <c r="F497"/>
  <c r="E497"/>
  <c r="D497"/>
  <c r="A497"/>
  <c r="CI496"/>
  <c r="CH496"/>
  <c r="CG496"/>
  <c r="CF496"/>
  <c r="CE496"/>
  <c r="CD496"/>
  <c r="CA496"/>
  <c r="I496"/>
  <c r="H496"/>
  <c r="G496"/>
  <c r="F496"/>
  <c r="E496"/>
  <c r="D496"/>
  <c r="A496"/>
  <c r="CI494"/>
  <c r="CH494"/>
  <c r="CG494"/>
  <c r="CF494"/>
  <c r="CE494"/>
  <c r="CD494"/>
  <c r="CA494"/>
  <c r="I494"/>
  <c r="H494"/>
  <c r="G494"/>
  <c r="F494"/>
  <c r="E494"/>
  <c r="D494"/>
  <c r="A494"/>
  <c r="CI493"/>
  <c r="CH493"/>
  <c r="CG493"/>
  <c r="CF493"/>
  <c r="CE493"/>
  <c r="CD493"/>
  <c r="CA493"/>
  <c r="I493"/>
  <c r="H493"/>
  <c r="G493"/>
  <c r="F493"/>
  <c r="E493"/>
  <c r="D493"/>
  <c r="A493"/>
  <c r="CI492"/>
  <c r="CH492"/>
  <c r="CG492"/>
  <c r="CF492"/>
  <c r="CE492"/>
  <c r="CD492"/>
  <c r="CA492"/>
  <c r="I492"/>
  <c r="H492"/>
  <c r="G492"/>
  <c r="F492"/>
  <c r="E492"/>
  <c r="D492"/>
  <c r="A492"/>
  <c r="CI491"/>
  <c r="CH491"/>
  <c r="CG491"/>
  <c r="CF491"/>
  <c r="CE491"/>
  <c r="CD491"/>
  <c r="CA491"/>
  <c r="I491"/>
  <c r="H491"/>
  <c r="G491"/>
  <c r="F491"/>
  <c r="E491"/>
  <c r="D491"/>
  <c r="A491"/>
  <c r="CI490"/>
  <c r="CH490"/>
  <c r="CG490"/>
  <c r="CF490"/>
  <c r="CE490"/>
  <c r="CD490"/>
  <c r="CA490"/>
  <c r="I490"/>
  <c r="H490"/>
  <c r="G490"/>
  <c r="F490"/>
  <c r="E490"/>
  <c r="D490"/>
  <c r="A490"/>
  <c r="CI488"/>
  <c r="CH488"/>
  <c r="CG488"/>
  <c r="CF488"/>
  <c r="CE488"/>
  <c r="CD488"/>
  <c r="CA488"/>
  <c r="I488"/>
  <c r="H488"/>
  <c r="G488"/>
  <c r="F488"/>
  <c r="E488"/>
  <c r="D488"/>
  <c r="A488"/>
  <c r="CI487"/>
  <c r="CH487"/>
  <c r="CG487"/>
  <c r="CF487"/>
  <c r="CE487"/>
  <c r="CD487"/>
  <c r="CA487"/>
  <c r="I487"/>
  <c r="H487"/>
  <c r="G487"/>
  <c r="F487"/>
  <c r="E487"/>
  <c r="D487"/>
  <c r="A487"/>
  <c r="CI486"/>
  <c r="CH486"/>
  <c r="CG486"/>
  <c r="CF486"/>
  <c r="CE486"/>
  <c r="CD486"/>
  <c r="CA486"/>
  <c r="I486"/>
  <c r="H486"/>
  <c r="G486"/>
  <c r="F486"/>
  <c r="E486"/>
  <c r="D486"/>
  <c r="A486"/>
  <c r="CI485"/>
  <c r="CH485"/>
  <c r="CG485"/>
  <c r="CF485"/>
  <c r="CE485"/>
  <c r="CD485"/>
  <c r="CA485"/>
  <c r="I485"/>
  <c r="H485"/>
  <c r="G485"/>
  <c r="F485"/>
  <c r="E485"/>
  <c r="D485"/>
  <c r="A485"/>
  <c r="CI484"/>
  <c r="CH484"/>
  <c r="CG484"/>
  <c r="CF484"/>
  <c r="CE484"/>
  <c r="CD484"/>
  <c r="CA484"/>
  <c r="I484"/>
  <c r="H484"/>
  <c r="G484"/>
  <c r="F484"/>
  <c r="E484"/>
  <c r="D484"/>
  <c r="A484"/>
  <c r="CI482"/>
  <c r="CH482"/>
  <c r="CG482"/>
  <c r="CF482"/>
  <c r="CE482"/>
  <c r="CD482"/>
  <c r="CA482"/>
  <c r="I482"/>
  <c r="H482"/>
  <c r="G482"/>
  <c r="F482"/>
  <c r="E482"/>
  <c r="D482"/>
  <c r="A482"/>
  <c r="CI481"/>
  <c r="CH481"/>
  <c r="CG481"/>
  <c r="CF481"/>
  <c r="CE481"/>
  <c r="CD481"/>
  <c r="CA481"/>
  <c r="I481"/>
  <c r="H481"/>
  <c r="G481"/>
  <c r="F481"/>
  <c r="E481"/>
  <c r="D481"/>
  <c r="A481"/>
  <c r="CI480"/>
  <c r="CH480"/>
  <c r="CG480"/>
  <c r="CF480"/>
  <c r="CE480"/>
  <c r="CD480"/>
  <c r="CA480"/>
  <c r="I480"/>
  <c r="H480"/>
  <c r="G480"/>
  <c r="F480"/>
  <c r="E480"/>
  <c r="D480"/>
  <c r="A480"/>
  <c r="CI479"/>
  <c r="CH479"/>
  <c r="CG479"/>
  <c r="CF479"/>
  <c r="CE479"/>
  <c r="CD479"/>
  <c r="CA479"/>
  <c r="I479"/>
  <c r="H479"/>
  <c r="G479"/>
  <c r="F479"/>
  <c r="E479"/>
  <c r="D479"/>
  <c r="A479"/>
  <c r="CI478"/>
  <c r="CH478"/>
  <c r="CG478"/>
  <c r="CF478"/>
  <c r="CE478"/>
  <c r="CD478"/>
  <c r="CA478"/>
  <c r="I478"/>
  <c r="H478"/>
  <c r="G478"/>
  <c r="F478"/>
  <c r="E478"/>
  <c r="D478"/>
  <c r="A478"/>
  <c r="CI476"/>
  <c r="CH476"/>
  <c r="CG476"/>
  <c r="CF476"/>
  <c r="CE476"/>
  <c r="CD476"/>
  <c r="CA476"/>
  <c r="I476"/>
  <c r="H476"/>
  <c r="G476"/>
  <c r="F476"/>
  <c r="E476"/>
  <c r="D476"/>
  <c r="A476"/>
  <c r="CI475"/>
  <c r="CH475"/>
  <c r="CG475"/>
  <c r="CF475"/>
  <c r="CE475"/>
  <c r="CD475"/>
  <c r="CA475"/>
  <c r="I475"/>
  <c r="H475"/>
  <c r="G475"/>
  <c r="F475"/>
  <c r="E475"/>
  <c r="D475"/>
  <c r="A475"/>
  <c r="CI474"/>
  <c r="CH474"/>
  <c r="CG474"/>
  <c r="CF474"/>
  <c r="CE474"/>
  <c r="CD474"/>
  <c r="CA474"/>
  <c r="I474"/>
  <c r="H474"/>
  <c r="G474"/>
  <c r="F474"/>
  <c r="E474"/>
  <c r="D474"/>
  <c r="A474"/>
  <c r="CI473"/>
  <c r="CH473"/>
  <c r="CG473"/>
  <c r="CF473"/>
  <c r="CE473"/>
  <c r="CD473"/>
  <c r="CA473"/>
  <c r="I473"/>
  <c r="H473"/>
  <c r="G473"/>
  <c r="F473"/>
  <c r="E473"/>
  <c r="D473"/>
  <c r="A473"/>
  <c r="CI472"/>
  <c r="CH472"/>
  <c r="CG472"/>
  <c r="CF472"/>
  <c r="CE472"/>
  <c r="CD472"/>
  <c r="CA472"/>
  <c r="I472"/>
  <c r="H472"/>
  <c r="G472"/>
  <c r="F472"/>
  <c r="E472"/>
  <c r="D472"/>
  <c r="A472"/>
  <c r="CI470"/>
  <c r="CH470"/>
  <c r="CG470"/>
  <c r="CF470"/>
  <c r="CE470"/>
  <c r="CD470"/>
  <c r="CA470"/>
  <c r="I470"/>
  <c r="H470"/>
  <c r="G470"/>
  <c r="F470"/>
  <c r="E470"/>
  <c r="D470"/>
  <c r="A470"/>
  <c r="CI469"/>
  <c r="CH469"/>
  <c r="CG469"/>
  <c r="CF469"/>
  <c r="CE469"/>
  <c r="CD469"/>
  <c r="CA469"/>
  <c r="I469"/>
  <c r="H469"/>
  <c r="G469"/>
  <c r="F469"/>
  <c r="E469"/>
  <c r="D469"/>
  <c r="A469"/>
  <c r="CI468"/>
  <c r="CH468"/>
  <c r="CG468"/>
  <c r="CF468"/>
  <c r="CE468"/>
  <c r="CD468"/>
  <c r="CA468"/>
  <c r="I468"/>
  <c r="H468"/>
  <c r="G468"/>
  <c r="F468"/>
  <c r="E468"/>
  <c r="D468"/>
  <c r="A468"/>
  <c r="CI467"/>
  <c r="CH467"/>
  <c r="CG467"/>
  <c r="CF467"/>
  <c r="CE467"/>
  <c r="CD467"/>
  <c r="CA467"/>
  <c r="I467"/>
  <c r="H467"/>
  <c r="G467"/>
  <c r="F467"/>
  <c r="E467"/>
  <c r="D467"/>
  <c r="A467"/>
  <c r="CI466"/>
  <c r="CH466"/>
  <c r="CG466"/>
  <c r="CF466"/>
  <c r="CE466"/>
  <c r="CD466"/>
  <c r="CA466"/>
  <c r="I466"/>
  <c r="H466"/>
  <c r="G466"/>
  <c r="F466"/>
  <c r="E466"/>
  <c r="D466"/>
  <c r="A466"/>
  <c r="CI465"/>
  <c r="CH465"/>
  <c r="CG465"/>
  <c r="CF465"/>
  <c r="CE465"/>
  <c r="CD465"/>
  <c r="CA465"/>
  <c r="I465"/>
  <c r="H465"/>
  <c r="G465"/>
  <c r="F465"/>
  <c r="E465"/>
  <c r="D465"/>
  <c r="A465"/>
  <c r="CI464"/>
  <c r="CH464"/>
  <c r="CG464"/>
  <c r="CF464"/>
  <c r="CE464"/>
  <c r="CD464"/>
  <c r="CA464"/>
  <c r="I464"/>
  <c r="H464"/>
  <c r="G464"/>
  <c r="F464"/>
  <c r="E464"/>
  <c r="D464"/>
  <c r="A464"/>
  <c r="CI463"/>
  <c r="CH463"/>
  <c r="CG463"/>
  <c r="CF463"/>
  <c r="CE463"/>
  <c r="CD463"/>
  <c r="CA463"/>
  <c r="I463"/>
  <c r="H463"/>
  <c r="G463"/>
  <c r="F463"/>
  <c r="E463"/>
  <c r="D463"/>
  <c r="A463"/>
  <c r="CI462"/>
  <c r="CH462"/>
  <c r="CG462"/>
  <c r="CF462"/>
  <c r="CE462"/>
  <c r="CD462"/>
  <c r="CA462"/>
  <c r="I462"/>
  <c r="H462"/>
  <c r="G462"/>
  <c r="F462"/>
  <c r="E462"/>
  <c r="D462"/>
  <c r="A462"/>
  <c r="CI461"/>
  <c r="CH461"/>
  <c r="CG461"/>
  <c r="CF461"/>
  <c r="CE461"/>
  <c r="CD461"/>
  <c r="CA461"/>
  <c r="I461"/>
  <c r="H461"/>
  <c r="G461"/>
  <c r="F461"/>
  <c r="E461"/>
  <c r="D461"/>
  <c r="A461"/>
  <c r="CI460"/>
  <c r="CH460"/>
  <c r="CG460"/>
  <c r="CF460"/>
  <c r="CE460"/>
  <c r="CD460"/>
  <c r="CA460"/>
  <c r="I460"/>
  <c r="H460"/>
  <c r="G460"/>
  <c r="F460"/>
  <c r="E460"/>
  <c r="D460"/>
  <c r="A460"/>
  <c r="CI459"/>
  <c r="CH459"/>
  <c r="CG459"/>
  <c r="CF459"/>
  <c r="CE459"/>
  <c r="CD459"/>
  <c r="CA459"/>
  <c r="I459"/>
  <c r="H459"/>
  <c r="G459"/>
  <c r="F459"/>
  <c r="E459"/>
  <c r="D459"/>
  <c r="A459"/>
  <c r="CI457"/>
  <c r="CH457"/>
  <c r="CG457"/>
  <c r="CF457"/>
  <c r="CE457"/>
  <c r="CD457"/>
  <c r="CA457"/>
  <c r="I457"/>
  <c r="H457"/>
  <c r="G457"/>
  <c r="F457"/>
  <c r="E457"/>
  <c r="D457"/>
  <c r="A457"/>
  <c r="CI456"/>
  <c r="CH456"/>
  <c r="CG456"/>
  <c r="CF456"/>
  <c r="CE456"/>
  <c r="CD456"/>
  <c r="CA456"/>
  <c r="I456"/>
  <c r="H456"/>
  <c r="G456"/>
  <c r="F456"/>
  <c r="E456"/>
  <c r="D456"/>
  <c r="A456"/>
  <c r="CI455"/>
  <c r="CH455"/>
  <c r="CG455"/>
  <c r="CF455"/>
  <c r="CE455"/>
  <c r="CD455"/>
  <c r="CA455"/>
  <c r="I455"/>
  <c r="H455"/>
  <c r="G455"/>
  <c r="F455"/>
  <c r="E455"/>
  <c r="D455"/>
  <c r="A455"/>
  <c r="CI454"/>
  <c r="CH454"/>
  <c r="CG454"/>
  <c r="CF454"/>
  <c r="CE454"/>
  <c r="CD454"/>
  <c r="CA454"/>
  <c r="I454"/>
  <c r="H454"/>
  <c r="G454"/>
  <c r="F454"/>
  <c r="E454"/>
  <c r="D454"/>
  <c r="A454"/>
  <c r="CI453"/>
  <c r="CH453"/>
  <c r="CG453"/>
  <c r="CF453"/>
  <c r="CE453"/>
  <c r="CD453"/>
  <c r="CA453"/>
  <c r="I453"/>
  <c r="H453"/>
  <c r="G453"/>
  <c r="F453"/>
  <c r="E453"/>
  <c r="D453"/>
  <c r="A453"/>
  <c r="CI452"/>
  <c r="CH452"/>
  <c r="CG452"/>
  <c r="CF452"/>
  <c r="CE452"/>
  <c r="CD452"/>
  <c r="CA452"/>
  <c r="I452"/>
  <c r="H452"/>
  <c r="G452"/>
  <c r="F452"/>
  <c r="E452"/>
  <c r="D452"/>
  <c r="A452"/>
  <c r="CI451"/>
  <c r="CH451"/>
  <c r="CG451"/>
  <c r="CF451"/>
  <c r="CE451"/>
  <c r="CD451"/>
  <c r="CA451"/>
  <c r="I451"/>
  <c r="H451"/>
  <c r="G451"/>
  <c r="F451"/>
  <c r="E451"/>
  <c r="D451"/>
  <c r="A451"/>
  <c r="CI450"/>
  <c r="CH450"/>
  <c r="CG450"/>
  <c r="CF450"/>
  <c r="CE450"/>
  <c r="CD450"/>
  <c r="CA450"/>
  <c r="I450"/>
  <c r="H450"/>
  <c r="G450"/>
  <c r="F450"/>
  <c r="E450"/>
  <c r="D450"/>
  <c r="A450"/>
  <c r="CI449"/>
  <c r="CH449"/>
  <c r="CG449"/>
  <c r="CF449"/>
  <c r="CE449"/>
  <c r="CD449"/>
  <c r="CA449"/>
  <c r="I449"/>
  <c r="H449"/>
  <c r="G449"/>
  <c r="F449"/>
  <c r="E449"/>
  <c r="D449"/>
  <c r="A449"/>
  <c r="CI448"/>
  <c r="CH448"/>
  <c r="CG448"/>
  <c r="CF448"/>
  <c r="CE448"/>
  <c r="CD448"/>
  <c r="CA448"/>
  <c r="I448"/>
  <c r="H448"/>
  <c r="G448"/>
  <c r="F448"/>
  <c r="E448"/>
  <c r="D448"/>
  <c r="A448"/>
  <c r="CI447"/>
  <c r="CH447"/>
  <c r="CG447"/>
  <c r="CF447"/>
  <c r="CE447"/>
  <c r="CD447"/>
  <c r="CA447"/>
  <c r="I447"/>
  <c r="H447"/>
  <c r="G447"/>
  <c r="F447"/>
  <c r="E447"/>
  <c r="D447"/>
  <c r="A447"/>
  <c r="CI445"/>
  <c r="CH445"/>
  <c r="CG445"/>
  <c r="CF445"/>
  <c r="CE445"/>
  <c r="CD445"/>
  <c r="CA445"/>
  <c r="I445"/>
  <c r="H445"/>
  <c r="G445"/>
  <c r="F445"/>
  <c r="E445"/>
  <c r="D445"/>
  <c r="A445"/>
  <c r="CI444"/>
  <c r="CH444"/>
  <c r="CG444"/>
  <c r="CF444"/>
  <c r="CE444"/>
  <c r="CD444"/>
  <c r="CA444"/>
  <c r="I444"/>
  <c r="H444"/>
  <c r="G444"/>
  <c r="F444"/>
  <c r="E444"/>
  <c r="D444"/>
  <c r="A444"/>
  <c r="CI443"/>
  <c r="CH443"/>
  <c r="CG443"/>
  <c r="CF443"/>
  <c r="CE443"/>
  <c r="CD443"/>
  <c r="CA443"/>
  <c r="I443"/>
  <c r="H443"/>
  <c r="G443"/>
  <c r="F443"/>
  <c r="E443"/>
  <c r="D443"/>
  <c r="A443"/>
  <c r="CI442"/>
  <c r="CH442"/>
  <c r="CG442"/>
  <c r="CF442"/>
  <c r="CE442"/>
  <c r="CD442"/>
  <c r="CA442"/>
  <c r="I442"/>
  <c r="H442"/>
  <c r="G442"/>
  <c r="F442"/>
  <c r="E442"/>
  <c r="D442"/>
  <c r="A442"/>
  <c r="CI441"/>
  <c r="CH441"/>
  <c r="CG441"/>
  <c r="CF441"/>
  <c r="CE441"/>
  <c r="CD441"/>
  <c r="CA441"/>
  <c r="I441"/>
  <c r="H441"/>
  <c r="G441"/>
  <c r="F441"/>
  <c r="E441"/>
  <c r="D441"/>
  <c r="A441"/>
  <c r="CI440"/>
  <c r="CH440"/>
  <c r="CG440"/>
  <c r="CF440"/>
  <c r="CE440"/>
  <c r="CD440"/>
  <c r="CA440"/>
  <c r="I440"/>
  <c r="H440"/>
  <c r="G440"/>
  <c r="F440"/>
  <c r="E440"/>
  <c r="D440"/>
  <c r="A440"/>
  <c r="CI439"/>
  <c r="CH439"/>
  <c r="CG439"/>
  <c r="CF439"/>
  <c r="CE439"/>
  <c r="CD439"/>
  <c r="CA439"/>
  <c r="I439"/>
  <c r="H439"/>
  <c r="G439"/>
  <c r="F439"/>
  <c r="E439"/>
  <c r="D439"/>
  <c r="A439"/>
  <c r="CI438"/>
  <c r="CH438"/>
  <c r="CG438"/>
  <c r="CF438"/>
  <c r="CE438"/>
  <c r="CD438"/>
  <c r="CA438"/>
  <c r="I438"/>
  <c r="H438"/>
  <c r="G438"/>
  <c r="F438"/>
  <c r="E438"/>
  <c r="D438"/>
  <c r="A438"/>
  <c r="CI437"/>
  <c r="CH437"/>
  <c r="CG437"/>
  <c r="CF437"/>
  <c r="CE437"/>
  <c r="CD437"/>
  <c r="CA437"/>
  <c r="I437"/>
  <c r="H437"/>
  <c r="G437"/>
  <c r="F437"/>
  <c r="E437"/>
  <c r="D437"/>
  <c r="A437"/>
  <c r="CI436"/>
  <c r="CH436"/>
  <c r="CG436"/>
  <c r="CF436"/>
  <c r="CE436"/>
  <c r="CD436"/>
  <c r="CA436"/>
  <c r="I436"/>
  <c r="H436"/>
  <c r="G436"/>
  <c r="F436"/>
  <c r="E436"/>
  <c r="D436"/>
  <c r="A436"/>
  <c r="CI435"/>
  <c r="CH435"/>
  <c r="CG435"/>
  <c r="CF435"/>
  <c r="CE435"/>
  <c r="CD435"/>
  <c r="CA435"/>
  <c r="I435"/>
  <c r="H435"/>
  <c r="G435"/>
  <c r="F435"/>
  <c r="E435"/>
  <c r="D435"/>
  <c r="A435"/>
  <c r="CI434"/>
  <c r="CH434"/>
  <c r="CG434"/>
  <c r="CF434"/>
  <c r="CE434"/>
  <c r="CD434"/>
  <c r="CA434"/>
  <c r="I434"/>
  <c r="H434"/>
  <c r="G434"/>
  <c r="F434"/>
  <c r="E434"/>
  <c r="D434"/>
  <c r="A434"/>
  <c r="CI432"/>
  <c r="CH432"/>
  <c r="CG432"/>
  <c r="CF432"/>
  <c r="CE432"/>
  <c r="CD432"/>
  <c r="CA432"/>
  <c r="I432"/>
  <c r="H432"/>
  <c r="G432"/>
  <c r="F432"/>
  <c r="E432"/>
  <c r="D432"/>
  <c r="A432"/>
  <c r="CI431"/>
  <c r="CH431"/>
  <c r="CG431"/>
  <c r="CF431"/>
  <c r="CE431"/>
  <c r="CD431"/>
  <c r="CA431"/>
  <c r="I431"/>
  <c r="H431"/>
  <c r="G431"/>
  <c r="F431"/>
  <c r="E431"/>
  <c r="D431"/>
  <c r="A431"/>
  <c r="CI430"/>
  <c r="CH430"/>
  <c r="CG430"/>
  <c r="CF430"/>
  <c r="CE430"/>
  <c r="CD430"/>
  <c r="CA430"/>
  <c r="I430"/>
  <c r="H430"/>
  <c r="G430"/>
  <c r="F430"/>
  <c r="E430"/>
  <c r="D430"/>
  <c r="A430"/>
  <c r="CI429"/>
  <c r="CH429"/>
  <c r="CG429"/>
  <c r="CF429"/>
  <c r="CE429"/>
  <c r="CD429"/>
  <c r="CA429"/>
  <c r="I429"/>
  <c r="H429"/>
  <c r="G429"/>
  <c r="F429"/>
  <c r="E429"/>
  <c r="D429"/>
  <c r="A429"/>
  <c r="CI428"/>
  <c r="CH428"/>
  <c r="CG428"/>
  <c r="CF428"/>
  <c r="CE428"/>
  <c r="CD428"/>
  <c r="CA428"/>
  <c r="I428"/>
  <c r="H428"/>
  <c r="G428"/>
  <c r="F428"/>
  <c r="E428"/>
  <c r="D428"/>
  <c r="A428"/>
  <c r="CI427"/>
  <c r="CH427"/>
  <c r="CG427"/>
  <c r="CF427"/>
  <c r="CE427"/>
  <c r="CD427"/>
  <c r="CA427"/>
  <c r="I427"/>
  <c r="H427"/>
  <c r="G427"/>
  <c r="F427"/>
  <c r="E427"/>
  <c r="D427"/>
  <c r="A427"/>
  <c r="CI426"/>
  <c r="CH426"/>
  <c r="CG426"/>
  <c r="CF426"/>
  <c r="CE426"/>
  <c r="CD426"/>
  <c r="CA426"/>
  <c r="I426"/>
  <c r="H426"/>
  <c r="G426"/>
  <c r="F426"/>
  <c r="E426"/>
  <c r="D426"/>
  <c r="A426"/>
  <c r="CI425"/>
  <c r="CH425"/>
  <c r="CG425"/>
  <c r="CF425"/>
  <c r="CE425"/>
  <c r="CD425"/>
  <c r="CA425"/>
  <c r="I425"/>
  <c r="H425"/>
  <c r="G425"/>
  <c r="F425"/>
  <c r="E425"/>
  <c r="D425"/>
  <c r="A425"/>
  <c r="CI424"/>
  <c r="CH424"/>
  <c r="CG424"/>
  <c r="CF424"/>
  <c r="CE424"/>
  <c r="CD424"/>
  <c r="CA424"/>
  <c r="I424"/>
  <c r="H424"/>
  <c r="G424"/>
  <c r="F424"/>
  <c r="E424"/>
  <c r="D424"/>
  <c r="A424"/>
  <c r="CI423"/>
  <c r="CH423"/>
  <c r="CG423"/>
  <c r="CF423"/>
  <c r="CE423"/>
  <c r="CD423"/>
  <c r="CA423"/>
  <c r="I423"/>
  <c r="H423"/>
  <c r="G423"/>
  <c r="F423"/>
  <c r="E423"/>
  <c r="D423"/>
  <c r="A423"/>
  <c r="CI422"/>
  <c r="CH422"/>
  <c r="CG422"/>
  <c r="CF422"/>
  <c r="CE422"/>
  <c r="CD422"/>
  <c r="CA422"/>
  <c r="I422"/>
  <c r="H422"/>
  <c r="G422"/>
  <c r="F422"/>
  <c r="E422"/>
  <c r="D422"/>
  <c r="A422"/>
  <c r="CI421"/>
  <c r="CH421"/>
  <c r="CG421"/>
  <c r="CF421"/>
  <c r="CE421"/>
  <c r="CD421"/>
  <c r="CA421"/>
  <c r="I421"/>
  <c r="H421"/>
  <c r="G421"/>
  <c r="F421"/>
  <c r="E421"/>
  <c r="D421"/>
  <c r="A421"/>
  <c r="CI420"/>
  <c r="CH420"/>
  <c r="CG420"/>
  <c r="CF420"/>
  <c r="CE420"/>
  <c r="CD420"/>
  <c r="CA420"/>
  <c r="I420"/>
  <c r="H420"/>
  <c r="G420"/>
  <c r="F420"/>
  <c r="E420"/>
  <c r="D420"/>
  <c r="A420"/>
  <c r="CI419"/>
  <c r="CH419"/>
  <c r="CG419"/>
  <c r="CF419"/>
  <c r="CE419"/>
  <c r="CD419"/>
  <c r="CA419"/>
  <c r="I419"/>
  <c r="H419"/>
  <c r="G419"/>
  <c r="F419"/>
  <c r="E419"/>
  <c r="D419"/>
  <c r="A419"/>
  <c r="CI418"/>
  <c r="CH418"/>
  <c r="CG418"/>
  <c r="CF418"/>
  <c r="CE418"/>
  <c r="CD418"/>
  <c r="CA418"/>
  <c r="I418"/>
  <c r="H418"/>
  <c r="G418"/>
  <c r="F418"/>
  <c r="E418"/>
  <c r="D418"/>
  <c r="A418"/>
  <c r="CI415"/>
  <c r="CH415"/>
  <c r="CG415"/>
  <c r="CF415"/>
  <c r="CE415"/>
  <c r="CD415"/>
  <c r="CA415"/>
  <c r="I415"/>
  <c r="H415"/>
  <c r="G415"/>
  <c r="F415"/>
  <c r="E415"/>
  <c r="D415"/>
  <c r="A415"/>
  <c r="CI414"/>
  <c r="CH414"/>
  <c r="CG414"/>
  <c r="CF414"/>
  <c r="CE414"/>
  <c r="CD414"/>
  <c r="CA414"/>
  <c r="I414"/>
  <c r="H414"/>
  <c r="G414"/>
  <c r="F414"/>
  <c r="E414"/>
  <c r="D414"/>
  <c r="A414"/>
  <c r="CI413"/>
  <c r="CH413"/>
  <c r="CG413"/>
  <c r="CF413"/>
  <c r="CE413"/>
  <c r="CD413"/>
  <c r="CA413"/>
  <c r="I413"/>
  <c r="H413"/>
  <c r="G413"/>
  <c r="F413"/>
  <c r="E413"/>
  <c r="D413"/>
  <c r="A413"/>
  <c r="CI412"/>
  <c r="CH412"/>
  <c r="CG412"/>
  <c r="CF412"/>
  <c r="CE412"/>
  <c r="CD412"/>
  <c r="CA412"/>
  <c r="I412"/>
  <c r="H412"/>
  <c r="G412"/>
  <c r="F412"/>
  <c r="E412"/>
  <c r="D412"/>
  <c r="A412"/>
  <c r="CI411"/>
  <c r="CH411"/>
  <c r="CG411"/>
  <c r="CF411"/>
  <c r="CE411"/>
  <c r="CD411"/>
  <c r="CA411"/>
  <c r="I411"/>
  <c r="H411"/>
  <c r="G411"/>
  <c r="F411"/>
  <c r="E411"/>
  <c r="D411"/>
  <c r="A411"/>
  <c r="CI410"/>
  <c r="CH410"/>
  <c r="CG410"/>
  <c r="CF410"/>
  <c r="CE410"/>
  <c r="CD410"/>
  <c r="CA410"/>
  <c r="I410"/>
  <c r="H410"/>
  <c r="G410"/>
  <c r="F410"/>
  <c r="E410"/>
  <c r="D410"/>
  <c r="A410"/>
  <c r="CI409"/>
  <c r="CH409"/>
  <c r="CG409"/>
  <c r="CF409"/>
  <c r="CE409"/>
  <c r="CD409"/>
  <c r="CA409"/>
  <c r="I409"/>
  <c r="H409"/>
  <c r="G409"/>
  <c r="F409"/>
  <c r="E409"/>
  <c r="D409"/>
  <c r="A409"/>
  <c r="CI408"/>
  <c r="CH408"/>
  <c r="CG408"/>
  <c r="CF408"/>
  <c r="CE408"/>
  <c r="CD408"/>
  <c r="CA408"/>
  <c r="I408"/>
  <c r="H408"/>
  <c r="G408"/>
  <c r="F408"/>
  <c r="E408"/>
  <c r="D408"/>
  <c r="A408"/>
  <c r="CI407"/>
  <c r="CH407"/>
  <c r="CG407"/>
  <c r="CF407"/>
  <c r="CE407"/>
  <c r="CD407"/>
  <c r="CA407"/>
  <c r="I407"/>
  <c r="H407"/>
  <c r="G407"/>
  <c r="F407"/>
  <c r="E407"/>
  <c r="D407"/>
  <c r="A407"/>
  <c r="CI406"/>
  <c r="CH406"/>
  <c r="CG406"/>
  <c r="CF406"/>
  <c r="CE406"/>
  <c r="CD406"/>
  <c r="CA406"/>
  <c r="I406"/>
  <c r="H406"/>
  <c r="G406"/>
  <c r="F406"/>
  <c r="E406"/>
  <c r="D406"/>
  <c r="A406"/>
  <c r="CI405"/>
  <c r="CH405"/>
  <c r="CG405"/>
  <c r="CF405"/>
  <c r="CE405"/>
  <c r="CD405"/>
  <c r="CA405"/>
  <c r="I405"/>
  <c r="H405"/>
  <c r="G405"/>
  <c r="F405"/>
  <c r="E405"/>
  <c r="D405"/>
  <c r="A405"/>
  <c r="CI404"/>
  <c r="CH404"/>
  <c r="CG404"/>
  <c r="CF404"/>
  <c r="CE404"/>
  <c r="CD404"/>
  <c r="CA404"/>
  <c r="I404"/>
  <c r="H404"/>
  <c r="G404"/>
  <c r="F404"/>
  <c r="E404"/>
  <c r="D404"/>
  <c r="A404"/>
  <c r="CI402"/>
  <c r="CH402"/>
  <c r="CG402"/>
  <c r="CF402"/>
  <c r="CE402"/>
  <c r="CD402"/>
  <c r="CA402"/>
  <c r="I402"/>
  <c r="H402"/>
  <c r="G402"/>
  <c r="F402"/>
  <c r="E402"/>
  <c r="D402"/>
  <c r="A402"/>
  <c r="CI401"/>
  <c r="CH401"/>
  <c r="CG401"/>
  <c r="CF401"/>
  <c r="CE401"/>
  <c r="CD401"/>
  <c r="CA401"/>
  <c r="I401"/>
  <c r="H401"/>
  <c r="G401"/>
  <c r="F401"/>
  <c r="E401"/>
  <c r="D401"/>
  <c r="A401"/>
  <c r="CI400"/>
  <c r="CH400"/>
  <c r="CG400"/>
  <c r="CF400"/>
  <c r="CE400"/>
  <c r="CD400"/>
  <c r="CA400"/>
  <c r="I400"/>
  <c r="H400"/>
  <c r="G400"/>
  <c r="F400"/>
  <c r="E400"/>
  <c r="D400"/>
  <c r="A400"/>
  <c r="CI399"/>
  <c r="CH399"/>
  <c r="CG399"/>
  <c r="CF399"/>
  <c r="CE399"/>
  <c r="CD399"/>
  <c r="CA399"/>
  <c r="I399"/>
  <c r="H399"/>
  <c r="G399"/>
  <c r="F399"/>
  <c r="E399"/>
  <c r="D399"/>
  <c r="A399"/>
  <c r="CI398"/>
  <c r="CH398"/>
  <c r="CG398"/>
  <c r="CF398"/>
  <c r="CE398"/>
  <c r="CD398"/>
  <c r="CA398"/>
  <c r="I398"/>
  <c r="H398"/>
  <c r="G398"/>
  <c r="F398"/>
  <c r="E398"/>
  <c r="D398"/>
  <c r="A398"/>
  <c r="CI397"/>
  <c r="CH397"/>
  <c r="CG397"/>
  <c r="CF397"/>
  <c r="CE397"/>
  <c r="CD397"/>
  <c r="CA397"/>
  <c r="I397"/>
  <c r="H397"/>
  <c r="G397"/>
  <c r="F397"/>
  <c r="E397"/>
  <c r="D397"/>
  <c r="A397"/>
  <c r="CI396"/>
  <c r="CH396"/>
  <c r="CG396"/>
  <c r="CF396"/>
  <c r="CE396"/>
  <c r="CD396"/>
  <c r="CA396"/>
  <c r="I396"/>
  <c r="H396"/>
  <c r="G396"/>
  <c r="F396"/>
  <c r="E396"/>
  <c r="D396"/>
  <c r="A396"/>
  <c r="CI395"/>
  <c r="CH395"/>
  <c r="CG395"/>
  <c r="CF395"/>
  <c r="CE395"/>
  <c r="CD395"/>
  <c r="CA395"/>
  <c r="I395"/>
  <c r="H395"/>
  <c r="G395"/>
  <c r="F395"/>
  <c r="E395"/>
  <c r="D395"/>
  <c r="A395"/>
  <c r="CI394"/>
  <c r="CH394"/>
  <c r="CG394"/>
  <c r="CF394"/>
  <c r="CE394"/>
  <c r="CD394"/>
  <c r="CA394"/>
  <c r="I394"/>
  <c r="H394"/>
  <c r="G394"/>
  <c r="F394"/>
  <c r="E394"/>
  <c r="D394"/>
  <c r="A394"/>
  <c r="CI393"/>
  <c r="CH393"/>
  <c r="CG393"/>
  <c r="CF393"/>
  <c r="CE393"/>
  <c r="CD393"/>
  <c r="CA393"/>
  <c r="I393"/>
  <c r="H393"/>
  <c r="G393"/>
  <c r="F393"/>
  <c r="E393"/>
  <c r="D393"/>
  <c r="A393"/>
  <c r="CI392"/>
  <c r="CH392"/>
  <c r="CG392"/>
  <c r="CF392"/>
  <c r="CE392"/>
  <c r="CD392"/>
  <c r="CA392"/>
  <c r="I392"/>
  <c r="H392"/>
  <c r="G392"/>
  <c r="F392"/>
  <c r="E392"/>
  <c r="D392"/>
  <c r="A392"/>
  <c r="CI391"/>
  <c r="CH391"/>
  <c r="CG391"/>
  <c r="CF391"/>
  <c r="CE391"/>
  <c r="CD391"/>
  <c r="CA391"/>
  <c r="I391"/>
  <c r="H391"/>
  <c r="G391"/>
  <c r="F391"/>
  <c r="E391"/>
  <c r="D391"/>
  <c r="A391"/>
  <c r="CI390"/>
  <c r="CH390"/>
  <c r="CG390"/>
  <c r="CF390"/>
  <c r="CE390"/>
  <c r="CD390"/>
  <c r="CA390"/>
  <c r="I390"/>
  <c r="H390"/>
  <c r="G390"/>
  <c r="F390"/>
  <c r="E390"/>
  <c r="D390"/>
  <c r="A390"/>
  <c r="CI389"/>
  <c r="CH389"/>
  <c r="CG389"/>
  <c r="CF389"/>
  <c r="CE389"/>
  <c r="CD389"/>
  <c r="CA389"/>
  <c r="I389"/>
  <c r="H389"/>
  <c r="G389"/>
  <c r="F389"/>
  <c r="E389"/>
  <c r="D389"/>
  <c r="A389"/>
  <c r="CI388"/>
  <c r="CH388"/>
  <c r="CG388"/>
  <c r="CF388"/>
  <c r="CE388"/>
  <c r="CD388"/>
  <c r="CA388"/>
  <c r="I388"/>
  <c r="H388"/>
  <c r="G388"/>
  <c r="F388"/>
  <c r="E388"/>
  <c r="D388"/>
  <c r="A388"/>
  <c r="CI387"/>
  <c r="CH387"/>
  <c r="CG387"/>
  <c r="CF387"/>
  <c r="CE387"/>
  <c r="CD387"/>
  <c r="CA387"/>
  <c r="I387"/>
  <c r="H387"/>
  <c r="G387"/>
  <c r="F387"/>
  <c r="E387"/>
  <c r="D387"/>
  <c r="A387"/>
  <c r="CI386"/>
  <c r="CH386"/>
  <c r="CG386"/>
  <c r="CF386"/>
  <c r="CE386"/>
  <c r="CD386"/>
  <c r="CA386"/>
  <c r="I386"/>
  <c r="H386"/>
  <c r="G386"/>
  <c r="F386"/>
  <c r="E386"/>
  <c r="D386"/>
  <c r="A386"/>
  <c r="CI385"/>
  <c r="CH385"/>
  <c r="CG385"/>
  <c r="CF385"/>
  <c r="CE385"/>
  <c r="CD385"/>
  <c r="CA385"/>
  <c r="I385"/>
  <c r="H385"/>
  <c r="G385"/>
  <c r="F385"/>
  <c r="E385"/>
  <c r="D385"/>
  <c r="A385"/>
  <c r="CI384"/>
  <c r="CH384"/>
  <c r="CG384"/>
  <c r="CF384"/>
  <c r="CE384"/>
  <c r="CD384"/>
  <c r="CA384"/>
  <c r="I384"/>
  <c r="H384"/>
  <c r="G384"/>
  <c r="F384"/>
  <c r="E384"/>
  <c r="D384"/>
  <c r="A384"/>
  <c r="CI382"/>
  <c r="CH382"/>
  <c r="CG382"/>
  <c r="CF382"/>
  <c r="CE382"/>
  <c r="CD382"/>
  <c r="CA382"/>
  <c r="I382"/>
  <c r="H382"/>
  <c r="G382"/>
  <c r="F382"/>
  <c r="E382"/>
  <c r="D382"/>
  <c r="A382"/>
  <c r="CI381"/>
  <c r="CH381"/>
  <c r="CG381"/>
  <c r="CF381"/>
  <c r="CE381"/>
  <c r="CD381"/>
  <c r="CA381"/>
  <c r="I381"/>
  <c r="H381"/>
  <c r="G381"/>
  <c r="F381"/>
  <c r="E381"/>
  <c r="D381"/>
  <c r="A381"/>
  <c r="CI380"/>
  <c r="CH380"/>
  <c r="CG380"/>
  <c r="CF380"/>
  <c r="CE380"/>
  <c r="CD380"/>
  <c r="CA380"/>
  <c r="I380"/>
  <c r="H380"/>
  <c r="G380"/>
  <c r="F380"/>
  <c r="E380"/>
  <c r="D380"/>
  <c r="A380"/>
  <c r="CI379"/>
  <c r="CH379"/>
  <c r="CG379"/>
  <c r="CF379"/>
  <c r="CE379"/>
  <c r="CD379"/>
  <c r="CA379"/>
  <c r="I379"/>
  <c r="H379"/>
  <c r="G379"/>
  <c r="F379"/>
  <c r="E379"/>
  <c r="D379"/>
  <c r="A379"/>
  <c r="CI378"/>
  <c r="CH378"/>
  <c r="CG378"/>
  <c r="CF378"/>
  <c r="CE378"/>
  <c r="CD378"/>
  <c r="CA378"/>
  <c r="I378"/>
  <c r="H378"/>
  <c r="G378"/>
  <c r="F378"/>
  <c r="E378"/>
  <c r="D378"/>
  <c r="A378"/>
  <c r="CI377"/>
  <c r="CH377"/>
  <c r="CG377"/>
  <c r="CF377"/>
  <c r="CE377"/>
  <c r="CD377"/>
  <c r="CA377"/>
  <c r="I377"/>
  <c r="H377"/>
  <c r="G377"/>
  <c r="F377"/>
  <c r="E377"/>
  <c r="D377"/>
  <c r="A377"/>
  <c r="CI376"/>
  <c r="CH376"/>
  <c r="CG376"/>
  <c r="CF376"/>
  <c r="CE376"/>
  <c r="CD376"/>
  <c r="CA376"/>
  <c r="I376"/>
  <c r="H376"/>
  <c r="G376"/>
  <c r="F376"/>
  <c r="E376"/>
  <c r="D376"/>
  <c r="A376"/>
  <c r="CI375"/>
  <c r="CH375"/>
  <c r="CG375"/>
  <c r="CF375"/>
  <c r="CE375"/>
  <c r="CD375"/>
  <c r="CA375"/>
  <c r="I375"/>
  <c r="H375"/>
  <c r="G375"/>
  <c r="F375"/>
  <c r="E375"/>
  <c r="D375"/>
  <c r="A375"/>
  <c r="CI374"/>
  <c r="CH374"/>
  <c r="CG374"/>
  <c r="CF374"/>
  <c r="CE374"/>
  <c r="CD374"/>
  <c r="CA374"/>
  <c r="I374"/>
  <c r="H374"/>
  <c r="G374"/>
  <c r="F374"/>
  <c r="E374"/>
  <c r="D374"/>
  <c r="A374"/>
  <c r="CI373"/>
  <c r="CH373"/>
  <c r="CG373"/>
  <c r="CF373"/>
  <c r="CE373"/>
  <c r="CD373"/>
  <c r="CA373"/>
  <c r="I373"/>
  <c r="H373"/>
  <c r="G373"/>
  <c r="F373"/>
  <c r="E373"/>
  <c r="D373"/>
  <c r="A373"/>
  <c r="CI372"/>
  <c r="CH372"/>
  <c r="CG372"/>
  <c r="CF372"/>
  <c r="CE372"/>
  <c r="CD372"/>
  <c r="CA372"/>
  <c r="I372"/>
  <c r="H372"/>
  <c r="G372"/>
  <c r="F372"/>
  <c r="E372"/>
  <c r="D372"/>
  <c r="A372"/>
  <c r="CI371"/>
  <c r="CH371"/>
  <c r="CG371"/>
  <c r="CF371"/>
  <c r="CE371"/>
  <c r="CD371"/>
  <c r="CA371"/>
  <c r="I371"/>
  <c r="H371"/>
  <c r="G371"/>
  <c r="F371"/>
  <c r="E371"/>
  <c r="D371"/>
  <c r="A371"/>
  <c r="CI370"/>
  <c r="CH370"/>
  <c r="CG370"/>
  <c r="CF370"/>
  <c r="CE370"/>
  <c r="CD370"/>
  <c r="CA370"/>
  <c r="I370"/>
  <c r="H370"/>
  <c r="G370"/>
  <c r="F370"/>
  <c r="E370"/>
  <c r="D370"/>
  <c r="A370"/>
  <c r="CI369"/>
  <c r="CH369"/>
  <c r="CG369"/>
  <c r="CF369"/>
  <c r="CE369"/>
  <c r="CD369"/>
  <c r="CA369"/>
  <c r="I369"/>
  <c r="H369"/>
  <c r="G369"/>
  <c r="F369"/>
  <c r="E369"/>
  <c r="D369"/>
  <c r="A369"/>
  <c r="CI368"/>
  <c r="CH368"/>
  <c r="CG368"/>
  <c r="CF368"/>
  <c r="CE368"/>
  <c r="CD368"/>
  <c r="CA368"/>
  <c r="I368"/>
  <c r="H368"/>
  <c r="G368"/>
  <c r="F368"/>
  <c r="E368"/>
  <c r="D368"/>
  <c r="A368"/>
  <c r="CI367"/>
  <c r="CH367"/>
  <c r="CG367"/>
  <c r="CF367"/>
  <c r="CE367"/>
  <c r="CD367"/>
  <c r="CA367"/>
  <c r="I367"/>
  <c r="H367"/>
  <c r="G367"/>
  <c r="F367"/>
  <c r="E367"/>
  <c r="D367"/>
  <c r="A367"/>
  <c r="CI366"/>
  <c r="CH366"/>
  <c r="CG366"/>
  <c r="CF366"/>
  <c r="CE366"/>
  <c r="CD366"/>
  <c r="CA366"/>
  <c r="I366"/>
  <c r="H366"/>
  <c r="G366"/>
  <c r="F366"/>
  <c r="E366"/>
  <c r="D366"/>
  <c r="A366"/>
  <c r="CI365"/>
  <c r="CH365"/>
  <c r="CG365"/>
  <c r="CF365"/>
  <c r="CE365"/>
  <c r="CD365"/>
  <c r="CA365"/>
  <c r="I365"/>
  <c r="H365"/>
  <c r="G365"/>
  <c r="F365"/>
  <c r="E365"/>
  <c r="D365"/>
  <c r="A365"/>
  <c r="CI363"/>
  <c r="CH363"/>
  <c r="CG363"/>
  <c r="CF363"/>
  <c r="CE363"/>
  <c r="CD363"/>
  <c r="CA363"/>
  <c r="I363"/>
  <c r="H363"/>
  <c r="G363"/>
  <c r="F363"/>
  <c r="E363"/>
  <c r="D363"/>
  <c r="A363"/>
  <c r="CI362"/>
  <c r="CH362"/>
  <c r="CG362"/>
  <c r="CF362"/>
  <c r="CE362"/>
  <c r="CD362"/>
  <c r="CA362"/>
  <c r="I362"/>
  <c r="H362"/>
  <c r="G362"/>
  <c r="F362"/>
  <c r="E362"/>
  <c r="D362"/>
  <c r="A362"/>
  <c r="CI361"/>
  <c r="CH361"/>
  <c r="CG361"/>
  <c r="CF361"/>
  <c r="CE361"/>
  <c r="CD361"/>
  <c r="CA361"/>
  <c r="I361"/>
  <c r="H361"/>
  <c r="G361"/>
  <c r="F361"/>
  <c r="E361"/>
  <c r="D361"/>
  <c r="A361"/>
  <c r="CI360"/>
  <c r="CH360"/>
  <c r="CG360"/>
  <c r="CF360"/>
  <c r="CE360"/>
  <c r="CD360"/>
  <c r="CA360"/>
  <c r="I360"/>
  <c r="H360"/>
  <c r="G360"/>
  <c r="F360"/>
  <c r="E360"/>
  <c r="D360"/>
  <c r="A360"/>
  <c r="CI359"/>
  <c r="CH359"/>
  <c r="CG359"/>
  <c r="CF359"/>
  <c r="CE359"/>
  <c r="CD359"/>
  <c r="CA359"/>
  <c r="I359"/>
  <c r="H359"/>
  <c r="G359"/>
  <c r="F359"/>
  <c r="E359"/>
  <c r="D359"/>
  <c r="A359"/>
  <c r="CI358"/>
  <c r="CH358"/>
  <c r="CG358"/>
  <c r="CF358"/>
  <c r="CE358"/>
  <c r="CD358"/>
  <c r="CA358"/>
  <c r="I358"/>
  <c r="H358"/>
  <c r="G358"/>
  <c r="F358"/>
  <c r="E358"/>
  <c r="D358"/>
  <c r="A358"/>
  <c r="CI357"/>
  <c r="CH357"/>
  <c r="CG357"/>
  <c r="CF357"/>
  <c r="CE357"/>
  <c r="CD357"/>
  <c r="CA357"/>
  <c r="I357"/>
  <c r="H357"/>
  <c r="G357"/>
  <c r="F357"/>
  <c r="E357"/>
  <c r="D357"/>
  <c r="A357"/>
  <c r="CI356"/>
  <c r="CH356"/>
  <c r="CG356"/>
  <c r="CF356"/>
  <c r="CE356"/>
  <c r="CD356"/>
  <c r="CA356"/>
  <c r="I356"/>
  <c r="H356"/>
  <c r="G356"/>
  <c r="F356"/>
  <c r="E356"/>
  <c r="D356"/>
  <c r="A356"/>
  <c r="CI355"/>
  <c r="CH355"/>
  <c r="CG355"/>
  <c r="CF355"/>
  <c r="CE355"/>
  <c r="CD355"/>
  <c r="CA355"/>
  <c r="I355"/>
  <c r="H355"/>
  <c r="G355"/>
  <c r="F355"/>
  <c r="E355"/>
  <c r="D355"/>
  <c r="A355"/>
  <c r="CI354"/>
  <c r="CH354"/>
  <c r="CG354"/>
  <c r="CF354"/>
  <c r="CE354"/>
  <c r="CD354"/>
  <c r="CA354"/>
  <c r="I354"/>
  <c r="H354"/>
  <c r="G354"/>
  <c r="F354"/>
  <c r="E354"/>
  <c r="D354"/>
  <c r="A354"/>
  <c r="CI353"/>
  <c r="CH353"/>
  <c r="CG353"/>
  <c r="CF353"/>
  <c r="CE353"/>
  <c r="CD353"/>
  <c r="CA353"/>
  <c r="I353"/>
  <c r="H353"/>
  <c r="G353"/>
  <c r="F353"/>
  <c r="E353"/>
  <c r="D353"/>
  <c r="A353"/>
  <c r="CI352"/>
  <c r="CH352"/>
  <c r="CG352"/>
  <c r="CF352"/>
  <c r="CE352"/>
  <c r="CD352"/>
  <c r="CA352"/>
  <c r="I352"/>
  <c r="H352"/>
  <c r="G352"/>
  <c r="F352"/>
  <c r="E352"/>
  <c r="D352"/>
  <c r="A352"/>
  <c r="CI351"/>
  <c r="CH351"/>
  <c r="CG351"/>
  <c r="CF351"/>
  <c r="CE351"/>
  <c r="CD351"/>
  <c r="CA351"/>
  <c r="I351"/>
  <c r="H351"/>
  <c r="G351"/>
  <c r="F351"/>
  <c r="E351"/>
  <c r="D351"/>
  <c r="A351"/>
  <c r="CI350"/>
  <c r="CH350"/>
  <c r="CG350"/>
  <c r="CF350"/>
  <c r="CE350"/>
  <c r="CD350"/>
  <c r="CA350"/>
  <c r="I350"/>
  <c r="H350"/>
  <c r="G350"/>
  <c r="F350"/>
  <c r="E350"/>
  <c r="D350"/>
  <c r="A350"/>
  <c r="CI349"/>
  <c r="CH349"/>
  <c r="CG349"/>
  <c r="CF349"/>
  <c r="CE349"/>
  <c r="CD349"/>
  <c r="CA349"/>
  <c r="I349"/>
  <c r="H349"/>
  <c r="G349"/>
  <c r="F349"/>
  <c r="E349"/>
  <c r="D349"/>
  <c r="A349"/>
  <c r="CI348"/>
  <c r="CH348"/>
  <c r="CG348"/>
  <c r="CF348"/>
  <c r="CE348"/>
  <c r="CD348"/>
  <c r="CA348"/>
  <c r="I348"/>
  <c r="H348"/>
  <c r="G348"/>
  <c r="F348"/>
  <c r="E348"/>
  <c r="D348"/>
  <c r="A348"/>
  <c r="CI347"/>
  <c r="CH347"/>
  <c r="CG347"/>
  <c r="CF347"/>
  <c r="CE347"/>
  <c r="CD347"/>
  <c r="CA347"/>
  <c r="I347"/>
  <c r="H347"/>
  <c r="G347"/>
  <c r="F347"/>
  <c r="E347"/>
  <c r="D347"/>
  <c r="A347"/>
  <c r="CI346"/>
  <c r="CH346"/>
  <c r="CG346"/>
  <c r="CF346"/>
  <c r="CE346"/>
  <c r="CD346"/>
  <c r="CA346"/>
  <c r="I346"/>
  <c r="H346"/>
  <c r="G346"/>
  <c r="F346"/>
  <c r="E346"/>
  <c r="D346"/>
  <c r="A346"/>
  <c r="CI345"/>
  <c r="CH345"/>
  <c r="CG345"/>
  <c r="CF345"/>
  <c r="CE345"/>
  <c r="CD345"/>
  <c r="CA345"/>
  <c r="I345"/>
  <c r="H345"/>
  <c r="G345"/>
  <c r="F345"/>
  <c r="E345"/>
  <c r="D345"/>
  <c r="A345"/>
  <c r="CI344"/>
  <c r="CH344"/>
  <c r="CG344"/>
  <c r="CF344"/>
  <c r="CE344"/>
  <c r="CD344"/>
  <c r="CA344"/>
  <c r="I344"/>
  <c r="H344"/>
  <c r="G344"/>
  <c r="F344"/>
  <c r="E344"/>
  <c r="D344"/>
  <c r="A344"/>
  <c r="CI343"/>
  <c r="CH343"/>
  <c r="CG343"/>
  <c r="CF343"/>
  <c r="CE343"/>
  <c r="CD343"/>
  <c r="CA343"/>
  <c r="I343"/>
  <c r="H343"/>
  <c r="G343"/>
  <c r="F343"/>
  <c r="E343"/>
  <c r="D343"/>
  <c r="A343"/>
  <c r="CI341"/>
  <c r="CH341"/>
  <c r="CG341"/>
  <c r="CF341"/>
  <c r="CE341"/>
  <c r="CD341"/>
  <c r="CA341"/>
  <c r="I341"/>
  <c r="H341"/>
  <c r="G341"/>
  <c r="F341"/>
  <c r="E341"/>
  <c r="D341"/>
  <c r="A341"/>
  <c r="CI340"/>
  <c r="CH340"/>
  <c r="CG340"/>
  <c r="CF340"/>
  <c r="CE340"/>
  <c r="CD340"/>
  <c r="CA340"/>
  <c r="I340"/>
  <c r="H340"/>
  <c r="G340"/>
  <c r="F340"/>
  <c r="E340"/>
  <c r="D340"/>
  <c r="A340"/>
  <c r="CI339"/>
  <c r="CH339"/>
  <c r="CG339"/>
  <c r="CF339"/>
  <c r="CE339"/>
  <c r="CD339"/>
  <c r="CA339"/>
  <c r="I339"/>
  <c r="H339"/>
  <c r="G339"/>
  <c r="F339"/>
  <c r="E339"/>
  <c r="D339"/>
  <c r="A339"/>
  <c r="CI338"/>
  <c r="CH338"/>
  <c r="CG338"/>
  <c r="CF338"/>
  <c r="CE338"/>
  <c r="CD338"/>
  <c r="CA338"/>
  <c r="I338"/>
  <c r="H338"/>
  <c r="G338"/>
  <c r="F338"/>
  <c r="E338"/>
  <c r="D338"/>
  <c r="A338"/>
  <c r="CI337"/>
  <c r="CH337"/>
  <c r="CG337"/>
  <c r="CF337"/>
  <c r="CE337"/>
  <c r="CD337"/>
  <c r="CA337"/>
  <c r="I337"/>
  <c r="H337"/>
  <c r="G337"/>
  <c r="F337"/>
  <c r="E337"/>
  <c r="D337"/>
  <c r="A337"/>
  <c r="CI336"/>
  <c r="CH336"/>
  <c r="CG336"/>
  <c r="CF336"/>
  <c r="CE336"/>
  <c r="CD336"/>
  <c r="CA336"/>
  <c r="I336"/>
  <c r="H336"/>
  <c r="G336"/>
  <c r="F336"/>
  <c r="E336"/>
  <c r="D336"/>
  <c r="A336"/>
  <c r="CI335"/>
  <c r="CH335"/>
  <c r="CG335"/>
  <c r="CF335"/>
  <c r="CE335"/>
  <c r="CD335"/>
  <c r="CA335"/>
  <c r="I335"/>
  <c r="H335"/>
  <c r="G335"/>
  <c r="F335"/>
  <c r="E335"/>
  <c r="D335"/>
  <c r="A335"/>
  <c r="CI334"/>
  <c r="CH334"/>
  <c r="CG334"/>
  <c r="CF334"/>
  <c r="CE334"/>
  <c r="CD334"/>
  <c r="CA334"/>
  <c r="I334"/>
  <c r="H334"/>
  <c r="G334"/>
  <c r="F334"/>
  <c r="E334"/>
  <c r="D334"/>
  <c r="A334"/>
  <c r="CI333"/>
  <c r="CH333"/>
  <c r="CG333"/>
  <c r="CF333"/>
  <c r="CE333"/>
  <c r="CD333"/>
  <c r="CA333"/>
  <c r="I333"/>
  <c r="H333"/>
  <c r="G333"/>
  <c r="F333"/>
  <c r="E333"/>
  <c r="D333"/>
  <c r="A333"/>
  <c r="CI332"/>
  <c r="CH332"/>
  <c r="CG332"/>
  <c r="CF332"/>
  <c r="CE332"/>
  <c r="CD332"/>
  <c r="CA332"/>
  <c r="I332"/>
  <c r="H332"/>
  <c r="G332"/>
  <c r="F332"/>
  <c r="E332"/>
  <c r="D332"/>
  <c r="A332"/>
  <c r="CI331"/>
  <c r="CH331"/>
  <c r="CG331"/>
  <c r="CF331"/>
  <c r="CE331"/>
  <c r="CD331"/>
  <c r="CA331"/>
  <c r="I331"/>
  <c r="H331"/>
  <c r="G331"/>
  <c r="F331"/>
  <c r="E331"/>
  <c r="D331"/>
  <c r="A331"/>
  <c r="CI330"/>
  <c r="CH330"/>
  <c r="CG330"/>
  <c r="CF330"/>
  <c r="CE330"/>
  <c r="CD330"/>
  <c r="CA330"/>
  <c r="I330"/>
  <c r="H330"/>
  <c r="G330"/>
  <c r="F330"/>
  <c r="E330"/>
  <c r="D330"/>
  <c r="A330"/>
  <c r="CI329"/>
  <c r="CH329"/>
  <c r="CG329"/>
  <c r="CF329"/>
  <c r="CE329"/>
  <c r="CD329"/>
  <c r="CA329"/>
  <c r="I329"/>
  <c r="H329"/>
  <c r="G329"/>
  <c r="F329"/>
  <c r="E329"/>
  <c r="D329"/>
  <c r="A329"/>
  <c r="CI328"/>
  <c r="CH328"/>
  <c r="CG328"/>
  <c r="CF328"/>
  <c r="CE328"/>
  <c r="CD328"/>
  <c r="CA328"/>
  <c r="I328"/>
  <c r="H328"/>
  <c r="G328"/>
  <c r="F328"/>
  <c r="E328"/>
  <c r="D328"/>
  <c r="A328"/>
  <c r="CI327"/>
  <c r="CH327"/>
  <c r="CG327"/>
  <c r="CF327"/>
  <c r="CE327"/>
  <c r="CD327"/>
  <c r="CA327"/>
  <c r="I327"/>
  <c r="H327"/>
  <c r="G327"/>
  <c r="F327"/>
  <c r="E327"/>
  <c r="D327"/>
  <c r="A327"/>
  <c r="CI326"/>
  <c r="CH326"/>
  <c r="CG326"/>
  <c r="CF326"/>
  <c r="CE326"/>
  <c r="CD326"/>
  <c r="CA326"/>
  <c r="I326"/>
  <c r="H326"/>
  <c r="G326"/>
  <c r="F326"/>
  <c r="E326"/>
  <c r="D326"/>
  <c r="A326"/>
  <c r="CI324"/>
  <c r="CH324"/>
  <c r="CG324"/>
  <c r="CF324"/>
  <c r="CE324"/>
  <c r="CD324"/>
  <c r="CA324"/>
  <c r="I324"/>
  <c r="H324"/>
  <c r="G324"/>
  <c r="F324"/>
  <c r="E324"/>
  <c r="D324"/>
  <c r="A324"/>
  <c r="CI323"/>
  <c r="CH323"/>
  <c r="CG323"/>
  <c r="CF323"/>
  <c r="CE323"/>
  <c r="CD323"/>
  <c r="CA323"/>
  <c r="I323"/>
  <c r="H323"/>
  <c r="G323"/>
  <c r="F323"/>
  <c r="E323"/>
  <c r="D323"/>
  <c r="A323"/>
  <c r="CI322"/>
  <c r="CH322"/>
  <c r="CG322"/>
  <c r="CF322"/>
  <c r="CE322"/>
  <c r="CD322"/>
  <c r="CA322"/>
  <c r="I322"/>
  <c r="H322"/>
  <c r="G322"/>
  <c r="F322"/>
  <c r="E322"/>
  <c r="D322"/>
  <c r="A322"/>
  <c r="CI321"/>
  <c r="CH321"/>
  <c r="CG321"/>
  <c r="CF321"/>
  <c r="CE321"/>
  <c r="CD321"/>
  <c r="CA321"/>
  <c r="I321"/>
  <c r="H321"/>
  <c r="G321"/>
  <c r="F321"/>
  <c r="E321"/>
  <c r="D321"/>
  <c r="A321"/>
  <c r="CI320"/>
  <c r="CH320"/>
  <c r="CG320"/>
  <c r="CF320"/>
  <c r="CE320"/>
  <c r="CD320"/>
  <c r="CA320"/>
  <c r="I320"/>
  <c r="H320"/>
  <c r="G320"/>
  <c r="F320"/>
  <c r="E320"/>
  <c r="D320"/>
  <c r="A320"/>
  <c r="CI319"/>
  <c r="CH319"/>
  <c r="CG319"/>
  <c r="CF319"/>
  <c r="CE319"/>
  <c r="CD319"/>
  <c r="CA319"/>
  <c r="I319"/>
  <c r="H319"/>
  <c r="G319"/>
  <c r="F319"/>
  <c r="E319"/>
  <c r="D319"/>
  <c r="A319"/>
  <c r="CI318"/>
  <c r="CH318"/>
  <c r="CG318"/>
  <c r="CF318"/>
  <c r="CE318"/>
  <c r="CD318"/>
  <c r="CA318"/>
  <c r="I318"/>
  <c r="H318"/>
  <c r="G318"/>
  <c r="F318"/>
  <c r="E318"/>
  <c r="D318"/>
  <c r="A318"/>
  <c r="CI317"/>
  <c r="CH317"/>
  <c r="CG317"/>
  <c r="CF317"/>
  <c r="CE317"/>
  <c r="CD317"/>
  <c r="CA317"/>
  <c r="I317"/>
  <c r="H317"/>
  <c r="G317"/>
  <c r="F317"/>
  <c r="E317"/>
  <c r="D317"/>
  <c r="A317"/>
  <c r="CI316"/>
  <c r="CH316"/>
  <c r="CG316"/>
  <c r="CF316"/>
  <c r="CE316"/>
  <c r="CD316"/>
  <c r="CA316"/>
  <c r="I316"/>
  <c r="H316"/>
  <c r="G316"/>
  <c r="F316"/>
  <c r="E316"/>
  <c r="D316"/>
  <c r="A316"/>
  <c r="CI315"/>
  <c r="CH315"/>
  <c r="CG315"/>
  <c r="CF315"/>
  <c r="CE315"/>
  <c r="CD315"/>
  <c r="CA315"/>
  <c r="I315"/>
  <c r="H315"/>
  <c r="G315"/>
  <c r="F315"/>
  <c r="E315"/>
  <c r="D315"/>
  <c r="A315"/>
  <c r="CI314"/>
  <c r="CH314"/>
  <c r="CG314"/>
  <c r="CF314"/>
  <c r="CE314"/>
  <c r="CD314"/>
  <c r="CA314"/>
  <c r="I314"/>
  <c r="H314"/>
  <c r="G314"/>
  <c r="F314"/>
  <c r="E314"/>
  <c r="D314"/>
  <c r="A314"/>
  <c r="CI313"/>
  <c r="CH313"/>
  <c r="CG313"/>
  <c r="CF313"/>
  <c r="CE313"/>
  <c r="CD313"/>
  <c r="CA313"/>
  <c r="I313"/>
  <c r="H313"/>
  <c r="G313"/>
  <c r="F313"/>
  <c r="E313"/>
  <c r="D313"/>
  <c r="A313"/>
  <c r="CI312"/>
  <c r="CH312"/>
  <c r="CG312"/>
  <c r="CF312"/>
  <c r="CE312"/>
  <c r="CD312"/>
  <c r="CA312"/>
  <c r="I312"/>
  <c r="H312"/>
  <c r="G312"/>
  <c r="F312"/>
  <c r="E312"/>
  <c r="D312"/>
  <c r="A312"/>
  <c r="CI311"/>
  <c r="CH311"/>
  <c r="CG311"/>
  <c r="CF311"/>
  <c r="CE311"/>
  <c r="CD311"/>
  <c r="CA311"/>
  <c r="I311"/>
  <c r="H311"/>
  <c r="G311"/>
  <c r="F311"/>
  <c r="E311"/>
  <c r="D311"/>
  <c r="A311"/>
  <c r="CI310"/>
  <c r="CH310"/>
  <c r="CG310"/>
  <c r="CF310"/>
  <c r="CE310"/>
  <c r="CD310"/>
  <c r="CA310"/>
  <c r="I310"/>
  <c r="H310"/>
  <c r="G310"/>
  <c r="F310"/>
  <c r="E310"/>
  <c r="D310"/>
  <c r="A310"/>
  <c r="CI309"/>
  <c r="CH309"/>
  <c r="CG309"/>
  <c r="CF309"/>
  <c r="CE309"/>
  <c r="CD309"/>
  <c r="CA309"/>
  <c r="I309"/>
  <c r="H309"/>
  <c r="G309"/>
  <c r="F309"/>
  <c r="E309"/>
  <c r="D309"/>
  <c r="A309"/>
  <c r="CI308"/>
  <c r="CH308"/>
  <c r="CG308"/>
  <c r="CF308"/>
  <c r="CE308"/>
  <c r="CD308"/>
  <c r="CA308"/>
  <c r="I308"/>
  <c r="H308"/>
  <c r="G308"/>
  <c r="F308"/>
  <c r="E308"/>
  <c r="D308"/>
  <c r="A308"/>
  <c r="CI307"/>
  <c r="CH307"/>
  <c r="CG307"/>
  <c r="CF307"/>
  <c r="CE307"/>
  <c r="CD307"/>
  <c r="CA307"/>
  <c r="I307"/>
  <c r="H307"/>
  <c r="G307"/>
  <c r="F307"/>
  <c r="E307"/>
  <c r="D307"/>
  <c r="A307"/>
  <c r="M71"/>
  <c r="M70"/>
  <c r="M69"/>
  <c r="M68"/>
  <c r="M67"/>
  <c r="M66"/>
  <c r="M65"/>
  <c r="M64"/>
  <c r="M63"/>
  <c r="M62"/>
  <c r="M183"/>
  <c r="J175"/>
  <c r="M175"/>
  <c r="M178"/>
  <c r="AG11"/>
  <c r="BG11"/>
  <c r="M182"/>
  <c r="M177"/>
  <c r="AG7"/>
  <c r="BG7"/>
  <c r="M181"/>
  <c r="D256"/>
  <c r="C256"/>
  <c r="D255"/>
  <c r="C255"/>
  <c r="D254"/>
  <c r="C254"/>
  <c r="D253"/>
  <c r="C253"/>
  <c r="D252"/>
  <c r="C252"/>
  <c r="D251"/>
  <c r="C251"/>
  <c r="D250"/>
  <c r="C250"/>
  <c r="D249"/>
  <c r="C249"/>
  <c r="D248"/>
  <c r="C248"/>
  <c r="E246"/>
  <c r="D246"/>
  <c r="E245"/>
  <c r="D245"/>
  <c r="E244"/>
  <c r="D244"/>
  <c r="E243"/>
  <c r="D243"/>
  <c r="E242"/>
  <c r="D242"/>
  <c r="E241"/>
  <c r="D241"/>
  <c r="E240"/>
  <c r="D240"/>
  <c r="E239"/>
  <c r="D239"/>
  <c r="E238"/>
  <c r="D238"/>
  <c r="J236"/>
  <c r="I236"/>
  <c r="D236"/>
  <c r="C236"/>
  <c r="J235"/>
  <c r="I235"/>
  <c r="D235"/>
  <c r="C235"/>
  <c r="J234"/>
  <c r="I234"/>
  <c r="D234"/>
  <c r="C234"/>
  <c r="J233"/>
  <c r="I233"/>
  <c r="D233"/>
  <c r="C233"/>
  <c r="J232"/>
  <c r="I232"/>
  <c r="D232"/>
  <c r="C232"/>
  <c r="J231"/>
  <c r="I231"/>
  <c r="D231"/>
  <c r="C231"/>
  <c r="J230"/>
  <c r="I230"/>
  <c r="D230"/>
  <c r="C230"/>
  <c r="J229"/>
  <c r="I229"/>
  <c r="D229"/>
  <c r="C229"/>
  <c r="J228"/>
  <c r="I228"/>
  <c r="D228"/>
  <c r="C228"/>
  <c r="J210"/>
  <c r="I210"/>
  <c r="H210"/>
  <c r="G210"/>
  <c r="F210"/>
  <c r="E210"/>
  <c r="D210"/>
  <c r="J209"/>
  <c r="I209"/>
  <c r="H209"/>
  <c r="G209"/>
  <c r="F209"/>
  <c r="E209"/>
  <c r="D209"/>
  <c r="J207"/>
  <c r="I207"/>
  <c r="H207"/>
  <c r="G207"/>
  <c r="F207"/>
  <c r="E207"/>
  <c r="D207"/>
  <c r="J206"/>
  <c r="I206"/>
  <c r="H206"/>
  <c r="G206"/>
  <c r="F206"/>
  <c r="E206"/>
  <c r="D206"/>
  <c r="J204"/>
  <c r="I204"/>
  <c r="H204"/>
  <c r="G204"/>
  <c r="F204"/>
  <c r="E204"/>
  <c r="D204"/>
  <c r="C204"/>
  <c r="F202"/>
  <c r="E202"/>
  <c r="C202"/>
  <c r="D202"/>
  <c r="G188"/>
  <c r="G189"/>
  <c r="G190"/>
  <c r="G191"/>
  <c r="G192"/>
  <c r="G193"/>
  <c r="G194"/>
  <c r="G195"/>
  <c r="G196"/>
  <c r="G197"/>
  <c r="G198"/>
  <c r="G199"/>
  <c r="G200"/>
  <c r="F188"/>
  <c r="F189"/>
  <c r="F190"/>
  <c r="F191"/>
  <c r="F192"/>
  <c r="F193"/>
  <c r="F194"/>
  <c r="F195"/>
  <c r="F196"/>
  <c r="F197"/>
  <c r="F198"/>
  <c r="F199"/>
  <c r="F200"/>
  <c r="D188"/>
  <c r="D189"/>
  <c r="D190"/>
  <c r="D191"/>
  <c r="D192"/>
  <c r="D193"/>
  <c r="D194"/>
  <c r="D195"/>
  <c r="D196"/>
  <c r="D197"/>
  <c r="D198"/>
  <c r="D199"/>
  <c r="D200"/>
  <c r="C188"/>
  <c r="C189"/>
  <c r="C190"/>
  <c r="C191"/>
  <c r="C192"/>
  <c r="C193"/>
  <c r="C194"/>
  <c r="C195"/>
  <c r="C196"/>
  <c r="C197"/>
  <c r="C198"/>
  <c r="C199"/>
  <c r="C200"/>
  <c r="C60"/>
  <c r="C61"/>
  <c r="G61"/>
  <c r="H199"/>
  <c r="H198"/>
  <c r="H197"/>
  <c r="H196"/>
  <c r="H195"/>
  <c r="K194"/>
  <c r="H192"/>
  <c r="H190"/>
  <c r="H189"/>
  <c r="G173"/>
  <c r="G174"/>
  <c r="G175"/>
  <c r="G176"/>
  <c r="G177"/>
  <c r="G178"/>
  <c r="G179"/>
  <c r="G180"/>
  <c r="G181"/>
  <c r="G182"/>
  <c r="G183"/>
  <c r="G184"/>
  <c r="G185"/>
  <c r="F173"/>
  <c r="F174"/>
  <c r="F175"/>
  <c r="F176"/>
  <c r="F177"/>
  <c r="F178"/>
  <c r="F179"/>
  <c r="F180"/>
  <c r="F181"/>
  <c r="F182"/>
  <c r="F183"/>
  <c r="F184"/>
  <c r="F185"/>
  <c r="D173"/>
  <c r="D174"/>
  <c r="D175"/>
  <c r="D176"/>
  <c r="D177"/>
  <c r="D178"/>
  <c r="D179"/>
  <c r="D180"/>
  <c r="D181"/>
  <c r="D182"/>
  <c r="D183"/>
  <c r="D184"/>
  <c r="D185"/>
  <c r="C173"/>
  <c r="C174"/>
  <c r="C175"/>
  <c r="C176"/>
  <c r="C177"/>
  <c r="C178"/>
  <c r="C179"/>
  <c r="C180"/>
  <c r="C181"/>
  <c r="C182"/>
  <c r="C183"/>
  <c r="C184"/>
  <c r="C185"/>
  <c r="H184"/>
  <c r="H183"/>
  <c r="H182"/>
  <c r="H181"/>
  <c r="H180"/>
  <c r="K179"/>
  <c r="H179"/>
  <c r="H178"/>
  <c r="H176"/>
  <c r="H174"/>
  <c r="K170"/>
  <c r="I170"/>
  <c r="J170"/>
  <c r="H170"/>
  <c r="G170"/>
  <c r="F170"/>
  <c r="A170"/>
  <c r="K169"/>
  <c r="I169"/>
  <c r="J169"/>
  <c r="H169"/>
  <c r="G169"/>
  <c r="F169"/>
  <c r="A169"/>
  <c r="K168"/>
  <c r="I168"/>
  <c r="J168"/>
  <c r="H168"/>
  <c r="G168"/>
  <c r="F168"/>
  <c r="A168"/>
  <c r="K167"/>
  <c r="I167"/>
  <c r="J167"/>
  <c r="H167"/>
  <c r="G167"/>
  <c r="A167"/>
  <c r="K166"/>
  <c r="I166"/>
  <c r="J166"/>
  <c r="H166"/>
  <c r="G166"/>
  <c r="F166"/>
  <c r="A166"/>
  <c r="K165"/>
  <c r="I165"/>
  <c r="J165"/>
  <c r="H165"/>
  <c r="G165"/>
  <c r="F165"/>
  <c r="A165"/>
  <c r="K164"/>
  <c r="I164"/>
  <c r="J164"/>
  <c r="H164"/>
  <c r="G164"/>
  <c r="F164"/>
  <c r="A164"/>
  <c r="K163"/>
  <c r="I163"/>
  <c r="J163"/>
  <c r="H163"/>
  <c r="G163"/>
  <c r="F163"/>
  <c r="A163"/>
  <c r="K162"/>
  <c r="I162"/>
  <c r="J162"/>
  <c r="H162"/>
  <c r="G162"/>
  <c r="F162"/>
  <c r="A162"/>
  <c r="K161"/>
  <c r="I161"/>
  <c r="J161"/>
  <c r="H161"/>
  <c r="G161"/>
  <c r="F161"/>
  <c r="A161"/>
  <c r="K160"/>
  <c r="I160"/>
  <c r="J160"/>
  <c r="H160"/>
  <c r="BW160"/>
  <c r="K159"/>
  <c r="I159"/>
  <c r="J159"/>
  <c r="H159"/>
  <c r="BB159"/>
  <c r="F159"/>
  <c r="G159"/>
  <c r="BW159"/>
  <c r="K158"/>
  <c r="I158"/>
  <c r="J158"/>
  <c r="H158"/>
  <c r="BB158"/>
  <c r="F158"/>
  <c r="G158"/>
  <c r="BW158"/>
  <c r="K157"/>
  <c r="I157"/>
  <c r="J157"/>
  <c r="H157"/>
  <c r="BB157"/>
  <c r="F157"/>
  <c r="G157"/>
  <c r="BW157"/>
  <c r="A156"/>
  <c r="K156"/>
  <c r="I156"/>
  <c r="J156"/>
  <c r="H156"/>
  <c r="D156"/>
  <c r="BB156"/>
  <c r="BW156"/>
  <c r="K155"/>
  <c r="I155"/>
  <c r="J155"/>
  <c r="H155"/>
  <c r="BB155"/>
  <c r="F155"/>
  <c r="G155"/>
  <c r="BW155"/>
  <c r="K154"/>
  <c r="I154"/>
  <c r="J154"/>
  <c r="H154"/>
  <c r="BB154"/>
  <c r="F154"/>
  <c r="G154"/>
  <c r="BW154"/>
  <c r="K153"/>
  <c r="I153"/>
  <c r="J153"/>
  <c r="H153"/>
  <c r="BB153"/>
  <c r="F153"/>
  <c r="G153"/>
  <c r="BW153"/>
  <c r="K152"/>
  <c r="I152"/>
  <c r="J152"/>
  <c r="H152"/>
  <c r="BW152"/>
  <c r="K151"/>
  <c r="I151"/>
  <c r="J151"/>
  <c r="H151"/>
  <c r="BB151"/>
  <c r="F151"/>
  <c r="G151"/>
  <c r="BW151"/>
  <c r="K150"/>
  <c r="I150"/>
  <c r="J150"/>
  <c r="H150"/>
  <c r="BW150"/>
  <c r="K149"/>
  <c r="I149"/>
  <c r="J149"/>
  <c r="H149"/>
  <c r="BW149"/>
  <c r="K148"/>
  <c r="I148"/>
  <c r="J148"/>
  <c r="H148"/>
  <c r="BB148"/>
  <c r="F148"/>
  <c r="G148"/>
  <c r="BW148"/>
  <c r="K147"/>
  <c r="I147"/>
  <c r="J147"/>
  <c r="H147"/>
  <c r="BW147"/>
  <c r="K146"/>
  <c r="I146"/>
  <c r="J146"/>
  <c r="H146"/>
  <c r="BW146"/>
  <c r="K145"/>
  <c r="I145"/>
  <c r="J145"/>
  <c r="H145"/>
  <c r="BB145"/>
  <c r="F145"/>
  <c r="G145"/>
  <c r="BW145"/>
  <c r="K144"/>
  <c r="I144"/>
  <c r="J144"/>
  <c r="H144"/>
  <c r="BW144"/>
  <c r="K143"/>
  <c r="I143"/>
  <c r="J143"/>
  <c r="H143"/>
  <c r="BB143"/>
  <c r="F143"/>
  <c r="G143"/>
  <c r="BW143"/>
  <c r="K142"/>
  <c r="I142"/>
  <c r="J142"/>
  <c r="H142"/>
  <c r="BB142"/>
  <c r="F142"/>
  <c r="G142"/>
  <c r="BW142"/>
  <c r="K141"/>
  <c r="I141"/>
  <c r="J141"/>
  <c r="H141"/>
  <c r="BW141"/>
  <c r="K140"/>
  <c r="I140"/>
  <c r="J140"/>
  <c r="H140"/>
  <c r="BW140"/>
  <c r="K139"/>
  <c r="I139"/>
  <c r="J139"/>
  <c r="H139"/>
  <c r="BB139"/>
  <c r="F139"/>
  <c r="G139"/>
  <c r="BW139"/>
  <c r="K138"/>
  <c r="I138"/>
  <c r="J138"/>
  <c r="H138"/>
  <c r="BB138"/>
  <c r="F138"/>
  <c r="G138"/>
  <c r="BW138"/>
  <c r="K137"/>
  <c r="I137"/>
  <c r="J137"/>
  <c r="H137"/>
  <c r="BW137"/>
  <c r="A136"/>
  <c r="K136"/>
  <c r="I136"/>
  <c r="J136"/>
  <c r="H136"/>
  <c r="D136"/>
  <c r="BB136"/>
  <c r="BW136"/>
  <c r="H134"/>
  <c r="AQ116"/>
  <c r="AQ117"/>
  <c r="AQ118"/>
  <c r="AQ119"/>
  <c r="AQ120"/>
  <c r="AQ121"/>
  <c r="AQ122"/>
  <c r="AQ123"/>
  <c r="AQ124"/>
  <c r="AS116"/>
  <c r="F133"/>
  <c r="E133"/>
  <c r="G132"/>
  <c r="F132"/>
  <c r="E132"/>
  <c r="D132"/>
  <c r="C132"/>
  <c r="K130"/>
  <c r="J130"/>
  <c r="I130"/>
  <c r="H130"/>
  <c r="BB130"/>
  <c r="F130"/>
  <c r="G130"/>
  <c r="K129"/>
  <c r="J129"/>
  <c r="I129"/>
  <c r="H129"/>
  <c r="BB129"/>
  <c r="F129"/>
  <c r="G129"/>
  <c r="K128"/>
  <c r="J128"/>
  <c r="I128"/>
  <c r="H128"/>
  <c r="BB128"/>
  <c r="F128"/>
  <c r="G128"/>
  <c r="K127"/>
  <c r="J127"/>
  <c r="I127"/>
  <c r="H127"/>
  <c r="BB127"/>
  <c r="F127"/>
  <c r="G127"/>
  <c r="K126"/>
  <c r="J126"/>
  <c r="I126"/>
  <c r="H126"/>
  <c r="BB126"/>
  <c r="F126"/>
  <c r="G126"/>
  <c r="K125"/>
  <c r="J125"/>
  <c r="I125"/>
  <c r="H125"/>
  <c r="BB125"/>
  <c r="F125"/>
  <c r="G125"/>
  <c r="G123"/>
  <c r="F123"/>
  <c r="E123"/>
  <c r="D123"/>
  <c r="C123"/>
  <c r="B123"/>
  <c r="G122"/>
  <c r="F122"/>
  <c r="E122"/>
  <c r="D122"/>
  <c r="C122"/>
  <c r="B122"/>
  <c r="G121"/>
  <c r="F121"/>
  <c r="E121"/>
  <c r="D121"/>
  <c r="C121"/>
  <c r="B121"/>
  <c r="G120"/>
  <c r="F120"/>
  <c r="E120"/>
  <c r="D120"/>
  <c r="C120"/>
  <c r="B120"/>
  <c r="G119"/>
  <c r="F119"/>
  <c r="E119"/>
  <c r="D119"/>
  <c r="C119"/>
  <c r="B119"/>
  <c r="G118"/>
  <c r="F118"/>
  <c r="E118"/>
  <c r="D118"/>
  <c r="C118"/>
  <c r="B118"/>
  <c r="G117"/>
  <c r="F117"/>
  <c r="E117"/>
  <c r="D117"/>
  <c r="C117"/>
  <c r="B117"/>
  <c r="G116"/>
  <c r="F116"/>
  <c r="E116"/>
  <c r="D116"/>
  <c r="C116"/>
  <c r="B116"/>
  <c r="G115"/>
  <c r="F115"/>
  <c r="D115"/>
  <c r="C115"/>
  <c r="B115"/>
  <c r="G114"/>
  <c r="F114"/>
  <c r="D114"/>
  <c r="C114"/>
  <c r="B114"/>
  <c r="G113"/>
  <c r="F113"/>
  <c r="D113"/>
  <c r="C113"/>
  <c r="B113"/>
  <c r="G112"/>
  <c r="F112"/>
  <c r="D112"/>
  <c r="C112"/>
  <c r="B112"/>
  <c r="G111"/>
  <c r="F111"/>
  <c r="D111"/>
  <c r="C111"/>
  <c r="B111"/>
  <c r="G110"/>
  <c r="F110"/>
  <c r="D110"/>
  <c r="C110"/>
  <c r="B110"/>
  <c r="G109"/>
  <c r="F109"/>
  <c r="E109"/>
  <c r="D109"/>
  <c r="C109"/>
  <c r="B109"/>
  <c r="G108"/>
  <c r="F108"/>
  <c r="E108"/>
  <c r="D108"/>
  <c r="C108"/>
  <c r="B108"/>
  <c r="G107"/>
  <c r="F107"/>
  <c r="E107"/>
  <c r="D107"/>
  <c r="C107"/>
  <c r="B107"/>
  <c r="G106"/>
  <c r="F106"/>
  <c r="D106"/>
  <c r="C106"/>
  <c r="B106"/>
  <c r="G105"/>
  <c r="F105"/>
  <c r="D105"/>
  <c r="C105"/>
  <c r="B105"/>
  <c r="G104"/>
  <c r="F104"/>
  <c r="D104"/>
  <c r="C104"/>
  <c r="B104"/>
  <c r="G103"/>
  <c r="F103"/>
  <c r="D103"/>
  <c r="C103"/>
  <c r="B103"/>
  <c r="G102"/>
  <c r="F102"/>
  <c r="D102"/>
  <c r="C102"/>
  <c r="B102"/>
  <c r="G101"/>
  <c r="F101"/>
  <c r="D101"/>
  <c r="C101"/>
  <c r="B101"/>
  <c r="G100"/>
  <c r="F100"/>
  <c r="D100"/>
  <c r="C100"/>
  <c r="B100"/>
  <c r="G99"/>
  <c r="F99"/>
  <c r="D99"/>
  <c r="C99"/>
  <c r="B99"/>
  <c r="G98"/>
  <c r="F98"/>
  <c r="D98"/>
  <c r="C98"/>
  <c r="B98"/>
  <c r="G97"/>
  <c r="F97"/>
  <c r="D97"/>
  <c r="C97"/>
  <c r="B97"/>
  <c r="G96"/>
  <c r="F96"/>
  <c r="D96"/>
  <c r="C96"/>
  <c r="B96"/>
  <c r="K94"/>
  <c r="I94"/>
  <c r="J94"/>
  <c r="H94"/>
  <c r="G94"/>
  <c r="F94"/>
  <c r="K93"/>
  <c r="I93"/>
  <c r="J93"/>
  <c r="H93"/>
  <c r="G93"/>
  <c r="F93"/>
  <c r="K92"/>
  <c r="I92"/>
  <c r="J92"/>
  <c r="H92"/>
  <c r="G92"/>
  <c r="F92"/>
  <c r="K91"/>
  <c r="I91"/>
  <c r="J91"/>
  <c r="H91"/>
  <c r="G91"/>
  <c r="F91"/>
  <c r="K90"/>
  <c r="I90"/>
  <c r="J90"/>
  <c r="H90"/>
  <c r="G90"/>
  <c r="F90"/>
  <c r="B90"/>
  <c r="A90"/>
  <c r="K89"/>
  <c r="I89"/>
  <c r="J89"/>
  <c r="H89"/>
  <c r="G89"/>
  <c r="F89"/>
  <c r="K88"/>
  <c r="I88"/>
  <c r="J88"/>
  <c r="H88"/>
  <c r="G88"/>
  <c r="F88"/>
  <c r="K87"/>
  <c r="I87"/>
  <c r="J87"/>
  <c r="H87"/>
  <c r="G87"/>
  <c r="F87"/>
  <c r="K86"/>
  <c r="I86"/>
  <c r="J86"/>
  <c r="H86"/>
  <c r="F86"/>
  <c r="G86"/>
  <c r="K85"/>
  <c r="I85"/>
  <c r="J85"/>
  <c r="H85"/>
  <c r="G85"/>
  <c r="F85"/>
  <c r="N10"/>
  <c r="A13"/>
  <c r="AG2"/>
  <c r="BG2"/>
  <c r="BH2"/>
  <c r="N11"/>
  <c r="A14"/>
  <c r="AG3"/>
  <c r="BG3"/>
  <c r="BH3"/>
  <c r="N12"/>
  <c r="A15"/>
  <c r="AG4"/>
  <c r="BG4"/>
  <c r="BH4"/>
  <c r="A77"/>
  <c r="A76"/>
  <c r="A75"/>
  <c r="A74"/>
  <c r="A73"/>
  <c r="A72"/>
  <c r="F61"/>
  <c r="E61"/>
  <c r="K57"/>
  <c r="I57"/>
  <c r="J57"/>
  <c r="H57"/>
  <c r="G57"/>
  <c r="F57"/>
  <c r="A57"/>
  <c r="K56"/>
  <c r="I56"/>
  <c r="J56"/>
  <c r="H56"/>
  <c r="G56"/>
  <c r="F56"/>
  <c r="A56"/>
  <c r="K55"/>
  <c r="I55"/>
  <c r="J55"/>
  <c r="H55"/>
  <c r="G55"/>
  <c r="F55"/>
  <c r="A55"/>
  <c r="K54"/>
  <c r="I54"/>
  <c r="J54"/>
  <c r="H54"/>
  <c r="G54"/>
  <c r="F54"/>
  <c r="A54"/>
  <c r="K53"/>
  <c r="I53"/>
  <c r="J53"/>
  <c r="H53"/>
  <c r="G53"/>
  <c r="F53"/>
  <c r="A53"/>
  <c r="K52"/>
  <c r="I52"/>
  <c r="J52"/>
  <c r="H52"/>
  <c r="G52"/>
  <c r="F52"/>
  <c r="A52"/>
  <c r="K51"/>
  <c r="I51"/>
  <c r="J51"/>
  <c r="H51"/>
  <c r="G51"/>
  <c r="F51"/>
  <c r="A51"/>
  <c r="K50"/>
  <c r="I50"/>
  <c r="J50"/>
  <c r="H50"/>
  <c r="G50"/>
  <c r="F50"/>
  <c r="A50"/>
  <c r="K49"/>
  <c r="I49"/>
  <c r="J49"/>
  <c r="H49"/>
  <c r="G49"/>
  <c r="F49"/>
  <c r="A49"/>
  <c r="K48"/>
  <c r="I48"/>
  <c r="J48"/>
  <c r="H48"/>
  <c r="G48"/>
  <c r="F48"/>
  <c r="A48"/>
  <c r="K47"/>
  <c r="I47"/>
  <c r="J47"/>
  <c r="H47"/>
  <c r="G47"/>
  <c r="F47"/>
  <c r="A47"/>
  <c r="K46"/>
  <c r="I46"/>
  <c r="J46"/>
  <c r="H46"/>
  <c r="G46"/>
  <c r="F46"/>
  <c r="A46"/>
  <c r="K45"/>
  <c r="I45"/>
  <c r="J45"/>
  <c r="H45"/>
  <c r="BB45"/>
  <c r="F45"/>
  <c r="G45"/>
  <c r="BW45"/>
  <c r="K44"/>
  <c r="I44"/>
  <c r="J44"/>
  <c r="H44"/>
  <c r="BB44"/>
  <c r="F44"/>
  <c r="G44"/>
  <c r="BW44"/>
  <c r="K43"/>
  <c r="I43"/>
  <c r="J43"/>
  <c r="H43"/>
  <c r="BB43"/>
  <c r="F43"/>
  <c r="G43"/>
  <c r="BW43"/>
  <c r="K42"/>
  <c r="I42"/>
  <c r="J42"/>
  <c r="H42"/>
  <c r="BB42"/>
  <c r="F42"/>
  <c r="G42"/>
  <c r="BW42"/>
  <c r="K41"/>
  <c r="I41"/>
  <c r="J41"/>
  <c r="H41"/>
  <c r="BB41"/>
  <c r="F41"/>
  <c r="G41"/>
  <c r="BW41"/>
  <c r="K40"/>
  <c r="I40"/>
  <c r="J40"/>
  <c r="H40"/>
  <c r="BB40"/>
  <c r="F40"/>
  <c r="G40"/>
  <c r="BW40"/>
  <c r="K39"/>
  <c r="I39"/>
  <c r="J39"/>
  <c r="H39"/>
  <c r="BB39"/>
  <c r="F39"/>
  <c r="G39"/>
  <c r="BW39"/>
  <c r="K38"/>
  <c r="I38"/>
  <c r="J38"/>
  <c r="H38"/>
  <c r="BB38"/>
  <c r="F38"/>
  <c r="G38"/>
  <c r="BW38"/>
  <c r="K37"/>
  <c r="I37"/>
  <c r="J37"/>
  <c r="H37"/>
  <c r="BB37"/>
  <c r="F37"/>
  <c r="G37"/>
  <c r="BW37"/>
  <c r="K36"/>
  <c r="I36"/>
  <c r="J36"/>
  <c r="H36"/>
  <c r="BB36"/>
  <c r="F36"/>
  <c r="G36"/>
  <c r="BW36"/>
  <c r="K35"/>
  <c r="I35"/>
  <c r="J35"/>
  <c r="H35"/>
  <c r="BB35"/>
  <c r="F35"/>
  <c r="G35"/>
  <c r="BW35"/>
  <c r="K34"/>
  <c r="I34"/>
  <c r="J34"/>
  <c r="H34"/>
  <c r="BW34"/>
  <c r="K33"/>
  <c r="I33"/>
  <c r="J33"/>
  <c r="H33"/>
  <c r="BB33"/>
  <c r="F33"/>
  <c r="G33"/>
  <c r="BW33"/>
  <c r="K32"/>
  <c r="I32"/>
  <c r="J32"/>
  <c r="H32"/>
  <c r="BB32"/>
  <c r="F32"/>
  <c r="G32"/>
  <c r="BW32"/>
  <c r="K31"/>
  <c r="I31"/>
  <c r="J31"/>
  <c r="H31"/>
  <c r="BB31"/>
  <c r="F31"/>
  <c r="G31"/>
  <c r="BW31"/>
  <c r="K30"/>
  <c r="I30"/>
  <c r="J30"/>
  <c r="H30"/>
  <c r="BB30"/>
  <c r="F30"/>
  <c r="G30"/>
  <c r="BW30"/>
  <c r="K29"/>
  <c r="I29"/>
  <c r="J29"/>
  <c r="H29"/>
  <c r="BB29"/>
  <c r="F29"/>
  <c r="G29"/>
  <c r="BW29"/>
  <c r="A28"/>
  <c r="K28"/>
  <c r="I28"/>
  <c r="J28"/>
  <c r="H28"/>
  <c r="D28"/>
  <c r="BB28"/>
  <c r="BW28"/>
  <c r="K27"/>
  <c r="I27"/>
  <c r="J27"/>
  <c r="H27"/>
  <c r="BW27"/>
  <c r="K26"/>
  <c r="I26"/>
  <c r="J26"/>
  <c r="H26"/>
  <c r="BB26"/>
  <c r="F26"/>
  <c r="G26"/>
  <c r="BW26"/>
  <c r="K25"/>
  <c r="I25"/>
  <c r="J25"/>
  <c r="H25"/>
  <c r="BB25"/>
  <c r="F25"/>
  <c r="G25"/>
  <c r="BW25"/>
  <c r="K24"/>
  <c r="I24"/>
  <c r="J24"/>
  <c r="H24"/>
  <c r="BB24"/>
  <c r="F24"/>
  <c r="G24"/>
  <c r="BW24"/>
  <c r="K23"/>
  <c r="I23"/>
  <c r="J23"/>
  <c r="H23"/>
  <c r="BB23"/>
  <c r="F23"/>
  <c r="G23"/>
  <c r="BW23"/>
  <c r="A22"/>
  <c r="K22"/>
  <c r="I22"/>
  <c r="J22"/>
  <c r="H22"/>
  <c r="D22"/>
  <c r="BB22"/>
  <c r="BW22"/>
  <c r="N16"/>
  <c r="D14"/>
  <c r="H19"/>
  <c r="D19"/>
  <c r="H18"/>
  <c r="N19"/>
  <c r="N14"/>
  <c r="A18"/>
  <c r="A17"/>
  <c r="N18"/>
  <c r="D16"/>
  <c r="AY17"/>
  <c r="AZ17"/>
  <c r="A16"/>
  <c r="N17"/>
  <c r="D15"/>
  <c r="N15"/>
  <c r="D13"/>
  <c r="I8"/>
  <c r="I12"/>
  <c r="BM17"/>
  <c r="B12"/>
  <c r="H11"/>
  <c r="G11"/>
  <c r="H10"/>
  <c r="G10"/>
  <c r="H9"/>
  <c r="G9"/>
  <c r="H8"/>
  <c r="G8"/>
  <c r="H7"/>
  <c r="G7"/>
  <c r="H6"/>
  <c r="G6"/>
  <c r="J4"/>
  <c r="J3"/>
  <c r="J5"/>
  <c r="AQ75"/>
  <c r="AQ76"/>
  <c r="AQ77"/>
  <c r="AQ78"/>
  <c r="AQ79"/>
  <c r="AQ80"/>
  <c r="AQ81"/>
  <c r="AQ82"/>
  <c r="AQ83"/>
  <c r="AS75"/>
  <c r="F4"/>
  <c r="E4"/>
  <c r="AH2"/>
  <c r="AH3"/>
  <c r="AH4"/>
  <c r="D3"/>
  <c r="G2"/>
  <c r="CH60"/>
  <c r="CK60"/>
  <c r="CH61"/>
  <c r="CK61"/>
  <c r="CK62"/>
  <c r="CH64"/>
  <c r="CK64"/>
  <c r="CH65"/>
  <c r="CK65"/>
  <c r="CI63"/>
  <c r="CF7"/>
  <c r="CK63"/>
  <c r="CJ190"/>
  <c r="CF6"/>
  <c r="CJ189"/>
  <c r="CB132"/>
  <c r="CC60"/>
  <c r="CI204"/>
  <c r="CG61"/>
  <c r="CJ175"/>
  <c r="CJ174"/>
  <c r="M173"/>
  <c r="AG6"/>
  <c r="BG6"/>
  <c r="BH11"/>
  <c r="AG12"/>
  <c r="BG12"/>
  <c r="BH12"/>
  <c r="BB57"/>
  <c r="BB56"/>
  <c r="BB54"/>
  <c r="BB51"/>
  <c r="BB50"/>
  <c r="BB49"/>
  <c r="BB47"/>
  <c r="BB46"/>
  <c r="AY5"/>
  <c r="AZ5"/>
  <c r="AH12"/>
  <c r="BB58"/>
  <c r="AY7"/>
  <c r="AZ7"/>
  <c r="M206"/>
  <c r="BB48"/>
  <c r="AY16"/>
  <c r="AZ16"/>
  <c r="M204"/>
  <c r="M209"/>
  <c r="CG123"/>
  <c r="CF123"/>
  <c r="CD123"/>
  <c r="CC123"/>
  <c r="CB123"/>
  <c r="CA123"/>
  <c r="CG122"/>
  <c r="CF122"/>
  <c r="CD122"/>
  <c r="CC122"/>
  <c r="CB122"/>
  <c r="CA122"/>
  <c r="CG121"/>
  <c r="CF121"/>
  <c r="CD121"/>
  <c r="CC121"/>
  <c r="CB121"/>
  <c r="CA121"/>
  <c r="CG120"/>
  <c r="CF120"/>
  <c r="CD120"/>
  <c r="CC120"/>
  <c r="CB120"/>
  <c r="CA120"/>
  <c r="CG119"/>
  <c r="CF119"/>
  <c r="CD119"/>
  <c r="CC119"/>
  <c r="CB119"/>
  <c r="CA119"/>
  <c r="CG118"/>
  <c r="CF118"/>
  <c r="CD118"/>
  <c r="CC118"/>
  <c r="CB118"/>
  <c r="CA118"/>
  <c r="CG117"/>
  <c r="CF117"/>
  <c r="CD117"/>
  <c r="CC117"/>
  <c r="CB117"/>
  <c r="CA117"/>
  <c r="CG116"/>
  <c r="CF116"/>
  <c r="CD116"/>
  <c r="CC116"/>
  <c r="CB116"/>
  <c r="CA116"/>
  <c r="CG115"/>
  <c r="CF115"/>
  <c r="CD115"/>
  <c r="CC115"/>
  <c r="CB115"/>
  <c r="CA115"/>
  <c r="CG114"/>
  <c r="CF114"/>
  <c r="CD114"/>
  <c r="CC114"/>
  <c r="CB114"/>
  <c r="CA114"/>
  <c r="CG113"/>
  <c r="CF113"/>
  <c r="CD113"/>
  <c r="CC113"/>
  <c r="CB113"/>
  <c r="CA113"/>
  <c r="CG112"/>
  <c r="CF112"/>
  <c r="CD112"/>
  <c r="CC112"/>
  <c r="CB112"/>
  <c r="CA112"/>
  <c r="CG111"/>
  <c r="CF111"/>
  <c r="CD111"/>
  <c r="CC111"/>
  <c r="CB111"/>
  <c r="CA111"/>
  <c r="CG110"/>
  <c r="CF110"/>
  <c r="CD110"/>
  <c r="CC110"/>
  <c r="CB110"/>
  <c r="CA110"/>
  <c r="CG109"/>
  <c r="CF109"/>
  <c r="CD109"/>
  <c r="CC109"/>
  <c r="CB109"/>
  <c r="CA109"/>
  <c r="CG108"/>
  <c r="CF108"/>
  <c r="CD108"/>
  <c r="CC108"/>
  <c r="CB108"/>
  <c r="CA108"/>
  <c r="CG107"/>
  <c r="CF107"/>
  <c r="CD107"/>
  <c r="CC107"/>
  <c r="CB107"/>
  <c r="CA107"/>
  <c r="CG106"/>
  <c r="CF106"/>
  <c r="CD106"/>
  <c r="CC106"/>
  <c r="CB106"/>
  <c r="CA106"/>
  <c r="CG105"/>
  <c r="CF105"/>
  <c r="CD105"/>
  <c r="CC105"/>
  <c r="CB105"/>
  <c r="CA105"/>
  <c r="CG104"/>
  <c r="CF104"/>
  <c r="CD104"/>
  <c r="CC104"/>
  <c r="CB104"/>
  <c r="CA104"/>
  <c r="CG103"/>
  <c r="CF103"/>
  <c r="CD103"/>
  <c r="CC103"/>
  <c r="CB103"/>
  <c r="CA103"/>
  <c r="CG102"/>
  <c r="CF102"/>
  <c r="CD102"/>
  <c r="CC102"/>
  <c r="CB102"/>
  <c r="CA102"/>
  <c r="CG101"/>
  <c r="CF101"/>
  <c r="CD101"/>
  <c r="CC101"/>
  <c r="CB101"/>
  <c r="CA101"/>
  <c r="CG100"/>
  <c r="CF100"/>
  <c r="CD100"/>
  <c r="CC100"/>
  <c r="CB100"/>
  <c r="CA100"/>
  <c r="CG99"/>
  <c r="CF99"/>
  <c r="CD99"/>
  <c r="CC99"/>
  <c r="CB99"/>
  <c r="CA99"/>
  <c r="CG98"/>
  <c r="CF98"/>
  <c r="CD98"/>
  <c r="CC98"/>
  <c r="CB98"/>
  <c r="CA98"/>
  <c r="CG97"/>
  <c r="CF97"/>
  <c r="CD97"/>
  <c r="CC97"/>
  <c r="CB97"/>
  <c r="CA97"/>
  <c r="CG96"/>
  <c r="CF96"/>
  <c r="CD96"/>
  <c r="CC96"/>
  <c r="CB96"/>
  <c r="CA96"/>
  <c r="O13"/>
  <c r="AY19"/>
  <c r="AZ19"/>
  <c r="BM19"/>
  <c r="M176"/>
  <c r="AG8"/>
  <c r="BG8"/>
  <c r="M207"/>
  <c r="AY4"/>
  <c r="AZ4"/>
  <c r="BB85"/>
  <c r="AY12"/>
  <c r="AZ12"/>
  <c r="BM12"/>
  <c r="CA72"/>
  <c r="CA77"/>
  <c r="CA76"/>
  <c r="CA75"/>
  <c r="CA74"/>
  <c r="CA73"/>
  <c r="CL123"/>
  <c r="CL122"/>
  <c r="CL121"/>
  <c r="CL120"/>
  <c r="CL119"/>
  <c r="CL118"/>
  <c r="CL117"/>
  <c r="CL116"/>
  <c r="CL115"/>
  <c r="CL114"/>
  <c r="CL113"/>
  <c r="CL112"/>
  <c r="CL111"/>
  <c r="CL110"/>
  <c r="CL109"/>
  <c r="CL108"/>
  <c r="CL107"/>
  <c r="CL106"/>
  <c r="CL105"/>
  <c r="CL104"/>
  <c r="CL103"/>
  <c r="CL102"/>
  <c r="CL101"/>
  <c r="CL100"/>
  <c r="CL99"/>
  <c r="CL98"/>
  <c r="CL97"/>
  <c r="CL96"/>
  <c r="AY25"/>
  <c r="AY26"/>
  <c r="AY27"/>
  <c r="AY28"/>
  <c r="AY29"/>
  <c r="AY30"/>
  <c r="AY31"/>
  <c r="AY32"/>
  <c r="AW34"/>
  <c r="AW35"/>
  <c r="AS36"/>
  <c r="AS37"/>
  <c r="AS38"/>
  <c r="BM16"/>
  <c r="AO7"/>
  <c r="AO6"/>
  <c r="AO5"/>
  <c r="AO4"/>
  <c r="AO3"/>
  <c r="BB169"/>
  <c r="BB167"/>
  <c r="BB166"/>
  <c r="BB165"/>
  <c r="BB164"/>
  <c r="BB163"/>
  <c r="BB162"/>
  <c r="CC130"/>
  <c r="CK130"/>
  <c r="CC129"/>
  <c r="CK129"/>
  <c r="CC128"/>
  <c r="CK128"/>
  <c r="CK127"/>
  <c r="CK126"/>
  <c r="CK125"/>
  <c r="CD256"/>
  <c r="CC256"/>
  <c r="CD255"/>
  <c r="CC255"/>
  <c r="CD254"/>
  <c r="CC254"/>
  <c r="CD253"/>
  <c r="CC253"/>
  <c r="CD252"/>
  <c r="CC252"/>
  <c r="CD251"/>
  <c r="CC251"/>
  <c r="CD250"/>
  <c r="CC250"/>
  <c r="CD249"/>
  <c r="CC249"/>
  <c r="CD248"/>
  <c r="CC248"/>
  <c r="CE246"/>
  <c r="CD246"/>
  <c r="CE245"/>
  <c r="CD245"/>
  <c r="CE244"/>
  <c r="CD244"/>
  <c r="CE243"/>
  <c r="CD243"/>
  <c r="CE242"/>
  <c r="CD242"/>
  <c r="CE241"/>
  <c r="CD241"/>
  <c r="CE240"/>
  <c r="CD240"/>
  <c r="CE239"/>
  <c r="CD239"/>
  <c r="CE238"/>
  <c r="CD238"/>
  <c r="CJ236"/>
  <c r="CI236"/>
  <c r="CD236"/>
  <c r="CC236"/>
  <c r="CJ235"/>
  <c r="CI235"/>
  <c r="CD235"/>
  <c r="CC235"/>
  <c r="CJ234"/>
  <c r="CI234"/>
  <c r="CD234"/>
  <c r="CC234"/>
  <c r="CJ233"/>
  <c r="CI233"/>
  <c r="CD233"/>
  <c r="CC233"/>
  <c r="CJ232"/>
  <c r="CI232"/>
  <c r="CD232"/>
  <c r="CC232"/>
  <c r="CJ231"/>
  <c r="CI231"/>
  <c r="CD231"/>
  <c r="CC231"/>
  <c r="CJ230"/>
  <c r="CI230"/>
  <c r="CD230"/>
  <c r="CC230"/>
  <c r="CJ229"/>
  <c r="CI229"/>
  <c r="CD229"/>
  <c r="CC229"/>
  <c r="CJ228"/>
  <c r="CI228"/>
  <c r="CD228"/>
  <c r="CC228"/>
  <c r="CJ210"/>
  <c r="CI210"/>
  <c r="CH210"/>
  <c r="CG210"/>
  <c r="CF210"/>
  <c r="CD210"/>
  <c r="CG209"/>
  <c r="CF209"/>
  <c r="CD209"/>
  <c r="CG207"/>
  <c r="CF207"/>
  <c r="CD207"/>
  <c r="CG206"/>
  <c r="CF206"/>
  <c r="CD206"/>
  <c r="CF204"/>
  <c r="CE204"/>
  <c r="CC204"/>
  <c r="CF202"/>
  <c r="CE202"/>
  <c r="CC202"/>
  <c r="CK171"/>
  <c r="CI171"/>
  <c r="CJ171"/>
  <c r="CH171"/>
  <c r="CK170"/>
  <c r="CI170"/>
  <c r="CJ170"/>
  <c r="CH170"/>
  <c r="CK169"/>
  <c r="CI169"/>
  <c r="CJ169"/>
  <c r="CH169"/>
  <c r="CK168"/>
  <c r="CI168"/>
  <c r="CJ168"/>
  <c r="CH168"/>
  <c r="CK167"/>
  <c r="CI167"/>
  <c r="CJ167"/>
  <c r="CH167"/>
  <c r="CK166"/>
  <c r="CI166"/>
  <c r="CJ166"/>
  <c r="CH166"/>
  <c r="CK165"/>
  <c r="CI165"/>
  <c r="CJ165"/>
  <c r="CH165"/>
  <c r="CK164"/>
  <c r="CI164"/>
  <c r="CJ164"/>
  <c r="CH164"/>
  <c r="CK163"/>
  <c r="CI163"/>
  <c r="CJ163"/>
  <c r="CH163"/>
  <c r="CK162"/>
  <c r="CI162"/>
  <c r="CJ162"/>
  <c r="CH162"/>
  <c r="CK161"/>
  <c r="CI161"/>
  <c r="CJ161"/>
  <c r="CH161"/>
  <c r="CK160"/>
  <c r="CI160"/>
  <c r="CJ160"/>
  <c r="CH160"/>
  <c r="CK159"/>
  <c r="CI159"/>
  <c r="CJ159"/>
  <c r="CH159"/>
  <c r="CK158"/>
  <c r="CI158"/>
  <c r="CJ158"/>
  <c r="CH158"/>
  <c r="CK157"/>
  <c r="CI157"/>
  <c r="CJ157"/>
  <c r="CH157"/>
  <c r="CB156"/>
  <c r="CC156"/>
  <c r="CA156"/>
  <c r="CK156"/>
  <c r="CI156"/>
  <c r="CJ156"/>
  <c r="CH156"/>
  <c r="CD156"/>
  <c r="CK155"/>
  <c r="CI155"/>
  <c r="CJ155"/>
  <c r="CH155"/>
  <c r="CK154"/>
  <c r="CI154"/>
  <c r="CJ154"/>
  <c r="CH154"/>
  <c r="CK153"/>
  <c r="CI153"/>
  <c r="CJ153"/>
  <c r="CH153"/>
  <c r="CK152"/>
  <c r="CI152"/>
  <c r="CJ152"/>
  <c r="CH152"/>
  <c r="CK151"/>
  <c r="CI151"/>
  <c r="CJ151"/>
  <c r="CH151"/>
  <c r="CK150"/>
  <c r="CI150"/>
  <c r="CJ150"/>
  <c r="CH150"/>
  <c r="CK149"/>
  <c r="CI149"/>
  <c r="CJ149"/>
  <c r="CH149"/>
  <c r="CK148"/>
  <c r="CI148"/>
  <c r="CJ148"/>
  <c r="CH148"/>
  <c r="CK147"/>
  <c r="CI147"/>
  <c r="CJ147"/>
  <c r="CH147"/>
  <c r="CK146"/>
  <c r="CI146"/>
  <c r="CJ146"/>
  <c r="CH146"/>
  <c r="CK145"/>
  <c r="CI145"/>
  <c r="CJ145"/>
  <c r="CH145"/>
  <c r="CK144"/>
  <c r="CI144"/>
  <c r="CJ144"/>
  <c r="CH144"/>
  <c r="CK143"/>
  <c r="CI143"/>
  <c r="CJ143"/>
  <c r="CH143"/>
  <c r="CK142"/>
  <c r="CI142"/>
  <c r="CJ142"/>
  <c r="CH142"/>
  <c r="CK141"/>
  <c r="CI141"/>
  <c r="CJ141"/>
  <c r="CH141"/>
  <c r="CK140"/>
  <c r="CI140"/>
  <c r="CJ140"/>
  <c r="CH140"/>
  <c r="CK139"/>
  <c r="CI139"/>
  <c r="CJ139"/>
  <c r="CH139"/>
  <c r="CK138"/>
  <c r="CI138"/>
  <c r="CJ138"/>
  <c r="CH138"/>
  <c r="CK137"/>
  <c r="CI137"/>
  <c r="CJ137"/>
  <c r="CH137"/>
  <c r="CB136"/>
  <c r="CC136"/>
  <c r="CA136"/>
  <c r="CK136"/>
  <c r="CI136"/>
  <c r="CJ136"/>
  <c r="CH136"/>
  <c r="CD136"/>
  <c r="CJ130"/>
  <c r="CI130"/>
  <c r="CH130"/>
  <c r="CJ129"/>
  <c r="CI129"/>
  <c r="CH129"/>
  <c r="CJ128"/>
  <c r="CI128"/>
  <c r="CH128"/>
  <c r="CJ127"/>
  <c r="CI127"/>
  <c r="CH127"/>
  <c r="CJ126"/>
  <c r="CI126"/>
  <c r="CH126"/>
  <c r="CJ125"/>
  <c r="CI125"/>
  <c r="CH125"/>
  <c r="CK94"/>
  <c r="CI94"/>
  <c r="CJ94"/>
  <c r="CH94"/>
  <c r="CK93"/>
  <c r="CI93"/>
  <c r="CJ93"/>
  <c r="CH93"/>
  <c r="CK92"/>
  <c r="CI92"/>
  <c r="CJ92"/>
  <c r="CH92"/>
  <c r="CK91"/>
  <c r="CI91"/>
  <c r="CJ91"/>
  <c r="CH91"/>
  <c r="CK90"/>
  <c r="CI90"/>
  <c r="CJ90"/>
  <c r="CH90"/>
  <c r="CK89"/>
  <c r="CI89"/>
  <c r="CJ89"/>
  <c r="CH89"/>
  <c r="CK88"/>
  <c r="CI88"/>
  <c r="CJ88"/>
  <c r="CH88"/>
  <c r="CK87"/>
  <c r="CI87"/>
  <c r="CJ87"/>
  <c r="CH87"/>
  <c r="CK86"/>
  <c r="CI86"/>
  <c r="CJ86"/>
  <c r="CH86"/>
  <c r="CK85"/>
  <c r="CI85"/>
  <c r="CJ85"/>
  <c r="CH85"/>
  <c r="CI65"/>
  <c r="CI64"/>
  <c r="CI62"/>
  <c r="CI61"/>
  <c r="CI60"/>
  <c r="CK58"/>
  <c r="CI58"/>
  <c r="CJ58"/>
  <c r="CH58"/>
  <c r="CK57"/>
  <c r="CI57"/>
  <c r="CJ57"/>
  <c r="CH57"/>
  <c r="CK56"/>
  <c r="CI56"/>
  <c r="CJ56"/>
  <c r="CH56"/>
  <c r="CK55"/>
  <c r="CI55"/>
  <c r="CJ55"/>
  <c r="CH55"/>
  <c r="CK54"/>
  <c r="CI54"/>
  <c r="CJ54"/>
  <c r="CH54"/>
  <c r="CK27"/>
  <c r="CI27"/>
  <c r="CJ27"/>
  <c r="CH27"/>
  <c r="CK26"/>
  <c r="CI26"/>
  <c r="CJ26"/>
  <c r="CH26"/>
  <c r="CK25"/>
  <c r="CI25"/>
  <c r="CJ25"/>
  <c r="CH25"/>
  <c r="CK24"/>
  <c r="CI24"/>
  <c r="CJ24"/>
  <c r="CH24"/>
  <c r="CK23"/>
  <c r="CI23"/>
  <c r="CJ23"/>
  <c r="CH23"/>
  <c r="CB22"/>
  <c r="CC22"/>
  <c r="CA22"/>
  <c r="CK22"/>
  <c r="CI22"/>
  <c r="CJ22"/>
  <c r="CH22"/>
  <c r="CD22"/>
  <c r="CE210"/>
  <c r="CE209"/>
  <c r="CE207"/>
  <c r="CE206"/>
  <c r="CD204"/>
  <c r="CD202"/>
  <c r="CG188"/>
  <c r="CG189"/>
  <c r="CG190"/>
  <c r="CG191"/>
  <c r="CG192"/>
  <c r="CG193"/>
  <c r="CG194"/>
  <c r="CG195"/>
  <c r="CG196"/>
  <c r="CG197"/>
  <c r="CG198"/>
  <c r="CG199"/>
  <c r="CG200"/>
  <c r="CF188"/>
  <c r="CF189"/>
  <c r="CF190"/>
  <c r="CF191"/>
  <c r="CF192"/>
  <c r="CF193"/>
  <c r="CF194"/>
  <c r="CF195"/>
  <c r="CF196"/>
  <c r="CF197"/>
  <c r="CF198"/>
  <c r="CF199"/>
  <c r="CF200"/>
  <c r="CE188"/>
  <c r="CE189"/>
  <c r="CE190"/>
  <c r="CE191"/>
  <c r="CE192"/>
  <c r="CE193"/>
  <c r="CE194"/>
  <c r="CE195"/>
  <c r="CE196"/>
  <c r="CE197"/>
  <c r="CE198"/>
  <c r="CE199"/>
  <c r="CE200"/>
  <c r="CD188"/>
  <c r="CD189"/>
  <c r="CD190"/>
  <c r="CD191"/>
  <c r="CD192"/>
  <c r="CD193"/>
  <c r="CD194"/>
  <c r="CD195"/>
  <c r="CD196"/>
  <c r="CD197"/>
  <c r="CD198"/>
  <c r="CD199"/>
  <c r="CD200"/>
  <c r="CC188"/>
  <c r="CC189"/>
  <c r="CC190"/>
  <c r="CC191"/>
  <c r="CC192"/>
  <c r="CC193"/>
  <c r="CC194"/>
  <c r="CC195"/>
  <c r="CC196"/>
  <c r="CC197"/>
  <c r="CC198"/>
  <c r="CC199"/>
  <c r="CC200"/>
  <c r="CB188"/>
  <c r="CB189"/>
  <c r="CB190"/>
  <c r="CB191"/>
  <c r="CB192"/>
  <c r="CB193"/>
  <c r="CB194"/>
  <c r="CB195"/>
  <c r="CB196"/>
  <c r="CB197"/>
  <c r="CB198"/>
  <c r="CB199"/>
  <c r="CB200"/>
  <c r="CH199"/>
  <c r="CH198"/>
  <c r="CH197"/>
  <c r="CH196"/>
  <c r="CH195"/>
  <c r="CK194"/>
  <c r="CH194"/>
  <c r="CH193"/>
  <c r="CH192"/>
  <c r="CH191"/>
  <c r="CH190"/>
  <c r="CH189"/>
  <c r="CH188"/>
  <c r="CG173"/>
  <c r="CG174"/>
  <c r="CG175"/>
  <c r="CG176"/>
  <c r="CG177"/>
  <c r="CG178"/>
  <c r="CG179"/>
  <c r="CG180"/>
  <c r="CG181"/>
  <c r="CG182"/>
  <c r="CG183"/>
  <c r="CG184"/>
  <c r="CG185"/>
  <c r="CF173"/>
  <c r="CF174"/>
  <c r="CF175"/>
  <c r="CF176"/>
  <c r="CF177"/>
  <c r="CF178"/>
  <c r="CF179"/>
  <c r="CF180"/>
  <c r="CF181"/>
  <c r="CF182"/>
  <c r="CF183"/>
  <c r="CF184"/>
  <c r="CF185"/>
  <c r="CE173"/>
  <c r="CE174"/>
  <c r="CE175"/>
  <c r="CE176"/>
  <c r="CE177"/>
  <c r="CE178"/>
  <c r="CE179"/>
  <c r="CE180"/>
  <c r="CE181"/>
  <c r="CE182"/>
  <c r="CE183"/>
  <c r="CE184"/>
  <c r="CE185"/>
  <c r="CD173"/>
  <c r="CD174"/>
  <c r="CD175"/>
  <c r="CD176"/>
  <c r="CD177"/>
  <c r="CD178"/>
  <c r="CD179"/>
  <c r="CD180"/>
  <c r="CD181"/>
  <c r="CD182"/>
  <c r="CD183"/>
  <c r="CD184"/>
  <c r="CD185"/>
  <c r="CC173"/>
  <c r="CC174"/>
  <c r="CC175"/>
  <c r="CC176"/>
  <c r="CC177"/>
  <c r="CC178"/>
  <c r="CC179"/>
  <c r="CC180"/>
  <c r="CC181"/>
  <c r="CC182"/>
  <c r="CC183"/>
  <c r="CC184"/>
  <c r="CC185"/>
  <c r="CB173"/>
  <c r="CB174"/>
  <c r="CB175"/>
  <c r="CB176"/>
  <c r="CB177"/>
  <c r="CB178"/>
  <c r="CB179"/>
  <c r="CB180"/>
  <c r="CB181"/>
  <c r="CB182"/>
  <c r="CB183"/>
  <c r="CB184"/>
  <c r="CB185"/>
  <c r="CH184"/>
  <c r="CH183"/>
  <c r="CH182"/>
  <c r="CH181"/>
  <c r="CH180"/>
  <c r="CK179"/>
  <c r="CH179"/>
  <c r="CH178"/>
  <c r="CH177"/>
  <c r="CH176"/>
  <c r="CH175"/>
  <c r="CH174"/>
  <c r="CH173"/>
  <c r="CF171"/>
  <c r="CG171"/>
  <c r="CF170"/>
  <c r="CG170"/>
  <c r="CF169"/>
  <c r="CG169"/>
  <c r="CF168"/>
  <c r="CG168"/>
  <c r="CF167"/>
  <c r="CG167"/>
  <c r="CF166"/>
  <c r="CG166"/>
  <c r="CF165"/>
  <c r="CG165"/>
  <c r="CF164"/>
  <c r="CG164"/>
  <c r="CF163"/>
  <c r="CG163"/>
  <c r="CF162"/>
  <c r="CG162"/>
  <c r="CF161"/>
  <c r="CG161"/>
  <c r="CF160"/>
  <c r="CG160"/>
  <c r="CF159"/>
  <c r="CG159"/>
  <c r="CF158"/>
  <c r="CG158"/>
  <c r="CF157"/>
  <c r="CG157"/>
  <c r="CF156"/>
  <c r="CG156"/>
  <c r="CF155"/>
  <c r="CG155"/>
  <c r="CF154"/>
  <c r="CG154"/>
  <c r="CF153"/>
  <c r="CG153"/>
  <c r="CF152"/>
  <c r="CG152"/>
  <c r="CF151"/>
  <c r="CG151"/>
  <c r="CF150"/>
  <c r="CG150"/>
  <c r="CF149"/>
  <c r="CG149"/>
  <c r="CF148"/>
  <c r="CG148"/>
  <c r="CF147"/>
  <c r="CG147"/>
  <c r="CF146"/>
  <c r="CG146"/>
  <c r="CF145"/>
  <c r="CG145"/>
  <c r="CF144"/>
  <c r="CG144"/>
  <c r="CF143"/>
  <c r="CG143"/>
  <c r="CF142"/>
  <c r="CG142"/>
  <c r="CF141"/>
  <c r="CG141"/>
  <c r="CF140"/>
  <c r="CG140"/>
  <c r="CF139"/>
  <c r="CG139"/>
  <c r="CF138"/>
  <c r="CG138"/>
  <c r="CF137"/>
  <c r="CG137"/>
  <c r="CF136"/>
  <c r="CG136"/>
  <c r="CH134"/>
  <c r="CF133"/>
  <c r="CG132"/>
  <c r="CF132"/>
  <c r="CD132"/>
  <c r="CC132"/>
  <c r="CG130"/>
  <c r="CF130"/>
  <c r="CG129"/>
  <c r="CF129"/>
  <c r="CG128"/>
  <c r="CF128"/>
  <c r="CF127"/>
  <c r="CG127"/>
  <c r="CF126"/>
  <c r="CG126"/>
  <c r="CF125"/>
  <c r="CG125"/>
  <c r="CG94"/>
  <c r="CF94"/>
  <c r="CG93"/>
  <c r="CF93"/>
  <c r="CG92"/>
  <c r="CF92"/>
  <c r="CG91"/>
  <c r="CF91"/>
  <c r="CG90"/>
  <c r="CF90"/>
  <c r="CB90"/>
  <c r="CA90"/>
  <c r="CG89"/>
  <c r="CF89"/>
  <c r="CG88"/>
  <c r="CF88"/>
  <c r="CG87"/>
  <c r="CF87"/>
  <c r="CG86"/>
  <c r="CF86"/>
  <c r="CG85"/>
  <c r="CF85"/>
  <c r="CH63"/>
  <c r="CF58"/>
  <c r="CG58"/>
  <c r="CF57"/>
  <c r="CG57"/>
  <c r="CF56"/>
  <c r="CG56"/>
  <c r="CF55"/>
  <c r="CG55"/>
  <c r="CF54"/>
  <c r="CG54"/>
  <c r="CF27"/>
  <c r="CG27"/>
  <c r="CF26"/>
  <c r="CG26"/>
  <c r="CF25"/>
  <c r="CG25"/>
  <c r="CF24"/>
  <c r="CG24"/>
  <c r="CF23"/>
  <c r="CG23"/>
  <c r="CF22"/>
  <c r="CG22"/>
  <c r="CH19"/>
  <c r="CD19"/>
  <c r="CH18"/>
  <c r="CA18"/>
  <c r="CA17"/>
  <c r="CD16"/>
  <c r="CA16"/>
  <c r="CD15"/>
  <c r="CA15"/>
  <c r="CD14"/>
  <c r="CA14"/>
  <c r="CD13"/>
  <c r="CA13"/>
  <c r="CI8"/>
  <c r="CI12"/>
  <c r="CB12"/>
  <c r="CH11"/>
  <c r="CF11"/>
  <c r="CG11"/>
  <c r="CB11"/>
  <c r="CC11"/>
  <c r="CE11"/>
  <c r="CH10"/>
  <c r="CF10"/>
  <c r="CG10"/>
  <c r="CB10"/>
  <c r="CC10"/>
  <c r="CE10"/>
  <c r="CH9"/>
  <c r="CF9"/>
  <c r="CG9"/>
  <c r="CB9"/>
  <c r="CC9"/>
  <c r="CE9"/>
  <c r="CH8"/>
  <c r="CF8"/>
  <c r="CG8"/>
  <c r="CB8"/>
  <c r="CC8"/>
  <c r="CE8"/>
  <c r="CH7"/>
  <c r="CG7"/>
  <c r="CB7"/>
  <c r="CC7"/>
  <c r="CE7"/>
  <c r="CH6"/>
  <c r="CG6"/>
  <c r="CB6"/>
  <c r="CC6"/>
  <c r="CE6"/>
  <c r="CJ5"/>
  <c r="CJ4"/>
  <c r="CF4"/>
  <c r="CE4"/>
  <c r="CJ3"/>
  <c r="CD3"/>
  <c r="CJ2"/>
  <c r="CG2"/>
  <c r="CJ1"/>
  <c r="BM7"/>
  <c r="AT116"/>
  <c r="AS115"/>
  <c r="AT115"/>
  <c r="AT75"/>
  <c r="AS74"/>
  <c r="AT74"/>
  <c r="BB171"/>
  <c r="BS18"/>
  <c r="BR18"/>
  <c r="BQ18"/>
  <c r="BP18"/>
  <c r="AY3"/>
  <c r="AZ3"/>
  <c r="AY18"/>
  <c r="AZ18"/>
  <c r="AY13"/>
  <c r="AZ13"/>
  <c r="AY8"/>
  <c r="AZ8"/>
  <c r="AY9"/>
  <c r="AZ9"/>
  <c r="AY11"/>
  <c r="AZ11"/>
  <c r="AY14"/>
  <c r="AZ14"/>
  <c r="AY15"/>
  <c r="AZ15"/>
  <c r="AY10"/>
  <c r="AZ10"/>
  <c r="AY6"/>
  <c r="AZ6"/>
  <c r="BB87"/>
  <c r="BB88"/>
  <c r="BB89"/>
  <c r="BB90"/>
  <c r="BB91"/>
  <c r="BB92"/>
  <c r="BB93"/>
  <c r="BB94"/>
  <c r="M210"/>
  <c r="AO15"/>
  <c r="AO11"/>
  <c r="BM14"/>
  <c r="N37"/>
  <c r="N36"/>
  <c r="N35"/>
  <c r="N34"/>
  <c r="N33"/>
  <c r="N32"/>
  <c r="BM3"/>
  <c r="BM4"/>
  <c r="BM13"/>
  <c r="CL226"/>
  <c r="CL225"/>
  <c r="CL224"/>
  <c r="CL223"/>
  <c r="CL222"/>
  <c r="CL221"/>
  <c r="CL215"/>
  <c r="CL214"/>
  <c r="CL213"/>
  <c r="CL212"/>
  <c r="CL210"/>
  <c r="CL209"/>
  <c r="CL207"/>
  <c r="CL206"/>
  <c r="CL204"/>
  <c r="CL202"/>
  <c r="N28"/>
  <c r="N27"/>
  <c r="N26"/>
  <c r="N25"/>
  <c r="N24"/>
  <c r="N23"/>
  <c r="AY33"/>
  <c r="AY34"/>
  <c r="AY35"/>
  <c r="AY36"/>
  <c r="AY37"/>
  <c r="AY38"/>
  <c r="AW36"/>
  <c r="AW37"/>
  <c r="AW38"/>
  <c r="AU37"/>
  <c r="AU38"/>
  <c r="BM5"/>
  <c r="BM9"/>
  <c r="BD4"/>
  <c r="BD5"/>
  <c r="BD6"/>
  <c r="BD7"/>
  <c r="BD8"/>
  <c r="BD3"/>
  <c r="BM18"/>
  <c r="CL171"/>
  <c r="BM11"/>
  <c r="BM8"/>
  <c r="CL170"/>
  <c r="CL169"/>
  <c r="CL168"/>
  <c r="CL167"/>
  <c r="CL166"/>
  <c r="CL165"/>
  <c r="CL164"/>
  <c r="CL163"/>
  <c r="CL162"/>
  <c r="CL161"/>
  <c r="CL160"/>
  <c r="CL159"/>
  <c r="CL158"/>
  <c r="CL157"/>
  <c r="CL156"/>
  <c r="CL155"/>
  <c r="CL154"/>
  <c r="CL153"/>
  <c r="CL152"/>
  <c r="CL151"/>
  <c r="CL150"/>
  <c r="CL149"/>
  <c r="CL148"/>
  <c r="CL147"/>
  <c r="CL146"/>
  <c r="CL145"/>
  <c r="CL144"/>
  <c r="CL143"/>
  <c r="CL142"/>
  <c r="CL141"/>
  <c r="CL140"/>
  <c r="CL139"/>
  <c r="CL138"/>
  <c r="CL137"/>
  <c r="CL136"/>
  <c r="CL130"/>
  <c r="CL129"/>
  <c r="CL128"/>
  <c r="CL127"/>
  <c r="CL126"/>
  <c r="CL125"/>
  <c r="CL94"/>
  <c r="CL93"/>
  <c r="CL92"/>
  <c r="CL91"/>
  <c r="CL90"/>
  <c r="CL89"/>
  <c r="CL88"/>
  <c r="CL87"/>
  <c r="CL86"/>
  <c r="CL85"/>
  <c r="CL58"/>
  <c r="CL57"/>
  <c r="CL56"/>
  <c r="CL55"/>
  <c r="CL54"/>
  <c r="CL53"/>
  <c r="CL52"/>
  <c r="CL51"/>
  <c r="CL50"/>
  <c r="CL49"/>
  <c r="CL48"/>
  <c r="CL47"/>
  <c r="CL46"/>
  <c r="CL45"/>
  <c r="CL44"/>
  <c r="CL43"/>
  <c r="CL42"/>
  <c r="CL41"/>
  <c r="CL40"/>
  <c r="CL39"/>
  <c r="CL38"/>
  <c r="CL37"/>
  <c r="CL36"/>
  <c r="CL35"/>
  <c r="CL34"/>
  <c r="CL33"/>
  <c r="CL32"/>
  <c r="CL31"/>
  <c r="CL30"/>
  <c r="CL29"/>
  <c r="CL28"/>
  <c r="CL27"/>
  <c r="CL26"/>
  <c r="CL25"/>
  <c r="CL24"/>
  <c r="CL23"/>
  <c r="CL22"/>
  <c r="CL11"/>
  <c r="CL10"/>
  <c r="CL9"/>
  <c r="CL8"/>
  <c r="CL7"/>
  <c r="CL6"/>
  <c r="N13"/>
  <c r="AW44"/>
  <c r="AW45"/>
  <c r="AW46"/>
  <c r="AW47"/>
  <c r="AW48"/>
  <c r="AW49"/>
  <c r="AW50"/>
  <c r="AW51"/>
  <c r="AW52"/>
  <c r="BB161"/>
  <c r="CJ207"/>
  <c r="CI207"/>
  <c r="CH207"/>
  <c r="BH7"/>
  <c r="BH8"/>
  <c r="AH7"/>
  <c r="AH8"/>
  <c r="AH11"/>
  <c r="CJ204"/>
  <c r="CH204"/>
  <c r="CF61"/>
  <c r="CJ209"/>
  <c r="CI209"/>
  <c r="CH209"/>
  <c r="CJ206"/>
  <c r="CI206"/>
  <c r="CH206"/>
  <c r="BB160"/>
  <c r="F160"/>
  <c r="G160"/>
  <c r="BB55"/>
  <c r="BB53"/>
  <c r="BB140"/>
  <c r="F140"/>
  <c r="J189"/>
  <c r="BB152"/>
  <c r="F152"/>
  <c r="G152"/>
  <c r="BB150"/>
  <c r="F150"/>
  <c r="G150"/>
  <c r="BB149"/>
  <c r="F149"/>
  <c r="G149"/>
  <c r="BB147"/>
  <c r="F147"/>
  <c r="G147"/>
  <c r="BB146"/>
  <c r="F146"/>
  <c r="G146"/>
  <c r="BB144"/>
  <c r="F144"/>
  <c r="G144"/>
  <c r="BB141"/>
  <c r="F141"/>
  <c r="G141"/>
  <c r="G140"/>
  <c r="BB34"/>
  <c r="F34"/>
  <c r="G34"/>
  <c r="BB170"/>
  <c r="BB168"/>
  <c r="BB27"/>
  <c r="F27"/>
  <c r="J174"/>
  <c r="M174"/>
  <c r="AG5"/>
  <c r="BG5"/>
  <c r="BH5"/>
  <c r="BH6"/>
  <c r="G27"/>
  <c r="AH5"/>
  <c r="AH6"/>
  <c r="BB52"/>
  <c r="BB137"/>
  <c r="F137"/>
  <c r="G137"/>
  <c r="CH218"/>
  <c r="H218"/>
  <c r="CG202"/>
  <c r="CE60"/>
  <c r="I202"/>
  <c r="G60"/>
  <c r="J199"/>
  <c r="J202"/>
  <c r="J184"/>
  <c r="J19"/>
  <c r="K19"/>
  <c r="CI202"/>
  <c r="CG60"/>
  <c r="CJ184"/>
  <c r="H202"/>
  <c r="F60"/>
  <c r="CD18"/>
  <c r="D18"/>
  <c r="CJ15"/>
  <c r="G202"/>
  <c r="E60"/>
  <c r="CJ13"/>
  <c r="J15"/>
  <c r="J16"/>
  <c r="AG10"/>
  <c r="BG10"/>
  <c r="BH10"/>
  <c r="AH10"/>
  <c r="CJ19"/>
  <c r="CK19"/>
  <c r="CJ16"/>
  <c r="J13"/>
  <c r="CJ14"/>
  <c r="M184"/>
  <c r="CJ202"/>
  <c r="CH202"/>
  <c r="CF60"/>
  <c r="CJ199"/>
  <c r="J14"/>
  <c r="AG9"/>
  <c r="BG9"/>
  <c r="BH9"/>
  <c r="BH13"/>
  <c r="B78"/>
  <c r="AH9"/>
  <c r="AH13"/>
  <c r="G3"/>
  <c r="CB78"/>
  <c r="CG3"/>
  <c r="CH217"/>
  <c r="H217"/>
  <c r="CH216"/>
  <c r="H216"/>
  <c r="CH215"/>
  <c r="H215"/>
  <c r="CH214"/>
  <c r="H214"/>
  <c r="CH213"/>
  <c r="H213"/>
  <c r="CH212"/>
  <c r="H212"/>
  <c r="BR28" i="5"/>
  <c r="BQ28"/>
  <c r="BP28"/>
  <c r="BO28"/>
  <c r="BR27"/>
  <c r="BQ27"/>
  <c r="BP27"/>
  <c r="BO27"/>
  <c r="BR26"/>
  <c r="BQ26"/>
  <c r="BP26"/>
  <c r="BO26"/>
  <c r="BR25"/>
  <c r="BQ25"/>
  <c r="BP25"/>
  <c r="BO25"/>
  <c r="BR24"/>
  <c r="BQ24"/>
  <c r="BP24"/>
  <c r="BO24"/>
  <c r="BR23"/>
  <c r="BQ23"/>
  <c r="BP23"/>
  <c r="BO23"/>
  <c r="BR22"/>
  <c r="BQ22"/>
  <c r="BP22"/>
  <c r="BO22"/>
  <c r="BR21"/>
  <c r="BQ21"/>
  <c r="BP21"/>
  <c r="BO21"/>
  <c r="BR20"/>
  <c r="BQ20"/>
  <c r="BP20"/>
  <c r="BO20"/>
  <c r="BR19"/>
  <c r="BQ19"/>
  <c r="BP19"/>
  <c r="BO19"/>
  <c r="EK18"/>
  <c r="EJ18"/>
  <c r="EI18"/>
  <c r="EH18"/>
  <c r="BR18"/>
  <c r="BQ18"/>
  <c r="BP18"/>
  <c r="BO18"/>
  <c r="EK17"/>
  <c r="EJ17"/>
  <c r="EI17"/>
  <c r="EH17"/>
  <c r="BR17"/>
  <c r="BQ17"/>
  <c r="BP17"/>
  <c r="BO17"/>
  <c r="EK16"/>
  <c r="EJ16"/>
  <c r="EI16"/>
  <c r="EH16"/>
  <c r="BR16"/>
  <c r="BQ16"/>
  <c r="BP16"/>
  <c r="BO16"/>
  <c r="EK15"/>
  <c r="EJ15"/>
  <c r="EI15"/>
  <c r="EH15"/>
  <c r="BR15"/>
  <c r="BQ15"/>
  <c r="BP15"/>
  <c r="BO15"/>
  <c r="EK14"/>
  <c r="EJ14"/>
  <c r="EI14"/>
  <c r="EH14"/>
  <c r="BR14"/>
  <c r="BQ14"/>
  <c r="BP14"/>
  <c r="BO14"/>
  <c r="EK13"/>
  <c r="EJ13"/>
  <c r="EI13"/>
  <c r="EH13"/>
  <c r="BR13"/>
  <c r="BQ13"/>
  <c r="BP13"/>
  <c r="BO13"/>
  <c r="EK12"/>
  <c r="EJ12"/>
  <c r="EI12"/>
  <c r="EH12"/>
  <c r="BR12"/>
  <c r="BQ12"/>
  <c r="BP12"/>
  <c r="BO12"/>
  <c r="EK11"/>
  <c r="EJ11"/>
  <c r="EI11"/>
  <c r="EH11"/>
  <c r="BR11"/>
  <c r="BQ11"/>
  <c r="BP11"/>
  <c r="BO11"/>
  <c r="EK10"/>
  <c r="EJ10"/>
  <c r="EI10"/>
  <c r="EH10"/>
  <c r="BR10"/>
  <c r="BQ10"/>
  <c r="BP10"/>
  <c r="BO10"/>
  <c r="EK9"/>
  <c r="EJ9"/>
  <c r="EI9"/>
  <c r="EH9"/>
  <c r="BR9"/>
  <c r="BQ9"/>
  <c r="BP9"/>
  <c r="BO9"/>
  <c r="EK8"/>
  <c r="EJ8"/>
  <c r="EI8"/>
  <c r="EH8"/>
  <c r="BR8"/>
  <c r="BQ8"/>
  <c r="BP8"/>
  <c r="BO8"/>
  <c r="EK7"/>
  <c r="EJ7"/>
  <c r="EI7"/>
  <c r="EH7"/>
  <c r="BR7"/>
  <c r="BQ7"/>
  <c r="BP7"/>
  <c r="BO7"/>
  <c r="EK6"/>
  <c r="EJ6"/>
  <c r="EI6"/>
  <c r="EH6"/>
  <c r="BR6"/>
  <c r="BQ6"/>
  <c r="BP6"/>
  <c r="BO6"/>
  <c r="EK5"/>
  <c r="EJ5"/>
  <c r="EI5"/>
  <c r="EH5"/>
  <c r="BR5"/>
  <c r="BQ5"/>
  <c r="BP5"/>
  <c r="BO5"/>
  <c r="EK4"/>
  <c r="EJ4"/>
  <c r="EI4"/>
  <c r="EH4"/>
  <c r="BR4"/>
  <c r="BQ4"/>
  <c r="BP4"/>
  <c r="BO4"/>
  <c r="EK3"/>
  <c r="EJ3"/>
  <c r="EI3"/>
  <c r="EH3"/>
  <c r="BR3"/>
  <c r="BQ3"/>
  <c r="BP3"/>
  <c r="BO3"/>
  <c r="EK2"/>
  <c r="EJ2"/>
  <c r="EI2"/>
  <c r="EH2"/>
  <c r="BR2"/>
  <c r="BQ2"/>
  <c r="BP2"/>
  <c r="BO2"/>
  <c r="AM33" i="4"/>
  <c r="AN33"/>
  <c r="AO33"/>
  <c r="AP33"/>
  <c r="AQ33"/>
  <c r="AR33"/>
  <c r="AM34"/>
  <c r="AN34"/>
  <c r="AO34"/>
  <c r="AP34"/>
  <c r="AQ34"/>
  <c r="AR34"/>
  <c r="AM35"/>
  <c r="AN35"/>
  <c r="AO35"/>
  <c r="AP35"/>
  <c r="AQ35"/>
  <c r="AR35"/>
  <c r="AM36"/>
  <c r="AN36"/>
  <c r="AO36"/>
  <c r="AP36"/>
  <c r="AQ36"/>
  <c r="AR36"/>
  <c r="AM37"/>
  <c r="AN37"/>
  <c r="AO37"/>
  <c r="AP37"/>
  <c r="AQ37"/>
  <c r="AR37"/>
  <c r="AM38"/>
  <c r="AN38"/>
  <c r="AO38"/>
  <c r="AP38"/>
  <c r="AQ38"/>
  <c r="AR38"/>
  <c r="AS35"/>
  <c r="AT35"/>
  <c r="AU35"/>
  <c r="AV35"/>
  <c r="AW35"/>
  <c r="AX35"/>
  <c r="AY35"/>
  <c r="AZ35"/>
  <c r="BA35"/>
  <c r="BA151"/>
  <c r="AZ151"/>
  <c r="AY151"/>
  <c r="AX151"/>
  <c r="AW151"/>
  <c r="AV151"/>
  <c r="AU151"/>
  <c r="AT151"/>
  <c r="AS151"/>
  <c r="AR151"/>
  <c r="AQ151"/>
  <c r="AP151"/>
  <c r="AO151"/>
  <c r="AN151"/>
  <c r="AM151"/>
  <c r="BA150"/>
  <c r="AZ150"/>
  <c r="AY150"/>
  <c r="AX150"/>
  <c r="AW150"/>
  <c r="AV150"/>
  <c r="AU150"/>
  <c r="AT150"/>
  <c r="AS150"/>
  <c r="AR150"/>
  <c r="AQ150"/>
  <c r="AP150"/>
  <c r="AO150"/>
  <c r="AN150"/>
  <c r="AM150"/>
  <c r="BA149"/>
  <c r="AZ149"/>
  <c r="AY149"/>
  <c r="AX149"/>
  <c r="AW149"/>
  <c r="AV149"/>
  <c r="AU149"/>
  <c r="AT149"/>
  <c r="AS149"/>
  <c r="AR149"/>
  <c r="AQ149"/>
  <c r="AP149"/>
  <c r="AO149"/>
  <c r="AN149"/>
  <c r="AM149"/>
  <c r="BA148"/>
  <c r="AZ148"/>
  <c r="AY148"/>
  <c r="AX148"/>
  <c r="AW148"/>
  <c r="AV148"/>
  <c r="AU148"/>
  <c r="AT148"/>
  <c r="AS148"/>
  <c r="AR148"/>
  <c r="AQ148"/>
  <c r="AP148"/>
  <c r="AO148"/>
  <c r="AN148"/>
  <c r="AM148"/>
  <c r="BA147"/>
  <c r="AZ147"/>
  <c r="AY147"/>
  <c r="AX147"/>
  <c r="AW147"/>
  <c r="AV147"/>
  <c r="AU147"/>
  <c r="AT147"/>
  <c r="AS147"/>
  <c r="AR147"/>
  <c r="AQ147"/>
  <c r="AP147"/>
  <c r="AO147"/>
  <c r="AN147"/>
  <c r="AM147"/>
  <c r="BA146"/>
  <c r="AZ146"/>
  <c r="AY146"/>
  <c r="AX146"/>
  <c r="AW146"/>
  <c r="AV146"/>
  <c r="AU146"/>
  <c r="AT146"/>
  <c r="AS146"/>
  <c r="AR146"/>
  <c r="AQ146"/>
  <c r="AP146"/>
  <c r="AO146"/>
  <c r="AN146"/>
  <c r="AM146"/>
  <c r="BA145"/>
  <c r="AZ145"/>
  <c r="AY145"/>
  <c r="AX145"/>
  <c r="AW145"/>
  <c r="AV145"/>
  <c r="AU145"/>
  <c r="AT145"/>
  <c r="AS145"/>
  <c r="AR145"/>
  <c r="AQ145"/>
  <c r="AP145"/>
  <c r="AO145"/>
  <c r="AN145"/>
  <c r="AM145"/>
  <c r="BA144"/>
  <c r="AZ144"/>
  <c r="AY144"/>
  <c r="AX144"/>
  <c r="AW144"/>
  <c r="AV144"/>
  <c r="AU144"/>
  <c r="AT144"/>
  <c r="AS144"/>
  <c r="AR144"/>
  <c r="AQ144"/>
  <c r="AP144"/>
  <c r="AO144"/>
  <c r="AN144"/>
  <c r="AM144"/>
  <c r="BA143"/>
  <c r="AZ143"/>
  <c r="AY143"/>
  <c r="AX143"/>
  <c r="AW143"/>
  <c r="AV143"/>
  <c r="AU143"/>
  <c r="AT143"/>
  <c r="AS143"/>
  <c r="AR143"/>
  <c r="AQ143"/>
  <c r="AP143"/>
  <c r="AO143"/>
  <c r="AN143"/>
  <c r="AM143"/>
  <c r="BA142"/>
  <c r="AZ142"/>
  <c r="AY142"/>
  <c r="AX142"/>
  <c r="AW142"/>
  <c r="AV142"/>
  <c r="AU142"/>
  <c r="AT142"/>
  <c r="AS142"/>
  <c r="AR142"/>
  <c r="AQ142"/>
  <c r="AP142"/>
  <c r="AO142"/>
  <c r="AN142"/>
  <c r="AM142"/>
  <c r="BA141"/>
  <c r="AZ141"/>
  <c r="AY141"/>
  <c r="AX141"/>
  <c r="AW141"/>
  <c r="AV141"/>
  <c r="AU141"/>
  <c r="AT141"/>
  <c r="AS141"/>
  <c r="AR141"/>
  <c r="AQ141"/>
  <c r="AP141"/>
  <c r="AO141"/>
  <c r="AN141"/>
  <c r="AM141"/>
  <c r="BA140"/>
  <c r="AZ140"/>
  <c r="AY140"/>
  <c r="AX140"/>
  <c r="AW140"/>
  <c r="AV140"/>
  <c r="AU140"/>
  <c r="AT140"/>
  <c r="AS140"/>
  <c r="AR140"/>
  <c r="AQ140"/>
  <c r="AP140"/>
  <c r="AO140"/>
  <c r="AN140"/>
  <c r="AM140"/>
  <c r="BA139"/>
  <c r="AZ139"/>
  <c r="AY139"/>
  <c r="AX139"/>
  <c r="AW139"/>
  <c r="AV139"/>
  <c r="AU139"/>
  <c r="AT139"/>
  <c r="AS139"/>
  <c r="AR139"/>
  <c r="AQ139"/>
  <c r="AP139"/>
  <c r="AO139"/>
  <c r="AN139"/>
  <c r="AM139"/>
  <c r="BA138"/>
  <c r="AZ138"/>
  <c r="AY138"/>
  <c r="AX138"/>
  <c r="AW138"/>
  <c r="AV138"/>
  <c r="AU138"/>
  <c r="AT138"/>
  <c r="AS138"/>
  <c r="AR138"/>
  <c r="AQ138"/>
  <c r="AP138"/>
  <c r="AO138"/>
  <c r="AN138"/>
  <c r="AM138"/>
  <c r="BA137"/>
  <c r="AZ137"/>
  <c r="AY137"/>
  <c r="AX137"/>
  <c r="AW137"/>
  <c r="AV137"/>
  <c r="AU137"/>
  <c r="AT137"/>
  <c r="AS137"/>
  <c r="AR137"/>
  <c r="AQ137"/>
  <c r="AP137"/>
  <c r="AO137"/>
  <c r="AN137"/>
  <c r="AM137"/>
  <c r="BA136"/>
  <c r="AZ136"/>
  <c r="AY136"/>
  <c r="AX136"/>
  <c r="AW136"/>
  <c r="AV136"/>
  <c r="AU136"/>
  <c r="AT136"/>
  <c r="AS136"/>
  <c r="AR136"/>
  <c r="AQ136"/>
  <c r="AP136"/>
  <c r="AO136"/>
  <c r="AN136"/>
  <c r="AM136"/>
  <c r="BA135"/>
  <c r="AZ135"/>
  <c r="AY135"/>
  <c r="AX135"/>
  <c r="AW135"/>
  <c r="AV135"/>
  <c r="AU135"/>
  <c r="AT135"/>
  <c r="AS135"/>
  <c r="AR135"/>
  <c r="AQ135"/>
  <c r="AP135"/>
  <c r="AO135"/>
  <c r="AN135"/>
  <c r="AM135"/>
  <c r="BA134"/>
  <c r="AZ134"/>
  <c r="AY134"/>
  <c r="AX134"/>
  <c r="AW134"/>
  <c r="AV134"/>
  <c r="AU134"/>
  <c r="AT134"/>
  <c r="AS134"/>
  <c r="AR134"/>
  <c r="AQ134"/>
  <c r="AP134"/>
  <c r="AO134"/>
  <c r="AN134"/>
  <c r="AM134"/>
  <c r="BA133"/>
  <c r="AZ133"/>
  <c r="AY133"/>
  <c r="AX133"/>
  <c r="AW133"/>
  <c r="AV133"/>
  <c r="AU133"/>
  <c r="AT133"/>
  <c r="AS133"/>
  <c r="AR133"/>
  <c r="AQ133"/>
  <c r="AP133"/>
  <c r="AO133"/>
  <c r="AN133"/>
  <c r="AM133"/>
  <c r="BA132"/>
  <c r="AZ132"/>
  <c r="AY132"/>
  <c r="AX132"/>
  <c r="AW132"/>
  <c r="AV132"/>
  <c r="AU132"/>
  <c r="AT132"/>
  <c r="AS132"/>
  <c r="AR132"/>
  <c r="AQ132"/>
  <c r="AP132"/>
  <c r="AO132"/>
  <c r="AN132"/>
  <c r="AM132"/>
  <c r="BA131"/>
  <c r="AZ131"/>
  <c r="AY131"/>
  <c r="AX131"/>
  <c r="AW131"/>
  <c r="AV131"/>
  <c r="AU131"/>
  <c r="AT131"/>
  <c r="AS131"/>
  <c r="AR131"/>
  <c r="AQ131"/>
  <c r="AP131"/>
  <c r="AO131"/>
  <c r="AN131"/>
  <c r="AM131"/>
  <c r="BA130"/>
  <c r="AZ130"/>
  <c r="AY130"/>
  <c r="AX130"/>
  <c r="AW130"/>
  <c r="AV130"/>
  <c r="AU130"/>
  <c r="AT130"/>
  <c r="AS130"/>
  <c r="AR130"/>
  <c r="AQ130"/>
  <c r="AP130"/>
  <c r="AO130"/>
  <c r="AN130"/>
  <c r="AM130"/>
  <c r="BA129"/>
  <c r="AZ129"/>
  <c r="AY129"/>
  <c r="AX129"/>
  <c r="AW129"/>
  <c r="AV129"/>
  <c r="AU129"/>
  <c r="AT129"/>
  <c r="AS129"/>
  <c r="AR129"/>
  <c r="AQ129"/>
  <c r="AP129"/>
  <c r="AO129"/>
  <c r="AN129"/>
  <c r="AM129"/>
  <c r="BA128"/>
  <c r="AZ128"/>
  <c r="AY128"/>
  <c r="AX128"/>
  <c r="AW128"/>
  <c r="AV128"/>
  <c r="AU128"/>
  <c r="AT128"/>
  <c r="AS128"/>
  <c r="AR128"/>
  <c r="AQ128"/>
  <c r="AP128"/>
  <c r="AO128"/>
  <c r="AN128"/>
  <c r="AM128"/>
  <c r="BA127"/>
  <c r="AZ127"/>
  <c r="AY127"/>
  <c r="AX127"/>
  <c r="AW127"/>
  <c r="AV127"/>
  <c r="AU127"/>
  <c r="AT127"/>
  <c r="AS127"/>
  <c r="AR127"/>
  <c r="AQ127"/>
  <c r="AP127"/>
  <c r="AO127"/>
  <c r="AN127"/>
  <c r="AM127"/>
  <c r="BA126"/>
  <c r="AZ126"/>
  <c r="AY126"/>
  <c r="AX126"/>
  <c r="AW126"/>
  <c r="AV126"/>
  <c r="AU126"/>
  <c r="AT126"/>
  <c r="AS126"/>
  <c r="AR126"/>
  <c r="AQ126"/>
  <c r="AP126"/>
  <c r="AO126"/>
  <c r="AN126"/>
  <c r="AM126"/>
  <c r="BA125"/>
  <c r="AZ125"/>
  <c r="AY125"/>
  <c r="AX125"/>
  <c r="AW125"/>
  <c r="AV125"/>
  <c r="AU125"/>
  <c r="AT125"/>
  <c r="AS125"/>
  <c r="AR125"/>
  <c r="AQ125"/>
  <c r="AP125"/>
  <c r="AO125"/>
  <c r="AN125"/>
  <c r="AM125"/>
  <c r="BA124"/>
  <c r="AZ124"/>
  <c r="AY124"/>
  <c r="AX124"/>
  <c r="AW124"/>
  <c r="AV124"/>
  <c r="AU124"/>
  <c r="AT124"/>
  <c r="AS124"/>
  <c r="AR124"/>
  <c r="AQ124"/>
  <c r="AP124"/>
  <c r="AO124"/>
  <c r="AN124"/>
  <c r="AM124"/>
  <c r="BA123"/>
  <c r="AZ123"/>
  <c r="AY123"/>
  <c r="AX123"/>
  <c r="AW123"/>
  <c r="AV123"/>
  <c r="AU123"/>
  <c r="AT123"/>
  <c r="AS123"/>
  <c r="AR123"/>
  <c r="AQ123"/>
  <c r="AP123"/>
  <c r="AO123"/>
  <c r="AN123"/>
  <c r="AM123"/>
  <c r="BA122"/>
  <c r="AZ122"/>
  <c r="AY122"/>
  <c r="AX122"/>
  <c r="AW122"/>
  <c r="AV122"/>
  <c r="AU122"/>
  <c r="AT122"/>
  <c r="AS122"/>
  <c r="AR122"/>
  <c r="AQ122"/>
  <c r="AP122"/>
  <c r="AO122"/>
  <c r="AN122"/>
  <c r="AM122"/>
  <c r="BA121"/>
  <c r="AZ121"/>
  <c r="AY121"/>
  <c r="AX121"/>
  <c r="AW121"/>
  <c r="AV121"/>
  <c r="AU121"/>
  <c r="AT121"/>
  <c r="AS121"/>
  <c r="AR121"/>
  <c r="AQ121"/>
  <c r="AP121"/>
  <c r="AO121"/>
  <c r="AN121"/>
  <c r="AM121"/>
  <c r="BA120"/>
  <c r="AZ120"/>
  <c r="AY120"/>
  <c r="AX120"/>
  <c r="AW120"/>
  <c r="AV120"/>
  <c r="AU120"/>
  <c r="AT120"/>
  <c r="AS120"/>
  <c r="AR120"/>
  <c r="AQ120"/>
  <c r="AP120"/>
  <c r="AO120"/>
  <c r="AN120"/>
  <c r="AM120"/>
  <c r="BA119"/>
  <c r="AZ119"/>
  <c r="AY119"/>
  <c r="AX119"/>
  <c r="AW119"/>
  <c r="AV119"/>
  <c r="AU119"/>
  <c r="AT119"/>
  <c r="AS119"/>
  <c r="AR119"/>
  <c r="AQ119"/>
  <c r="AP119"/>
  <c r="AO119"/>
  <c r="AN119"/>
  <c r="AM119"/>
  <c r="BA118"/>
  <c r="AZ118"/>
  <c r="AY118"/>
  <c r="AX118"/>
  <c r="AW118"/>
  <c r="AV118"/>
  <c r="AU118"/>
  <c r="AT118"/>
  <c r="AS118"/>
  <c r="AR118"/>
  <c r="AQ118"/>
  <c r="AP118"/>
  <c r="AO118"/>
  <c r="AN118"/>
  <c r="AM118"/>
  <c r="BA117"/>
  <c r="AZ117"/>
  <c r="AY117"/>
  <c r="AX117"/>
  <c r="AW117"/>
  <c r="AV117"/>
  <c r="AU117"/>
  <c r="AT117"/>
  <c r="AS117"/>
  <c r="AR117"/>
  <c r="AQ117"/>
  <c r="AP117"/>
  <c r="AO117"/>
  <c r="AN117"/>
  <c r="AM117"/>
  <c r="BA116"/>
  <c r="AZ116"/>
  <c r="AY116"/>
  <c r="AX116"/>
  <c r="AW116"/>
  <c r="AV116"/>
  <c r="AU116"/>
  <c r="AT116"/>
  <c r="AS116"/>
  <c r="AR116"/>
  <c r="AQ116"/>
  <c r="AP116"/>
  <c r="AO116"/>
  <c r="AN116"/>
  <c r="AM116"/>
  <c r="BA115"/>
  <c r="AZ115"/>
  <c r="AY115"/>
  <c r="AX115"/>
  <c r="AW115"/>
  <c r="AV115"/>
  <c r="AU115"/>
  <c r="AT115"/>
  <c r="AS115"/>
  <c r="AR115"/>
  <c r="AQ115"/>
  <c r="AP115"/>
  <c r="AO115"/>
  <c r="AN115"/>
  <c r="AM115"/>
  <c r="BA114"/>
  <c r="AZ114"/>
  <c r="AY114"/>
  <c r="AX114"/>
  <c r="AW114"/>
  <c r="AV114"/>
  <c r="AU114"/>
  <c r="AT114"/>
  <c r="AS114"/>
  <c r="AR114"/>
  <c r="AQ114"/>
  <c r="AP114"/>
  <c r="AO114"/>
  <c r="AN114"/>
  <c r="AM114"/>
  <c r="BA113"/>
  <c r="AZ113"/>
  <c r="AY113"/>
  <c r="AX113"/>
  <c r="AW113"/>
  <c r="AV113"/>
  <c r="AU113"/>
  <c r="AT113"/>
  <c r="AS113"/>
  <c r="AR113"/>
  <c r="AQ113"/>
  <c r="AP113"/>
  <c r="AO113"/>
  <c r="AN113"/>
  <c r="AM113"/>
  <c r="BA112"/>
  <c r="AZ112"/>
  <c r="AY112"/>
  <c r="AX112"/>
  <c r="AW112"/>
  <c r="AV112"/>
  <c r="AU112"/>
  <c r="AT112"/>
  <c r="AS112"/>
  <c r="AR112"/>
  <c r="AQ112"/>
  <c r="AP112"/>
  <c r="AO112"/>
  <c r="AN112"/>
  <c r="AM112"/>
  <c r="BA111"/>
  <c r="AZ111"/>
  <c r="AY111"/>
  <c r="AX111"/>
  <c r="AW111"/>
  <c r="AV111"/>
  <c r="AU111"/>
  <c r="AT111"/>
  <c r="AS111"/>
  <c r="AR111"/>
  <c r="AQ111"/>
  <c r="AP111"/>
  <c r="AO111"/>
  <c r="AN111"/>
  <c r="AM111"/>
  <c r="BA110"/>
  <c r="AZ110"/>
  <c r="AY110"/>
  <c r="AX110"/>
  <c r="AW110"/>
  <c r="AV110"/>
  <c r="AU110"/>
  <c r="AT110"/>
  <c r="AS110"/>
  <c r="AR110"/>
  <c r="AQ110"/>
  <c r="AP110"/>
  <c r="AO110"/>
  <c r="AN110"/>
  <c r="AM110"/>
  <c r="BA109"/>
  <c r="AZ109"/>
  <c r="AY109"/>
  <c r="AX109"/>
  <c r="AW109"/>
  <c r="AV109"/>
  <c r="AU109"/>
  <c r="AT109"/>
  <c r="AS109"/>
  <c r="AR109"/>
  <c r="AQ109"/>
  <c r="AP109"/>
  <c r="AO109"/>
  <c r="AN109"/>
  <c r="AM109"/>
  <c r="BA108"/>
  <c r="AZ108"/>
  <c r="AY108"/>
  <c r="AX108"/>
  <c r="AW108"/>
  <c r="AV108"/>
  <c r="AU108"/>
  <c r="AT108"/>
  <c r="AS108"/>
  <c r="AR108"/>
  <c r="AQ108"/>
  <c r="AP108"/>
  <c r="AO108"/>
  <c r="AN108"/>
  <c r="AM108"/>
  <c r="BA107"/>
  <c r="AZ107"/>
  <c r="AY107"/>
  <c r="AX107"/>
  <c r="AW107"/>
  <c r="AV107"/>
  <c r="AU107"/>
  <c r="AT107"/>
  <c r="AS107"/>
  <c r="AR107"/>
  <c r="AQ107"/>
  <c r="AP107"/>
  <c r="AO107"/>
  <c r="AN107"/>
  <c r="AM107"/>
  <c r="BA106"/>
  <c r="AZ106"/>
  <c r="AY106"/>
  <c r="AX106"/>
  <c r="AW106"/>
  <c r="AV106"/>
  <c r="AU106"/>
  <c r="AT106"/>
  <c r="AS106"/>
  <c r="AR106"/>
  <c r="AQ106"/>
  <c r="AP106"/>
  <c r="AO106"/>
  <c r="AN106"/>
  <c r="AM106"/>
  <c r="BA105"/>
  <c r="AZ105"/>
  <c r="AY105"/>
  <c r="AX105"/>
  <c r="AW105"/>
  <c r="AV105"/>
  <c r="AU105"/>
  <c r="AT105"/>
  <c r="AS105"/>
  <c r="AR105"/>
  <c r="AQ105"/>
  <c r="AP105"/>
  <c r="AO105"/>
  <c r="AN105"/>
  <c r="AM105"/>
  <c r="BA104"/>
  <c r="AZ104"/>
  <c r="AY104"/>
  <c r="AX104"/>
  <c r="AW104"/>
  <c r="AV104"/>
  <c r="AU104"/>
  <c r="AT104"/>
  <c r="AS104"/>
  <c r="AR104"/>
  <c r="AQ104"/>
  <c r="AP104"/>
  <c r="AO104"/>
  <c r="AN104"/>
  <c r="AM104"/>
  <c r="BA103"/>
  <c r="AZ103"/>
  <c r="AY103"/>
  <c r="AX103"/>
  <c r="AW103"/>
  <c r="AV103"/>
  <c r="AU103"/>
  <c r="AT103"/>
  <c r="AS103"/>
  <c r="AR103"/>
  <c r="AQ103"/>
  <c r="AP103"/>
  <c r="AO103"/>
  <c r="AN103"/>
  <c r="AM103"/>
  <c r="BA102"/>
  <c r="AZ102"/>
  <c r="AY102"/>
  <c r="AX102"/>
  <c r="AW102"/>
  <c r="AV102"/>
  <c r="AU102"/>
  <c r="AT102"/>
  <c r="AS102"/>
  <c r="AR102"/>
  <c r="AQ102"/>
  <c r="AP102"/>
  <c r="AO102"/>
  <c r="AN102"/>
  <c r="AM102"/>
  <c r="BA101"/>
  <c r="AZ101"/>
  <c r="AY101"/>
  <c r="AX101"/>
  <c r="AW101"/>
  <c r="AV101"/>
  <c r="AU101"/>
  <c r="AT101"/>
  <c r="AS101"/>
  <c r="AR101"/>
  <c r="AQ101"/>
  <c r="AP101"/>
  <c r="AO101"/>
  <c r="AN101"/>
  <c r="AM101"/>
  <c r="BA100"/>
  <c r="AZ100"/>
  <c r="AY100"/>
  <c r="AX100"/>
  <c r="AW100"/>
  <c r="AV100"/>
  <c r="AU100"/>
  <c r="AT100"/>
  <c r="AS100"/>
  <c r="AR100"/>
  <c r="AQ100"/>
  <c r="AP100"/>
  <c r="AO100"/>
  <c r="AN100"/>
  <c r="AM100"/>
  <c r="BA99"/>
  <c r="AZ99"/>
  <c r="AY99"/>
  <c r="AX99"/>
  <c r="AW99"/>
  <c r="AV99"/>
  <c r="AU99"/>
  <c r="AT99"/>
  <c r="AS99"/>
  <c r="AR99"/>
  <c r="AQ99"/>
  <c r="AP99"/>
  <c r="AO99"/>
  <c r="AN99"/>
  <c r="AM99"/>
  <c r="BA98"/>
  <c r="AZ98"/>
  <c r="AY98"/>
  <c r="AX98"/>
  <c r="AW98"/>
  <c r="AV98"/>
  <c r="AU98"/>
  <c r="AT98"/>
  <c r="AS98"/>
  <c r="AR98"/>
  <c r="AQ98"/>
  <c r="AP98"/>
  <c r="AO98"/>
  <c r="AN98"/>
  <c r="AM98"/>
  <c r="BA97"/>
  <c r="AZ97"/>
  <c r="AY97"/>
  <c r="AX97"/>
  <c r="AW97"/>
  <c r="AV97"/>
  <c r="AU97"/>
  <c r="AT97"/>
  <c r="AS97"/>
  <c r="AR97"/>
  <c r="AQ97"/>
  <c r="AP97"/>
  <c r="AO97"/>
  <c r="AN97"/>
  <c r="AM97"/>
  <c r="BA96"/>
  <c r="AZ96"/>
  <c r="AY96"/>
  <c r="AX96"/>
  <c r="AW96"/>
  <c r="AV96"/>
  <c r="AU96"/>
  <c r="AT96"/>
  <c r="AS96"/>
  <c r="AR96"/>
  <c r="AQ96"/>
  <c r="AP96"/>
  <c r="AO96"/>
  <c r="AN96"/>
  <c r="AM96"/>
  <c r="BA95"/>
  <c r="AZ95"/>
  <c r="AY95"/>
  <c r="AX95"/>
  <c r="AW95"/>
  <c r="AV95"/>
  <c r="AU95"/>
  <c r="AT95"/>
  <c r="AS95"/>
  <c r="AR95"/>
  <c r="AQ95"/>
  <c r="AP95"/>
  <c r="AO95"/>
  <c r="AN95"/>
  <c r="AM95"/>
  <c r="BA94"/>
  <c r="AZ94"/>
  <c r="AY94"/>
  <c r="AX94"/>
  <c r="AW94"/>
  <c r="AV94"/>
  <c r="AU94"/>
  <c r="AT94"/>
  <c r="AS94"/>
  <c r="AR94"/>
  <c r="AQ94"/>
  <c r="AP94"/>
  <c r="AO94"/>
  <c r="AN94"/>
  <c r="AM94"/>
  <c r="BA93"/>
  <c r="AZ93"/>
  <c r="AY93"/>
  <c r="AX93"/>
  <c r="AW93"/>
  <c r="AV93"/>
  <c r="AU93"/>
  <c r="AT93"/>
  <c r="AS93"/>
  <c r="AR93"/>
  <c r="AQ93"/>
  <c r="AP93"/>
  <c r="AO93"/>
  <c r="AN93"/>
  <c r="AM93"/>
  <c r="BA92"/>
  <c r="AZ92"/>
  <c r="AY92"/>
  <c r="AX92"/>
  <c r="AW92"/>
  <c r="AV92"/>
  <c r="AU92"/>
  <c r="AT92"/>
  <c r="AS92"/>
  <c r="AR92"/>
  <c r="AQ92"/>
  <c r="AP92"/>
  <c r="AO92"/>
  <c r="AN92"/>
  <c r="AM92"/>
  <c r="BA91"/>
  <c r="AZ91"/>
  <c r="AY91"/>
  <c r="AX91"/>
  <c r="AW91"/>
  <c r="AV91"/>
  <c r="AU91"/>
  <c r="AT91"/>
  <c r="AS91"/>
  <c r="AR91"/>
  <c r="AQ91"/>
  <c r="AP91"/>
  <c r="AO91"/>
  <c r="AN91"/>
  <c r="AM91"/>
  <c r="BA90"/>
  <c r="AZ90"/>
  <c r="AY90"/>
  <c r="AX90"/>
  <c r="AW90"/>
  <c r="AV90"/>
  <c r="AU90"/>
  <c r="AT90"/>
  <c r="AS90"/>
  <c r="AR90"/>
  <c r="AQ90"/>
  <c r="AP90"/>
  <c r="AO90"/>
  <c r="AN90"/>
  <c r="AM90"/>
  <c r="BA89"/>
  <c r="AZ89"/>
  <c r="AY89"/>
  <c r="AX89"/>
  <c r="AW89"/>
  <c r="AV89"/>
  <c r="AU89"/>
  <c r="AT89"/>
  <c r="AS89"/>
  <c r="AR89"/>
  <c r="AQ89"/>
  <c r="AP89"/>
  <c r="AO89"/>
  <c r="AN89"/>
  <c r="AM89"/>
  <c r="BA88"/>
  <c r="AZ88"/>
  <c r="AY88"/>
  <c r="AX88"/>
  <c r="AW88"/>
  <c r="AV88"/>
  <c r="AU88"/>
  <c r="AT88"/>
  <c r="AS88"/>
  <c r="AR88"/>
  <c r="AQ88"/>
  <c r="AP88"/>
  <c r="AO88"/>
  <c r="AN88"/>
  <c r="AM88"/>
  <c r="BA87"/>
  <c r="AZ87"/>
  <c r="AY87"/>
  <c r="AX87"/>
  <c r="AW87"/>
  <c r="AV87"/>
  <c r="AU87"/>
  <c r="AT87"/>
  <c r="AS87"/>
  <c r="AR87"/>
  <c r="AQ87"/>
  <c r="AP87"/>
  <c r="AO87"/>
  <c r="AN87"/>
  <c r="AM87"/>
  <c r="BA86"/>
  <c r="AZ86"/>
  <c r="AY86"/>
  <c r="AX86"/>
  <c r="AW86"/>
  <c r="AV86"/>
  <c r="AU86"/>
  <c r="AT86"/>
  <c r="AS86"/>
  <c r="AR86"/>
  <c r="AQ86"/>
  <c r="AP86"/>
  <c r="AO86"/>
  <c r="AN86"/>
  <c r="AM86"/>
  <c r="BA85"/>
  <c r="AZ85"/>
  <c r="AY85"/>
  <c r="AX85"/>
  <c r="AW85"/>
  <c r="AV85"/>
  <c r="AU85"/>
  <c r="AT85"/>
  <c r="AS85"/>
  <c r="AR85"/>
  <c r="AQ85"/>
  <c r="AP85"/>
  <c r="AO85"/>
  <c r="AN85"/>
  <c r="AM85"/>
  <c r="BA84"/>
  <c r="AZ84"/>
  <c r="AY84"/>
  <c r="AX84"/>
  <c r="AW84"/>
  <c r="AV84"/>
  <c r="AU84"/>
  <c r="AT84"/>
  <c r="AS84"/>
  <c r="AR84"/>
  <c r="AQ84"/>
  <c r="AP84"/>
  <c r="AO84"/>
  <c r="AN84"/>
  <c r="AM84"/>
  <c r="BA83"/>
  <c r="AZ83"/>
  <c r="AY83"/>
  <c r="AX83"/>
  <c r="AW83"/>
  <c r="AV83"/>
  <c r="AU83"/>
  <c r="AT83"/>
  <c r="AS83"/>
  <c r="AR83"/>
  <c r="AQ83"/>
  <c r="AP83"/>
  <c r="AO83"/>
  <c r="AN83"/>
  <c r="AM83"/>
  <c r="BA82"/>
  <c r="AZ82"/>
  <c r="AY82"/>
  <c r="AX82"/>
  <c r="AW82"/>
  <c r="AV82"/>
  <c r="AU82"/>
  <c r="AT82"/>
  <c r="AS82"/>
  <c r="AR82"/>
  <c r="AQ82"/>
  <c r="AP82"/>
  <c r="AO82"/>
  <c r="AN82"/>
  <c r="AM82"/>
  <c r="BA81"/>
  <c r="AZ81"/>
  <c r="AY81"/>
  <c r="AX81"/>
  <c r="AW81"/>
  <c r="AV81"/>
  <c r="AU81"/>
  <c r="AT81"/>
  <c r="AS81"/>
  <c r="AR81"/>
  <c r="AQ81"/>
  <c r="AP81"/>
  <c r="AO81"/>
  <c r="AN81"/>
  <c r="AM81"/>
  <c r="BA80"/>
  <c r="AZ80"/>
  <c r="AY80"/>
  <c r="AX80"/>
  <c r="AW80"/>
  <c r="AV80"/>
  <c r="AU80"/>
  <c r="AT80"/>
  <c r="AS80"/>
  <c r="AR80"/>
  <c r="AQ80"/>
  <c r="AP80"/>
  <c r="AO80"/>
  <c r="AN80"/>
  <c r="AM80"/>
  <c r="BA79"/>
  <c r="AZ79"/>
  <c r="AY79"/>
  <c r="AX79"/>
  <c r="AW79"/>
  <c r="AV79"/>
  <c r="AU79"/>
  <c r="AT79"/>
  <c r="AS79"/>
  <c r="AR79"/>
  <c r="AQ79"/>
  <c r="AP79"/>
  <c r="AO79"/>
  <c r="AN79"/>
  <c r="AM79"/>
  <c r="BA78"/>
  <c r="AZ78"/>
  <c r="AY78"/>
  <c r="AX78"/>
  <c r="AW78"/>
  <c r="AV78"/>
  <c r="AU78"/>
  <c r="AT78"/>
  <c r="AS78"/>
  <c r="AR78"/>
  <c r="AQ78"/>
  <c r="AP78"/>
  <c r="AO78"/>
  <c r="AN78"/>
  <c r="AM78"/>
  <c r="BA77"/>
  <c r="AZ77"/>
  <c r="AY77"/>
  <c r="AX77"/>
  <c r="AW77"/>
  <c r="AV77"/>
  <c r="AU77"/>
  <c r="AT77"/>
  <c r="AS77"/>
  <c r="AR77"/>
  <c r="AQ77"/>
  <c r="AP77"/>
  <c r="AO77"/>
  <c r="AN77"/>
  <c r="AM77"/>
  <c r="BA76"/>
  <c r="AZ76"/>
  <c r="AY76"/>
  <c r="AX76"/>
  <c r="AW76"/>
  <c r="AV76"/>
  <c r="AU76"/>
  <c r="AT76"/>
  <c r="AS76"/>
  <c r="AR76"/>
  <c r="AQ76"/>
  <c r="AP76"/>
  <c r="AO76"/>
  <c r="AN76"/>
  <c r="AM76"/>
  <c r="BA75"/>
  <c r="AZ75"/>
  <c r="AY75"/>
  <c r="AX75"/>
  <c r="AW75"/>
  <c r="AV75"/>
  <c r="AU75"/>
  <c r="AT75"/>
  <c r="AS75"/>
  <c r="AR75"/>
  <c r="AQ75"/>
  <c r="AP75"/>
  <c r="AO75"/>
  <c r="AN75"/>
  <c r="AM75"/>
  <c r="BA74"/>
  <c r="AZ74"/>
  <c r="AY74"/>
  <c r="AX74"/>
  <c r="AW74"/>
  <c r="AV74"/>
  <c r="AU74"/>
  <c r="AT74"/>
  <c r="AS74"/>
  <c r="AR74"/>
  <c r="AQ74"/>
  <c r="AP74"/>
  <c r="AO74"/>
  <c r="AN74"/>
  <c r="AM74"/>
  <c r="BA73"/>
  <c r="AZ73"/>
  <c r="AY73"/>
  <c r="AX73"/>
  <c r="AW73"/>
  <c r="AV73"/>
  <c r="AU73"/>
  <c r="AT73"/>
  <c r="AS73"/>
  <c r="AR73"/>
  <c r="AQ73"/>
  <c r="AP73"/>
  <c r="AO73"/>
  <c r="AN73"/>
  <c r="AM73"/>
  <c r="BA72"/>
  <c r="AZ72"/>
  <c r="AY72"/>
  <c r="AX72"/>
  <c r="AW72"/>
  <c r="AV72"/>
  <c r="AU72"/>
  <c r="AT72"/>
  <c r="AS72"/>
  <c r="AR72"/>
  <c r="AQ72"/>
  <c r="AP72"/>
  <c r="AO72"/>
  <c r="AN72"/>
  <c r="AM72"/>
  <c r="BA71"/>
  <c r="AZ71"/>
  <c r="AY71"/>
  <c r="AX71"/>
  <c r="AW71"/>
  <c r="AV71"/>
  <c r="AU71"/>
  <c r="AT71"/>
  <c r="AS71"/>
  <c r="AR71"/>
  <c r="AQ71"/>
  <c r="AP71"/>
  <c r="AO71"/>
  <c r="AN71"/>
  <c r="AM71"/>
  <c r="BA70"/>
  <c r="AZ70"/>
  <c r="AY70"/>
  <c r="AX70"/>
  <c r="AW70"/>
  <c r="AV70"/>
  <c r="AU70"/>
  <c r="AT70"/>
  <c r="AS70"/>
  <c r="AR70"/>
  <c r="AQ70"/>
  <c r="AP70"/>
  <c r="AO70"/>
  <c r="AN70"/>
  <c r="AM70"/>
  <c r="BA69"/>
  <c r="AZ69"/>
  <c r="AY69"/>
  <c r="AX69"/>
  <c r="AW69"/>
  <c r="AV69"/>
  <c r="AU69"/>
  <c r="AT69"/>
  <c r="AS69"/>
  <c r="AR69"/>
  <c r="AQ69"/>
  <c r="AP69"/>
  <c r="AO69"/>
  <c r="AN69"/>
  <c r="AM69"/>
  <c r="BA68"/>
  <c r="AZ68"/>
  <c r="AY68"/>
  <c r="AX68"/>
  <c r="AW68"/>
  <c r="AV68"/>
  <c r="AU68"/>
  <c r="AT68"/>
  <c r="AS68"/>
  <c r="AR68"/>
  <c r="AQ68"/>
  <c r="AP68"/>
  <c r="AO68"/>
  <c r="AN68"/>
  <c r="AM68"/>
  <c r="BA67"/>
  <c r="AZ67"/>
  <c r="AY67"/>
  <c r="AX67"/>
  <c r="AW67"/>
  <c r="AV67"/>
  <c r="AU67"/>
  <c r="AT67"/>
  <c r="AS67"/>
  <c r="AR67"/>
  <c r="AQ67"/>
  <c r="AP67"/>
  <c r="AO67"/>
  <c r="AN67"/>
  <c r="AM67"/>
  <c r="BA66"/>
  <c r="AZ66"/>
  <c r="AY66"/>
  <c r="AX66"/>
  <c r="AW66"/>
  <c r="AV66"/>
  <c r="AU66"/>
  <c r="AT66"/>
  <c r="AS66"/>
  <c r="AR66"/>
  <c r="AQ66"/>
  <c r="AP66"/>
  <c r="AO66"/>
  <c r="AN66"/>
  <c r="AM66"/>
  <c r="BA65"/>
  <c r="AZ65"/>
  <c r="AY65"/>
  <c r="AX65"/>
  <c r="AW65"/>
  <c r="AV65"/>
  <c r="AU65"/>
  <c r="AT65"/>
  <c r="AS65"/>
  <c r="AR65"/>
  <c r="AQ65"/>
  <c r="AP65"/>
  <c r="AO65"/>
  <c r="AN65"/>
  <c r="AM65"/>
  <c r="BA64"/>
  <c r="AZ64"/>
  <c r="AY64"/>
  <c r="AX64"/>
  <c r="AW64"/>
  <c r="AV64"/>
  <c r="AU64"/>
  <c r="AT64"/>
  <c r="AS64"/>
  <c r="AR64"/>
  <c r="AQ64"/>
  <c r="AP64"/>
  <c r="AO64"/>
  <c r="AN64"/>
  <c r="AM64"/>
  <c r="BA63"/>
  <c r="AZ63"/>
  <c r="AY63"/>
  <c r="AX63"/>
  <c r="AW63"/>
  <c r="AV63"/>
  <c r="AU63"/>
  <c r="AT63"/>
  <c r="AS63"/>
  <c r="AR63"/>
  <c r="AQ63"/>
  <c r="AP63"/>
  <c r="AO63"/>
  <c r="AN63"/>
  <c r="AM63"/>
  <c r="BA62"/>
  <c r="AZ62"/>
  <c r="AY62"/>
  <c r="AX62"/>
  <c r="AW62"/>
  <c r="AV62"/>
  <c r="AU62"/>
  <c r="AT62"/>
  <c r="AS62"/>
  <c r="AR62"/>
  <c r="AQ62"/>
  <c r="AP62"/>
  <c r="AO62"/>
  <c r="AN62"/>
  <c r="AM62"/>
  <c r="BA61"/>
  <c r="AZ61"/>
  <c r="AY61"/>
  <c r="AX61"/>
  <c r="AW61"/>
  <c r="AV61"/>
  <c r="AU61"/>
  <c r="AT61"/>
  <c r="AS61"/>
  <c r="AR61"/>
  <c r="AQ61"/>
  <c r="AP61"/>
  <c r="AO61"/>
  <c r="AN61"/>
  <c r="AM61"/>
  <c r="BA60"/>
  <c r="AZ60"/>
  <c r="AY60"/>
  <c r="AX60"/>
  <c r="AW60"/>
  <c r="AV60"/>
  <c r="AU60"/>
  <c r="AT60"/>
  <c r="AS60"/>
  <c r="AR60"/>
  <c r="AQ60"/>
  <c r="AP60"/>
  <c r="AO60"/>
  <c r="AN60"/>
  <c r="AM60"/>
  <c r="BA59"/>
  <c r="AZ59"/>
  <c r="AY59"/>
  <c r="AX59"/>
  <c r="AW59"/>
  <c r="AV59"/>
  <c r="AU59"/>
  <c r="AT59"/>
  <c r="AS59"/>
  <c r="AR59"/>
  <c r="AQ59"/>
  <c r="AP59"/>
  <c r="AO59"/>
  <c r="AN59"/>
  <c r="AM59"/>
  <c r="BA58"/>
  <c r="AZ58"/>
  <c r="AY58"/>
  <c r="AX58"/>
  <c r="AW58"/>
  <c r="AV58"/>
  <c r="AU58"/>
  <c r="AT58"/>
  <c r="AS58"/>
  <c r="AR58"/>
  <c r="AQ58"/>
  <c r="AP58"/>
  <c r="AO58"/>
  <c r="AN58"/>
  <c r="AM58"/>
  <c r="BA57"/>
  <c r="AZ57"/>
  <c r="AY57"/>
  <c r="AX57"/>
  <c r="AW57"/>
  <c r="AV57"/>
  <c r="AU57"/>
  <c r="AT57"/>
  <c r="AS57"/>
  <c r="AR57"/>
  <c r="AQ57"/>
  <c r="AP57"/>
  <c r="AO57"/>
  <c r="AN57"/>
  <c r="AM57"/>
  <c r="BA56"/>
  <c r="AZ56"/>
  <c r="AY56"/>
  <c r="AX56"/>
  <c r="AW56"/>
  <c r="AV56"/>
  <c r="AU56"/>
  <c r="AT56"/>
  <c r="AS56"/>
  <c r="AR56"/>
  <c r="AQ56"/>
  <c r="AP56"/>
  <c r="AO56"/>
  <c r="AN56"/>
  <c r="AM56"/>
  <c r="BA55"/>
  <c r="AZ55"/>
  <c r="AY55"/>
  <c r="AX55"/>
  <c r="AW55"/>
  <c r="AV55"/>
  <c r="AU55"/>
  <c r="AT55"/>
  <c r="AS55"/>
  <c r="AR55"/>
  <c r="AQ55"/>
  <c r="AP55"/>
  <c r="AO55"/>
  <c r="AN55"/>
  <c r="AM55"/>
  <c r="BA54"/>
  <c r="AZ54"/>
  <c r="AY54"/>
  <c r="AX54"/>
  <c r="AW54"/>
  <c r="AV54"/>
  <c r="AU54"/>
  <c r="AT54"/>
  <c r="AS54"/>
  <c r="AR54"/>
  <c r="AQ54"/>
  <c r="AP54"/>
  <c r="AO54"/>
  <c r="AN54"/>
  <c r="AM54"/>
  <c r="BA53"/>
  <c r="AZ53"/>
  <c r="AY53"/>
  <c r="AX53"/>
  <c r="AW53"/>
  <c r="AV53"/>
  <c r="AU53"/>
  <c r="AT53"/>
  <c r="AS53"/>
  <c r="AR53"/>
  <c r="AQ53"/>
  <c r="AP53"/>
  <c r="AO53"/>
  <c r="AN53"/>
  <c r="AM53"/>
  <c r="BA52"/>
  <c r="AZ52"/>
  <c r="AY52"/>
  <c r="AX52"/>
  <c r="AW52"/>
  <c r="AV52"/>
  <c r="AU52"/>
  <c r="AT52"/>
  <c r="AS52"/>
  <c r="AR52"/>
  <c r="AQ52"/>
  <c r="AP52"/>
  <c r="AO52"/>
  <c r="AN52"/>
  <c r="AM52"/>
  <c r="BA51"/>
  <c r="AZ51"/>
  <c r="AY51"/>
  <c r="AX51"/>
  <c r="AW51"/>
  <c r="AV51"/>
  <c r="AU51"/>
  <c r="AT51"/>
  <c r="AS51"/>
  <c r="AR51"/>
  <c r="AQ51"/>
  <c r="AP51"/>
  <c r="AO51"/>
  <c r="AN51"/>
  <c r="AM51"/>
  <c r="BA50"/>
  <c r="AZ50"/>
  <c r="AY50"/>
  <c r="AX50"/>
  <c r="AW50"/>
  <c r="AV50"/>
  <c r="AU50"/>
  <c r="AT50"/>
  <c r="AS50"/>
  <c r="AR50"/>
  <c r="AQ50"/>
  <c r="AP50"/>
  <c r="AO50"/>
  <c r="AN50"/>
  <c r="AM50"/>
  <c r="BA49"/>
  <c r="AZ49"/>
  <c r="AY49"/>
  <c r="AX49"/>
  <c r="AW49"/>
  <c r="AV49"/>
  <c r="AU49"/>
  <c r="AT49"/>
  <c r="AS49"/>
  <c r="AR49"/>
  <c r="AQ49"/>
  <c r="AP49"/>
  <c r="AO49"/>
  <c r="AN49"/>
  <c r="AM49"/>
  <c r="BA48"/>
  <c r="AZ48"/>
  <c r="AY48"/>
  <c r="AX48"/>
  <c r="AW48"/>
  <c r="AV48"/>
  <c r="AU48"/>
  <c r="AT48"/>
  <c r="AS48"/>
  <c r="AR48"/>
  <c r="AQ48"/>
  <c r="AP48"/>
  <c r="AO48"/>
  <c r="AN48"/>
  <c r="AM48"/>
  <c r="BA47"/>
  <c r="AZ47"/>
  <c r="AY47"/>
  <c r="AX47"/>
  <c r="AW47"/>
  <c r="AV47"/>
  <c r="AU47"/>
  <c r="AT47"/>
  <c r="AS47"/>
  <c r="AR47"/>
  <c r="AQ47"/>
  <c r="AP47"/>
  <c r="AO47"/>
  <c r="AN47"/>
  <c r="AM47"/>
  <c r="BA46"/>
  <c r="AZ46"/>
  <c r="AY46"/>
  <c r="AX46"/>
  <c r="AW46"/>
  <c r="AV46"/>
  <c r="AU46"/>
  <c r="AT46"/>
  <c r="AS46"/>
  <c r="AR46"/>
  <c r="AQ46"/>
  <c r="AP46"/>
  <c r="AO46"/>
  <c r="AN46"/>
  <c r="AM46"/>
  <c r="BA45"/>
  <c r="AZ45"/>
  <c r="AY45"/>
  <c r="AX45"/>
  <c r="AW45"/>
  <c r="AV45"/>
  <c r="AU45"/>
  <c r="AT45"/>
  <c r="AS45"/>
  <c r="AR45"/>
  <c r="AQ45"/>
  <c r="AP45"/>
  <c r="AO45"/>
  <c r="AN45"/>
  <c r="AM45"/>
  <c r="BA44"/>
  <c r="AZ44"/>
  <c r="AY44"/>
  <c r="AX44"/>
  <c r="AW44"/>
  <c r="AV44"/>
  <c r="AU44"/>
  <c r="AT44"/>
  <c r="AS44"/>
  <c r="AR44"/>
  <c r="AQ44"/>
  <c r="AP44"/>
  <c r="AO44"/>
  <c r="AN44"/>
  <c r="AM44"/>
  <c r="BA43"/>
  <c r="AZ43"/>
  <c r="AY43"/>
  <c r="AX43"/>
  <c r="AW43"/>
  <c r="AV43"/>
  <c r="AU43"/>
  <c r="AT43"/>
  <c r="AS43"/>
  <c r="AR43"/>
  <c r="AQ43"/>
  <c r="AP43"/>
  <c r="AO43"/>
  <c r="AN43"/>
  <c r="AM43"/>
  <c r="BA42"/>
  <c r="AZ42"/>
  <c r="AY42"/>
  <c r="AX42"/>
  <c r="AW42"/>
  <c r="AV42"/>
  <c r="AU42"/>
  <c r="AT42"/>
  <c r="AS42"/>
  <c r="AR42"/>
  <c r="AQ42"/>
  <c r="AP42"/>
  <c r="AO42"/>
  <c r="AN42"/>
  <c r="AM42"/>
  <c r="BA41"/>
  <c r="AZ41"/>
  <c r="AY41"/>
  <c r="AX41"/>
  <c r="AW41"/>
  <c r="AV41"/>
  <c r="AU41"/>
  <c r="AT41"/>
  <c r="AS41"/>
  <c r="AR41"/>
  <c r="AQ41"/>
  <c r="AP41"/>
  <c r="AO41"/>
  <c r="AN41"/>
  <c r="AM41"/>
  <c r="BA40"/>
  <c r="AZ40"/>
  <c r="AY40"/>
  <c r="AX40"/>
  <c r="AW40"/>
  <c r="AV40"/>
  <c r="AU40"/>
  <c r="AT40"/>
  <c r="AS40"/>
  <c r="AR40"/>
  <c r="AQ40"/>
  <c r="AP40"/>
  <c r="AO40"/>
  <c r="AN40"/>
  <c r="AM40"/>
  <c r="BA39"/>
  <c r="AZ39"/>
  <c r="AY39"/>
  <c r="AX39"/>
  <c r="AW39"/>
  <c r="AV39"/>
  <c r="AU39"/>
  <c r="AT39"/>
  <c r="AS39"/>
  <c r="AR39"/>
  <c r="AQ39"/>
  <c r="AP39"/>
  <c r="AO39"/>
  <c r="AN39"/>
  <c r="AM39"/>
  <c r="BA38"/>
  <c r="AZ38"/>
  <c r="AY38"/>
  <c r="AX38"/>
  <c r="AW38"/>
  <c r="AV38"/>
  <c r="AU38"/>
  <c r="AT38"/>
  <c r="AS38"/>
  <c r="BA37"/>
  <c r="AZ37"/>
  <c r="AY37"/>
  <c r="AX37"/>
  <c r="AW37"/>
  <c r="AV37"/>
  <c r="AU37"/>
  <c r="AT37"/>
  <c r="AS37"/>
  <c r="BA36"/>
  <c r="AZ36"/>
  <c r="AY36"/>
  <c r="AX36"/>
  <c r="AW36"/>
  <c r="AV36"/>
  <c r="AU36"/>
  <c r="AT36"/>
  <c r="AS36"/>
  <c r="BA34"/>
  <c r="AZ34"/>
  <c r="AY34"/>
  <c r="AX34"/>
  <c r="AW34"/>
  <c r="AV34"/>
  <c r="AU34"/>
  <c r="AT34"/>
  <c r="AS34"/>
  <c r="BA33"/>
  <c r="AZ33"/>
  <c r="AY33"/>
  <c r="AX33"/>
  <c r="AW33"/>
  <c r="AV33"/>
  <c r="AU33"/>
  <c r="AT33"/>
  <c r="AS33"/>
  <c r="BA32"/>
  <c r="AZ32"/>
  <c r="AY32"/>
  <c r="AX32"/>
  <c r="AW32"/>
  <c r="AV32"/>
  <c r="AU32"/>
  <c r="AT32"/>
  <c r="AS32"/>
  <c r="AR32"/>
  <c r="AQ32"/>
  <c r="AP32"/>
  <c r="AO32"/>
  <c r="AN32"/>
  <c r="AM32"/>
  <c r="BA31"/>
  <c r="AZ31"/>
  <c r="AY31"/>
  <c r="AX31"/>
  <c r="AW31"/>
  <c r="AV31"/>
  <c r="AU31"/>
  <c r="AT31"/>
  <c r="AS31"/>
  <c r="AR31"/>
  <c r="AQ31"/>
  <c r="AP31"/>
  <c r="AO31"/>
  <c r="AN31"/>
  <c r="AM31"/>
  <c r="BA30"/>
  <c r="AZ30"/>
  <c r="AY30"/>
  <c r="AX30"/>
  <c r="AW30"/>
  <c r="AV30"/>
  <c r="AU30"/>
  <c r="AT30"/>
  <c r="AS30"/>
  <c r="AR30"/>
  <c r="AQ30"/>
  <c r="AP30"/>
  <c r="AO30"/>
  <c r="AN30"/>
  <c r="AM30"/>
  <c r="BA29"/>
  <c r="AZ29"/>
  <c r="AY29"/>
  <c r="AX29"/>
  <c r="AW29"/>
  <c r="AV29"/>
  <c r="AU29"/>
  <c r="AT29"/>
  <c r="AS29"/>
  <c r="AR29"/>
  <c r="AQ29"/>
  <c r="AP29"/>
  <c r="AO29"/>
  <c r="AN29"/>
  <c r="AM29"/>
  <c r="BA28"/>
  <c r="AZ28"/>
  <c r="AY28"/>
  <c r="AX28"/>
  <c r="AW28"/>
  <c r="AV28"/>
  <c r="AU28"/>
  <c r="AT28"/>
  <c r="AS28"/>
  <c r="AR28"/>
  <c r="AQ28"/>
  <c r="AP28"/>
  <c r="AO28"/>
  <c r="AN28"/>
  <c r="AM28"/>
  <c r="BA27"/>
  <c r="AZ27"/>
  <c r="AY27"/>
  <c r="AX27"/>
  <c r="AW27"/>
  <c r="AV27"/>
  <c r="AU27"/>
  <c r="AT27"/>
  <c r="AS27"/>
  <c r="AR27"/>
  <c r="AQ27"/>
  <c r="AP27"/>
  <c r="AO27"/>
  <c r="AN27"/>
  <c r="AM27"/>
  <c r="BA26"/>
  <c r="AZ26"/>
  <c r="AY26"/>
  <c r="AX26"/>
  <c r="AW26"/>
  <c r="AV26"/>
  <c r="AU26"/>
  <c r="AT26"/>
  <c r="AS26"/>
  <c r="AR26"/>
  <c r="AQ26"/>
  <c r="AP26"/>
  <c r="AO26"/>
  <c r="AN26"/>
  <c r="AM26"/>
  <c r="BA25"/>
  <c r="AZ25"/>
  <c r="AY25"/>
  <c r="AX25"/>
  <c r="AW25"/>
  <c r="AV25"/>
  <c r="AU25"/>
  <c r="AT25"/>
  <c r="AS25"/>
  <c r="AR25"/>
  <c r="AQ25"/>
  <c r="AP25"/>
  <c r="AO25"/>
  <c r="AN25"/>
  <c r="AM25"/>
  <c r="BA24"/>
  <c r="AZ24"/>
  <c r="AY24"/>
  <c r="AX24"/>
  <c r="AW24"/>
  <c r="AV24"/>
  <c r="AU24"/>
  <c r="AT24"/>
  <c r="AS24"/>
  <c r="AR24"/>
  <c r="AQ24"/>
  <c r="AP24"/>
  <c r="AO24"/>
  <c r="AN24"/>
  <c r="AM24"/>
  <c r="BA23"/>
  <c r="AZ23"/>
  <c r="AY23"/>
  <c r="AX23"/>
  <c r="AW23"/>
  <c r="AV23"/>
  <c r="AU23"/>
  <c r="AT23"/>
  <c r="AS23"/>
  <c r="AR23"/>
  <c r="AQ23"/>
  <c r="AP23"/>
  <c r="AO23"/>
  <c r="AN23"/>
  <c r="AM23"/>
  <c r="BA22"/>
  <c r="AZ22"/>
  <c r="AY22"/>
  <c r="AX22"/>
  <c r="AW22"/>
  <c r="AV22"/>
  <c r="AU22"/>
  <c r="AT22"/>
  <c r="AS22"/>
  <c r="AR22"/>
  <c r="AQ22"/>
  <c r="AP22"/>
  <c r="AO22"/>
  <c r="AN22"/>
  <c r="AM22"/>
  <c r="BA21"/>
  <c r="AZ21"/>
  <c r="AY21"/>
  <c r="AX21"/>
  <c r="AW21"/>
  <c r="AV21"/>
  <c r="AU21"/>
  <c r="AT21"/>
  <c r="AS21"/>
  <c r="AR21"/>
  <c r="AQ21"/>
  <c r="AP21"/>
  <c r="AO21"/>
  <c r="AN21"/>
  <c r="AM21"/>
  <c r="BA20"/>
  <c r="AZ20"/>
  <c r="AY20"/>
  <c r="AX20"/>
  <c r="AW20"/>
  <c r="AV20"/>
  <c r="AU20"/>
  <c r="AT20"/>
  <c r="AS20"/>
  <c r="AR20"/>
  <c r="AQ20"/>
  <c r="AP20"/>
  <c r="AO20"/>
  <c r="AN20"/>
  <c r="AM20"/>
  <c r="BA19"/>
  <c r="AZ19"/>
  <c r="AY19"/>
  <c r="AX19"/>
  <c r="AW19"/>
  <c r="AV19"/>
  <c r="AU19"/>
  <c r="AT19"/>
  <c r="AS19"/>
  <c r="AR19"/>
  <c r="AQ19"/>
  <c r="AP19"/>
  <c r="AO19"/>
  <c r="AN19"/>
  <c r="AM19"/>
  <c r="BA18"/>
  <c r="AZ18"/>
  <c r="AY18"/>
  <c r="AX18"/>
  <c r="AW18"/>
  <c r="AV18"/>
  <c r="AU18"/>
  <c r="AT18"/>
  <c r="AS18"/>
  <c r="AR18"/>
  <c r="AQ18"/>
  <c r="AP18"/>
  <c r="AO18"/>
  <c r="AN18"/>
  <c r="AM18"/>
  <c r="BA17"/>
  <c r="AZ17"/>
  <c r="AY17"/>
  <c r="AX17"/>
  <c r="AW17"/>
  <c r="AV17"/>
  <c r="AU17"/>
  <c r="AT17"/>
  <c r="AS17"/>
  <c r="AR17"/>
  <c r="AQ17"/>
  <c r="AP17"/>
  <c r="AO17"/>
  <c r="AN17"/>
  <c r="AM17"/>
  <c r="BA16"/>
  <c r="AZ16"/>
  <c r="AY16"/>
  <c r="AX16"/>
  <c r="AW16"/>
  <c r="AV16"/>
  <c r="AU16"/>
  <c r="AT16"/>
  <c r="AS16"/>
  <c r="AR16"/>
  <c r="AQ16"/>
  <c r="AP16"/>
  <c r="AO16"/>
  <c r="AN16"/>
  <c r="AM16"/>
  <c r="BA15"/>
  <c r="AZ15"/>
  <c r="AY15"/>
  <c r="AX15"/>
  <c r="AW15"/>
  <c r="AV15"/>
  <c r="AU15"/>
  <c r="AT15"/>
  <c r="AS15"/>
  <c r="AR15"/>
  <c r="AQ15"/>
  <c r="AP15"/>
  <c r="AO15"/>
  <c r="AN15"/>
  <c r="AM15"/>
  <c r="BA14"/>
  <c r="AZ14"/>
  <c r="AY14"/>
  <c r="AX14"/>
  <c r="AW14"/>
  <c r="AV14"/>
  <c r="AU14"/>
  <c r="AT14"/>
  <c r="AS14"/>
  <c r="AR14"/>
  <c r="AQ14"/>
  <c r="AP14"/>
  <c r="AO14"/>
  <c r="AN14"/>
  <c r="AM14"/>
  <c r="BA13"/>
  <c r="AZ13"/>
  <c r="AY13"/>
  <c r="AX13"/>
  <c r="AW13"/>
  <c r="AV13"/>
  <c r="AU13"/>
  <c r="AT13"/>
  <c r="AS13"/>
  <c r="AR13"/>
  <c r="AQ13"/>
  <c r="AP13"/>
  <c r="AO13"/>
  <c r="AN13"/>
  <c r="AM13"/>
  <c r="BA12"/>
  <c r="AZ12"/>
  <c r="AY12"/>
  <c r="AX12"/>
  <c r="AW12"/>
  <c r="AV12"/>
  <c r="AU12"/>
  <c r="AT12"/>
  <c r="AS12"/>
  <c r="AR12"/>
  <c r="AQ12"/>
  <c r="AP12"/>
  <c r="AO12"/>
  <c r="AN12"/>
  <c r="AM12"/>
  <c r="BA11"/>
  <c r="AZ11"/>
  <c r="AY11"/>
  <c r="AX11"/>
  <c r="AW11"/>
  <c r="AV11"/>
  <c r="AU11"/>
  <c r="AT11"/>
  <c r="AS11"/>
  <c r="AR11"/>
  <c r="AQ11"/>
  <c r="AP11"/>
  <c r="AO11"/>
  <c r="AN11"/>
  <c r="AM11"/>
  <c r="BA10"/>
  <c r="AZ10"/>
  <c r="AY10"/>
  <c r="AX10"/>
  <c r="AW10"/>
  <c r="AV10"/>
  <c r="AU10"/>
  <c r="AT10"/>
  <c r="AS10"/>
  <c r="AR10"/>
  <c r="AQ10"/>
  <c r="AP10"/>
  <c r="AO10"/>
  <c r="AN10"/>
  <c r="AM10"/>
  <c r="BA9"/>
  <c r="AZ9"/>
  <c r="AY9"/>
  <c r="AX9"/>
  <c r="AW9"/>
  <c r="AV9"/>
  <c r="AU9"/>
  <c r="AT9"/>
  <c r="AS9"/>
  <c r="AR9"/>
  <c r="AQ9"/>
  <c r="AP9"/>
  <c r="AO9"/>
  <c r="AN9"/>
  <c r="AM9"/>
  <c r="BA8"/>
  <c r="AZ8"/>
  <c r="AY8"/>
  <c r="AX8"/>
  <c r="AW8"/>
  <c r="AV8"/>
  <c r="AU8"/>
  <c r="AT8"/>
  <c r="AS8"/>
  <c r="AR8"/>
  <c r="AQ8"/>
  <c r="AP8"/>
  <c r="AO8"/>
  <c r="AN8"/>
  <c r="AM8"/>
  <c r="BA7"/>
  <c r="AZ7"/>
  <c r="AY7"/>
  <c r="AX7"/>
  <c r="AW7"/>
  <c r="AV7"/>
  <c r="AU7"/>
  <c r="AT7"/>
  <c r="AS7"/>
  <c r="AR7"/>
  <c r="AQ7"/>
  <c r="AP7"/>
  <c r="AO7"/>
  <c r="AN7"/>
  <c r="AM7"/>
  <c r="BA6"/>
  <c r="AZ6"/>
  <c r="AY6"/>
  <c r="AX6"/>
  <c r="AW6"/>
  <c r="AV6"/>
  <c r="AU6"/>
  <c r="AT6"/>
  <c r="AS6"/>
  <c r="AR6"/>
  <c r="AQ6"/>
  <c r="AP6"/>
  <c r="AO6"/>
  <c r="AN6"/>
  <c r="AM6"/>
  <c r="BA5"/>
  <c r="AZ5"/>
  <c r="AY5"/>
  <c r="AX5"/>
  <c r="AW5"/>
  <c r="AV5"/>
  <c r="AU5"/>
  <c r="AT5"/>
  <c r="AS5"/>
  <c r="AR5"/>
  <c r="AQ5"/>
  <c r="AP5"/>
  <c r="AO5"/>
  <c r="AN5"/>
  <c r="AM5"/>
  <c r="BA4"/>
  <c r="AZ4"/>
  <c r="AY4"/>
  <c r="AX4"/>
  <c r="AW4"/>
  <c r="AV4"/>
  <c r="AU4"/>
  <c r="AT4"/>
  <c r="AS4"/>
  <c r="AR4"/>
  <c r="AQ4"/>
  <c r="AP4"/>
  <c r="AO4"/>
  <c r="AN4"/>
  <c r="AM4"/>
  <c r="BA3"/>
  <c r="AZ3"/>
  <c r="AY3"/>
  <c r="AX3"/>
  <c r="AW3"/>
  <c r="AV3"/>
  <c r="AU3"/>
  <c r="AT3"/>
  <c r="AS3"/>
  <c r="AR3"/>
  <c r="AQ3"/>
  <c r="AP3"/>
  <c r="AO3"/>
  <c r="AN3"/>
  <c r="AM3"/>
  <c r="BA2"/>
  <c r="AZ2"/>
  <c r="AY2"/>
  <c r="AX2"/>
  <c r="AW2"/>
  <c r="AV2"/>
  <c r="AU2"/>
  <c r="AT2"/>
  <c r="AS2"/>
  <c r="AR2"/>
  <c r="AQ2"/>
  <c r="AP2"/>
  <c r="AO2"/>
  <c r="AN2"/>
  <c r="AM2"/>
  <c r="BE102" i="6"/>
  <c r="BE101"/>
  <c r="BE100"/>
  <c r="BE99"/>
  <c r="BE98"/>
  <c r="BE97"/>
  <c r="BE96"/>
  <c r="BE95"/>
  <c r="BE94"/>
  <c r="BE93"/>
  <c r="BE92"/>
  <c r="BE91"/>
  <c r="BE90"/>
  <c r="BE89"/>
  <c r="BE88"/>
  <c r="BE87"/>
  <c r="BE86"/>
  <c r="BE85"/>
  <c r="BE84"/>
  <c r="BE83"/>
  <c r="BE82"/>
  <c r="BE81"/>
  <c r="BE80"/>
  <c r="BE79"/>
  <c r="BE78"/>
  <c r="BE77"/>
  <c r="BE76"/>
  <c r="BE75"/>
  <c r="BE74"/>
  <c r="BE73"/>
  <c r="BE72"/>
  <c r="BE71"/>
  <c r="BE70"/>
  <c r="BE69"/>
  <c r="BE68"/>
  <c r="BE67"/>
  <c r="BE66"/>
  <c r="BE65"/>
  <c r="BE64"/>
  <c r="BE63"/>
  <c r="BE62"/>
  <c r="BE61"/>
  <c r="BE60"/>
  <c r="BE59"/>
  <c r="BE58"/>
  <c r="BE57"/>
  <c r="BE56"/>
  <c r="BE55"/>
  <c r="BE54"/>
  <c r="BE53"/>
  <c r="BE52"/>
  <c r="BE51"/>
  <c r="BE50"/>
  <c r="BE49"/>
  <c r="BE48"/>
  <c r="BE47"/>
  <c r="BE46"/>
  <c r="BE45"/>
  <c r="BE44"/>
  <c r="BE43"/>
  <c r="BE42"/>
  <c r="BE41"/>
  <c r="BE40"/>
  <c r="BE39"/>
  <c r="BE38"/>
  <c r="BE37"/>
  <c r="BE36"/>
  <c r="BE35"/>
  <c r="BE34"/>
  <c r="BE33"/>
  <c r="BE32"/>
  <c r="BE31"/>
  <c r="BE30"/>
  <c r="BE29"/>
  <c r="BE28"/>
  <c r="BE27"/>
  <c r="BE26"/>
  <c r="BE25"/>
  <c r="BE24"/>
  <c r="BE23"/>
  <c r="BE22"/>
  <c r="BE21"/>
  <c r="BE20"/>
  <c r="BE19"/>
  <c r="BE18"/>
  <c r="BE17"/>
  <c r="BE16"/>
  <c r="BE15"/>
  <c r="BE14"/>
  <c r="BE13"/>
  <c r="BE12"/>
  <c r="BE11"/>
  <c r="BE10"/>
  <c r="BE9"/>
  <c r="BE8"/>
  <c r="BE7"/>
  <c r="BE6"/>
  <c r="BE5"/>
  <c r="BE4"/>
  <c r="BE3"/>
  <c r="BE2"/>
  <c r="AZ96"/>
  <c r="BA96"/>
  <c r="BB96"/>
  <c r="BC96"/>
  <c r="BD96"/>
  <c r="AZ97"/>
  <c r="BA97"/>
  <c r="BB97"/>
  <c r="BC97"/>
  <c r="BD97"/>
  <c r="AZ98"/>
  <c r="BA98"/>
  <c r="BB98"/>
  <c r="BC98"/>
  <c r="BD98"/>
  <c r="AZ99"/>
  <c r="BA99"/>
  <c r="BB99"/>
  <c r="BC99"/>
  <c r="BD99"/>
  <c r="AZ72"/>
  <c r="BA72"/>
  <c r="BB72"/>
  <c r="BC72"/>
  <c r="BD72"/>
  <c r="AZ73"/>
  <c r="BA73"/>
  <c r="BB73"/>
  <c r="BC73"/>
  <c r="BD73"/>
  <c r="AZ91"/>
  <c r="BA91"/>
  <c r="BB91"/>
  <c r="BC91"/>
  <c r="BD91"/>
  <c r="AZ92"/>
  <c r="BA92"/>
  <c r="BB92"/>
  <c r="BC92"/>
  <c r="BD92"/>
  <c r="BD102"/>
  <c r="BC102"/>
  <c r="BB102"/>
  <c r="BA102"/>
  <c r="AZ102"/>
  <c r="BD101"/>
  <c r="BC101"/>
  <c r="BB101"/>
  <c r="BA101"/>
  <c r="AZ101"/>
  <c r="BD100"/>
  <c r="BC100"/>
  <c r="BB100"/>
  <c r="BA100"/>
  <c r="AZ100"/>
  <c r="BD95"/>
  <c r="BC95"/>
  <c r="BB95"/>
  <c r="BA95"/>
  <c r="AZ95"/>
  <c r="BD94"/>
  <c r="BC94"/>
  <c r="BB94"/>
  <c r="BA94"/>
  <c r="AZ94"/>
  <c r="BD93"/>
  <c r="BC93"/>
  <c r="BB93"/>
  <c r="BA93"/>
  <c r="AZ93"/>
  <c r="BD90"/>
  <c r="BC90"/>
  <c r="BB90"/>
  <c r="BA90"/>
  <c r="AZ90"/>
  <c r="BD89"/>
  <c r="BC89"/>
  <c r="BB89"/>
  <c r="BA89"/>
  <c r="AZ89"/>
  <c r="BD88"/>
  <c r="BC88"/>
  <c r="BB88"/>
  <c r="BA88"/>
  <c r="AZ88"/>
  <c r="BD87"/>
  <c r="BC87"/>
  <c r="BB87"/>
  <c r="BA87"/>
  <c r="AZ87"/>
  <c r="BD86"/>
  <c r="BC86"/>
  <c r="BB86"/>
  <c r="BA86"/>
  <c r="AZ86"/>
  <c r="BD85"/>
  <c r="BC85"/>
  <c r="BB85"/>
  <c r="BA85"/>
  <c r="AZ85"/>
  <c r="BD84"/>
  <c r="BC84"/>
  <c r="BB84"/>
  <c r="BA84"/>
  <c r="AZ84"/>
  <c r="BD83"/>
  <c r="BC83"/>
  <c r="BB83"/>
  <c r="BA83"/>
  <c r="AZ83"/>
  <c r="BD82"/>
  <c r="BC82"/>
  <c r="BB82"/>
  <c r="BA82"/>
  <c r="AZ82"/>
  <c r="BD81"/>
  <c r="BC81"/>
  <c r="BB81"/>
  <c r="BA81"/>
  <c r="AZ81"/>
  <c r="BD80"/>
  <c r="BC80"/>
  <c r="BB80"/>
  <c r="BA80"/>
  <c r="AZ80"/>
  <c r="BD79"/>
  <c r="BC79"/>
  <c r="BB79"/>
  <c r="BA79"/>
  <c r="AZ79"/>
  <c r="BD78"/>
  <c r="BC78"/>
  <c r="BB78"/>
  <c r="BA78"/>
  <c r="AZ78"/>
  <c r="BD77"/>
  <c r="BC77"/>
  <c r="BB77"/>
  <c r="BA77"/>
  <c r="AZ77"/>
  <c r="BD76"/>
  <c r="BC76"/>
  <c r="BB76"/>
  <c r="BA76"/>
  <c r="AZ76"/>
  <c r="BD75"/>
  <c r="BC75"/>
  <c r="BB75"/>
  <c r="BA75"/>
  <c r="AZ75"/>
  <c r="BD74"/>
  <c r="BC74"/>
  <c r="BB74"/>
  <c r="BA74"/>
  <c r="AZ74"/>
  <c r="BD71"/>
  <c r="BC71"/>
  <c r="BB71"/>
  <c r="BA71"/>
  <c r="AZ71"/>
  <c r="BD70"/>
  <c r="BC70"/>
  <c r="BB70"/>
  <c r="BA70"/>
  <c r="AZ70"/>
  <c r="BD69"/>
  <c r="BC69"/>
  <c r="BB69"/>
  <c r="BA69"/>
  <c r="AZ69"/>
  <c r="BD68"/>
  <c r="BC68"/>
  <c r="BB68"/>
  <c r="BA68"/>
  <c r="AZ68"/>
  <c r="BD67"/>
  <c r="BC67"/>
  <c r="BB67"/>
  <c r="BA67"/>
  <c r="AZ67"/>
  <c r="BD66"/>
  <c r="BC66"/>
  <c r="BB66"/>
  <c r="BA66"/>
  <c r="AZ66"/>
  <c r="BD65"/>
  <c r="BC65"/>
  <c r="BB65"/>
  <c r="BA65"/>
  <c r="AZ65"/>
  <c r="BD64"/>
  <c r="BC64"/>
  <c r="BB64"/>
  <c r="BA64"/>
  <c r="AZ64"/>
  <c r="BD63"/>
  <c r="BC63"/>
  <c r="BB63"/>
  <c r="BA63"/>
  <c r="AZ63"/>
  <c r="BD62"/>
  <c r="BC62"/>
  <c r="BB62"/>
  <c r="BA62"/>
  <c r="AZ62"/>
  <c r="BD61"/>
  <c r="BC61"/>
  <c r="BB61"/>
  <c r="BA61"/>
  <c r="AZ61"/>
  <c r="BD60"/>
  <c r="BC60"/>
  <c r="BB60"/>
  <c r="BA60"/>
  <c r="AZ60"/>
  <c r="BD59"/>
  <c r="BC59"/>
  <c r="BB59"/>
  <c r="BA59"/>
  <c r="AZ59"/>
  <c r="BD58"/>
  <c r="BC58"/>
  <c r="BB58"/>
  <c r="BA58"/>
  <c r="AZ58"/>
  <c r="BD57"/>
  <c r="BC57"/>
  <c r="BB57"/>
  <c r="BA57"/>
  <c r="AZ57"/>
  <c r="BD56"/>
  <c r="BC56"/>
  <c r="BB56"/>
  <c r="BA56"/>
  <c r="AZ56"/>
  <c r="BD55"/>
  <c r="BC55"/>
  <c r="BB55"/>
  <c r="BA55"/>
  <c r="AZ55"/>
  <c r="BD54"/>
  <c r="BC54"/>
  <c r="BB54"/>
  <c r="BA54"/>
  <c r="AZ54"/>
  <c r="BD53"/>
  <c r="BC53"/>
  <c r="BB53"/>
  <c r="BA53"/>
  <c r="AZ53"/>
  <c r="BD52"/>
  <c r="BC52"/>
  <c r="BB52"/>
  <c r="BA52"/>
  <c r="AZ52"/>
  <c r="BD51"/>
  <c r="BC51"/>
  <c r="BB51"/>
  <c r="BA51"/>
  <c r="AZ51"/>
  <c r="BD50"/>
  <c r="BC50"/>
  <c r="BB50"/>
  <c r="BA50"/>
  <c r="AZ50"/>
  <c r="BD49"/>
  <c r="BC49"/>
  <c r="BB49"/>
  <c r="BA49"/>
  <c r="AZ49"/>
  <c r="BD48"/>
  <c r="BC48"/>
  <c r="BB48"/>
  <c r="BA48"/>
  <c r="AZ48"/>
  <c r="BD47"/>
  <c r="BC47"/>
  <c r="BB47"/>
  <c r="BA47"/>
  <c r="AZ47"/>
  <c r="BD46"/>
  <c r="BC46"/>
  <c r="BB46"/>
  <c r="BA46"/>
  <c r="AZ46"/>
  <c r="BD45"/>
  <c r="BC45"/>
  <c r="BB45"/>
  <c r="BA45"/>
  <c r="AZ45"/>
  <c r="BD44"/>
  <c r="BC44"/>
  <c r="BB44"/>
  <c r="BA44"/>
  <c r="AZ44"/>
  <c r="BD43"/>
  <c r="BC43"/>
  <c r="BB43"/>
  <c r="BA43"/>
  <c r="AZ43"/>
  <c r="BD42"/>
  <c r="BC42"/>
  <c r="BB42"/>
  <c r="BA42"/>
  <c r="AZ42"/>
  <c r="BD41"/>
  <c r="BC41"/>
  <c r="BB41"/>
  <c r="BA41"/>
  <c r="AZ41"/>
  <c r="BD40"/>
  <c r="BC40"/>
  <c r="BB40"/>
  <c r="BA40"/>
  <c r="AZ40"/>
  <c r="BD39"/>
  <c r="BC39"/>
  <c r="BB39"/>
  <c r="BA39"/>
  <c r="AZ39"/>
  <c r="BD38"/>
  <c r="BC38"/>
  <c r="BB38"/>
  <c r="BA38"/>
  <c r="AZ38"/>
  <c r="BD37"/>
  <c r="BC37"/>
  <c r="BB37"/>
  <c r="BA37"/>
  <c r="AZ37"/>
  <c r="BD36"/>
  <c r="BC36"/>
  <c r="BB36"/>
  <c r="BA36"/>
  <c r="AZ36"/>
  <c r="BD35"/>
  <c r="BC35"/>
  <c r="BB35"/>
  <c r="BA35"/>
  <c r="AZ35"/>
  <c r="BD34"/>
  <c r="BC34"/>
  <c r="BB34"/>
  <c r="BA34"/>
  <c r="AZ34"/>
  <c r="BD33"/>
  <c r="BC33"/>
  <c r="BB33"/>
  <c r="BA33"/>
  <c r="AZ33"/>
  <c r="BD32"/>
  <c r="BC32"/>
  <c r="BB32"/>
  <c r="BA32"/>
  <c r="AZ32"/>
  <c r="BD31"/>
  <c r="BC31"/>
  <c r="BB31"/>
  <c r="BA31"/>
  <c r="AZ31"/>
  <c r="BD30"/>
  <c r="BC30"/>
  <c r="BB30"/>
  <c r="BA30"/>
  <c r="AZ30"/>
  <c r="BD29"/>
  <c r="BC29"/>
  <c r="BB29"/>
  <c r="BA29"/>
  <c r="AZ29"/>
  <c r="BD28"/>
  <c r="BC28"/>
  <c r="BB28"/>
  <c r="BA28"/>
  <c r="AZ28"/>
  <c r="BD27"/>
  <c r="BC27"/>
  <c r="BB27"/>
  <c r="BA27"/>
  <c r="AZ27"/>
  <c r="BD26"/>
  <c r="BC26"/>
  <c r="BB26"/>
  <c r="BA26"/>
  <c r="AZ26"/>
  <c r="BD25"/>
  <c r="BC25"/>
  <c r="BB25"/>
  <c r="BA25"/>
  <c r="AZ25"/>
  <c r="BD24"/>
  <c r="BC24"/>
  <c r="BB24"/>
  <c r="BA24"/>
  <c r="AZ24"/>
  <c r="DK23"/>
  <c r="DJ23"/>
  <c r="DI23"/>
  <c r="DH23"/>
  <c r="DG23"/>
  <c r="DF23"/>
  <c r="BD23"/>
  <c r="BC23"/>
  <c r="BB23"/>
  <c r="BA23"/>
  <c r="AZ23"/>
  <c r="DK22"/>
  <c r="DJ22"/>
  <c r="DI22"/>
  <c r="DH22"/>
  <c r="DG22"/>
  <c r="DF22"/>
  <c r="BD22"/>
  <c r="BC22"/>
  <c r="BB22"/>
  <c r="BA22"/>
  <c r="AZ22"/>
  <c r="DK21"/>
  <c r="DJ21"/>
  <c r="DI21"/>
  <c r="DH21"/>
  <c r="DG21"/>
  <c r="DF21"/>
  <c r="BD21"/>
  <c r="BC21"/>
  <c r="BB21"/>
  <c r="BA21"/>
  <c r="AZ21"/>
  <c r="DK20"/>
  <c r="DJ20"/>
  <c r="DI20"/>
  <c r="DH20"/>
  <c r="DG20"/>
  <c r="DF20"/>
  <c r="BD20"/>
  <c r="BC20"/>
  <c r="BB20"/>
  <c r="BA20"/>
  <c r="AZ20"/>
  <c r="DK19"/>
  <c r="DJ19"/>
  <c r="DI19"/>
  <c r="DH19"/>
  <c r="DG19"/>
  <c r="DF19"/>
  <c r="BD19"/>
  <c r="BC19"/>
  <c r="BB19"/>
  <c r="BA19"/>
  <c r="AZ19"/>
  <c r="DK18"/>
  <c r="DJ18"/>
  <c r="DI18"/>
  <c r="DH18"/>
  <c r="DG18"/>
  <c r="DF18"/>
  <c r="BD18"/>
  <c r="BC18"/>
  <c r="BB18"/>
  <c r="BA18"/>
  <c r="AZ18"/>
  <c r="DK17"/>
  <c r="DJ17"/>
  <c r="DI17"/>
  <c r="DH17"/>
  <c r="DG17"/>
  <c r="DF17"/>
  <c r="BD17"/>
  <c r="BC17"/>
  <c r="BB17"/>
  <c r="BA17"/>
  <c r="AZ17"/>
  <c r="DK16"/>
  <c r="DJ16"/>
  <c r="DI16"/>
  <c r="DH16"/>
  <c r="DG16"/>
  <c r="DF16"/>
  <c r="BD16"/>
  <c r="BC16"/>
  <c r="BB16"/>
  <c r="BA16"/>
  <c r="AZ16"/>
  <c r="DK15"/>
  <c r="DJ15"/>
  <c r="DI15"/>
  <c r="DH15"/>
  <c r="DG15"/>
  <c r="DF15"/>
  <c r="BD15"/>
  <c r="BC15"/>
  <c r="BB15"/>
  <c r="BA15"/>
  <c r="AZ15"/>
  <c r="DK14"/>
  <c r="DJ14"/>
  <c r="DI14"/>
  <c r="DH14"/>
  <c r="DG14"/>
  <c r="DF14"/>
  <c r="BD14"/>
  <c r="BC14"/>
  <c r="BB14"/>
  <c r="BA14"/>
  <c r="AZ14"/>
  <c r="DK13"/>
  <c r="DJ13"/>
  <c r="DI13"/>
  <c r="DH13"/>
  <c r="DG13"/>
  <c r="DF13"/>
  <c r="BD13"/>
  <c r="BC13"/>
  <c r="BB13"/>
  <c r="BA13"/>
  <c r="AZ13"/>
  <c r="DK12"/>
  <c r="DJ12"/>
  <c r="DI12"/>
  <c r="DH12"/>
  <c r="DG12"/>
  <c r="DF12"/>
  <c r="BD12"/>
  <c r="BC12"/>
  <c r="BB12"/>
  <c r="BA12"/>
  <c r="AZ12"/>
  <c r="DK11"/>
  <c r="DJ11"/>
  <c r="DI11"/>
  <c r="DH11"/>
  <c r="DG11"/>
  <c r="DF11"/>
  <c r="BD11"/>
  <c r="BC11"/>
  <c r="BB11"/>
  <c r="BA11"/>
  <c r="AZ11"/>
  <c r="DK10"/>
  <c r="DJ10"/>
  <c r="DI10"/>
  <c r="DH10"/>
  <c r="DG10"/>
  <c r="DF10"/>
  <c r="BD10"/>
  <c r="BC10"/>
  <c r="BB10"/>
  <c r="BA10"/>
  <c r="AZ10"/>
  <c r="DK9"/>
  <c r="DJ9"/>
  <c r="DI9"/>
  <c r="DH9"/>
  <c r="DG9"/>
  <c r="DF9"/>
  <c r="BD9"/>
  <c r="BC9"/>
  <c r="BB9"/>
  <c r="BA9"/>
  <c r="AZ9"/>
  <c r="DK8"/>
  <c r="DJ8"/>
  <c r="DI8"/>
  <c r="DH8"/>
  <c r="DG8"/>
  <c r="DF8"/>
  <c r="BD8"/>
  <c r="BC8"/>
  <c r="BB8"/>
  <c r="BA8"/>
  <c r="AZ8"/>
  <c r="DK7"/>
  <c r="DJ7"/>
  <c r="DI7"/>
  <c r="DH7"/>
  <c r="DG7"/>
  <c r="DF7"/>
  <c r="BD7"/>
  <c r="BC7"/>
  <c r="BB7"/>
  <c r="BA7"/>
  <c r="AZ7"/>
  <c r="DK6"/>
  <c r="DJ6"/>
  <c r="DI6"/>
  <c r="DH6"/>
  <c r="DG6"/>
  <c r="DF6"/>
  <c r="BD6"/>
  <c r="BC6"/>
  <c r="BB6"/>
  <c r="BA6"/>
  <c r="AZ6"/>
  <c r="DK5"/>
  <c r="DJ5"/>
  <c r="DI5"/>
  <c r="DH5"/>
  <c r="DG5"/>
  <c r="DF5"/>
  <c r="BD5"/>
  <c r="BC5"/>
  <c r="BB5"/>
  <c r="BA5"/>
  <c r="AZ5"/>
  <c r="DK4"/>
  <c r="DJ4"/>
  <c r="DI4"/>
  <c r="DH4"/>
  <c r="DG4"/>
  <c r="DF4"/>
  <c r="BD4"/>
  <c r="BC4"/>
  <c r="BB4"/>
  <c r="BA4"/>
  <c r="AZ4"/>
  <c r="DK3"/>
  <c r="DJ3"/>
  <c r="DI3"/>
  <c r="DH3"/>
  <c r="DG3"/>
  <c r="DF3"/>
  <c r="BD3"/>
  <c r="BC3"/>
  <c r="BB3"/>
  <c r="BA3"/>
  <c r="AZ3"/>
  <c r="DK2"/>
  <c r="DJ2"/>
  <c r="DI2"/>
  <c r="DH2"/>
  <c r="DG2"/>
  <c r="DF2"/>
  <c r="BD2"/>
  <c r="BC2"/>
  <c r="BB2"/>
  <c r="BA2"/>
  <c r="AZ2"/>
  <c r="R230" i="3"/>
  <c r="O230"/>
  <c r="L230"/>
  <c r="R229"/>
  <c r="O229"/>
  <c r="L229"/>
  <c r="R228"/>
  <c r="O228"/>
  <c r="L228"/>
  <c r="R227"/>
  <c r="O227"/>
  <c r="L227"/>
  <c r="R226"/>
  <c r="O226"/>
  <c r="R225"/>
  <c r="O225"/>
  <c r="L225"/>
  <c r="R224"/>
  <c r="O224"/>
  <c r="L224"/>
  <c r="R223"/>
  <c r="O223"/>
  <c r="L223"/>
  <c r="R222"/>
  <c r="O222"/>
  <c r="L222"/>
  <c r="R221"/>
  <c r="O221"/>
  <c r="EN11"/>
  <c r="DS11"/>
  <c r="DP11"/>
  <c r="CF11"/>
  <c r="BW11"/>
  <c r="BT11"/>
  <c r="BK11"/>
  <c r="BH11"/>
  <c r="AY11"/>
  <c r="AV11"/>
  <c r="AM11"/>
  <c r="AJ11"/>
  <c r="AA11"/>
  <c r="X11"/>
  <c r="R11"/>
  <c r="O11"/>
  <c r="L11"/>
  <c r="EQ10"/>
  <c r="EN10"/>
  <c r="DS10"/>
  <c r="DP10"/>
  <c r="CR10"/>
  <c r="CF10"/>
  <c r="BW10"/>
  <c r="BT10"/>
  <c r="BN10"/>
  <c r="BK10"/>
  <c r="BH10"/>
  <c r="BB10"/>
  <c r="AY10"/>
  <c r="AV10"/>
  <c r="AP10"/>
  <c r="AM10"/>
  <c r="AJ10"/>
  <c r="AA10"/>
  <c r="X10"/>
  <c r="R10"/>
  <c r="O10"/>
  <c r="L10"/>
  <c r="EQ9"/>
  <c r="EN9"/>
  <c r="DV9"/>
  <c r="DS9"/>
  <c r="DP9"/>
  <c r="CR9"/>
  <c r="CF9"/>
  <c r="BW9"/>
  <c r="BT9"/>
  <c r="BN9"/>
  <c r="BK9"/>
  <c r="BH9"/>
  <c r="BB9"/>
  <c r="AY9"/>
  <c r="AV9"/>
  <c r="AP9"/>
  <c r="AM9"/>
  <c r="AJ9"/>
  <c r="AD9"/>
  <c r="AA9"/>
  <c r="X9"/>
  <c r="R9"/>
  <c r="O9"/>
  <c r="L9"/>
  <c r="EQ8"/>
  <c r="EN8"/>
  <c r="EB8"/>
  <c r="DV8"/>
  <c r="DS8"/>
  <c r="DP8"/>
  <c r="DD8"/>
  <c r="CR8"/>
  <c r="CF8"/>
  <c r="BZ8"/>
  <c r="BW8"/>
  <c r="BT8"/>
  <c r="BN8"/>
  <c r="BK8"/>
  <c r="BH8"/>
  <c r="BB8"/>
  <c r="AY8"/>
  <c r="AV8"/>
  <c r="AP8"/>
  <c r="AM8"/>
  <c r="AJ8"/>
  <c r="AD8"/>
  <c r="AA8"/>
  <c r="X8"/>
  <c r="R8"/>
  <c r="O8"/>
  <c r="L8"/>
  <c r="BZ7"/>
  <c r="BW7"/>
  <c r="EN6"/>
  <c r="DS6"/>
  <c r="DP6"/>
  <c r="CF6"/>
  <c r="BW6"/>
  <c r="BT6"/>
  <c r="BK6"/>
  <c r="BH6"/>
  <c r="AY6"/>
  <c r="AV6"/>
  <c r="AM6"/>
  <c r="AJ6"/>
  <c r="AA6"/>
  <c r="X6"/>
  <c r="R6"/>
  <c r="O6"/>
  <c r="L6"/>
  <c r="EQ5"/>
  <c r="EN5"/>
  <c r="DS5"/>
  <c r="DP5"/>
  <c r="CR5"/>
  <c r="CF5"/>
  <c r="BW5"/>
  <c r="BT5"/>
  <c r="BN5"/>
  <c r="BK5"/>
  <c r="BH5"/>
  <c r="BB5"/>
  <c r="AY5"/>
  <c r="AV5"/>
  <c r="AP5"/>
  <c r="AM5"/>
  <c r="AJ5"/>
  <c r="AA5"/>
  <c r="X5"/>
  <c r="R5"/>
  <c r="O5"/>
  <c r="L5"/>
  <c r="EQ4"/>
  <c r="EN4"/>
  <c r="DV4"/>
  <c r="DS4"/>
  <c r="DP4"/>
  <c r="CR4"/>
  <c r="CF4"/>
  <c r="BW4"/>
  <c r="BT4"/>
  <c r="BN4"/>
  <c r="BK4"/>
  <c r="BH4"/>
  <c r="BB4"/>
  <c r="AY4"/>
  <c r="AV4"/>
  <c r="AP4"/>
  <c r="AM4"/>
  <c r="AJ4"/>
  <c r="AD4"/>
  <c r="AA4"/>
  <c r="X4"/>
  <c r="R4"/>
  <c r="O4"/>
  <c r="L4"/>
  <c r="EQ3"/>
  <c r="EN3"/>
  <c r="EB3"/>
  <c r="DV3"/>
  <c r="DS3"/>
  <c r="DP3"/>
  <c r="DD3"/>
  <c r="CR3"/>
  <c r="CF3"/>
  <c r="BZ3"/>
  <c r="BW3"/>
  <c r="BT3"/>
  <c r="BN3"/>
  <c r="BK3"/>
  <c r="BH3"/>
  <c r="BB3"/>
  <c r="AY3"/>
  <c r="AV3"/>
  <c r="AP3"/>
  <c r="AM3"/>
  <c r="AJ3"/>
  <c r="AD3"/>
  <c r="AA3"/>
  <c r="X3"/>
  <c r="R3"/>
  <c r="O3"/>
  <c r="L3"/>
  <c r="BZ2"/>
  <c r="BW2"/>
  <c r="J496" i="2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</calcChain>
</file>

<file path=xl/sharedStrings.xml><?xml version="1.0" encoding="utf-8"?>
<sst xmlns="http://schemas.openxmlformats.org/spreadsheetml/2006/main" count="35782" uniqueCount="5914">
  <si>
    <t>Frighten Animals</t>
    <phoneticPr fontId="6" type="noConversion"/>
  </si>
  <si>
    <t>Heal Animal Companion</t>
    <phoneticPr fontId="6" type="noConversion"/>
  </si>
  <si>
    <t>ED3 PL 72</t>
    <phoneticPr fontId="6" type="noConversion"/>
  </si>
  <si>
    <t>Toughness</t>
    <phoneticPr fontId="6" type="noConversion"/>
  </si>
  <si>
    <t>RBL-504 13</t>
    <phoneticPr fontId="6" type="noConversion"/>
  </si>
  <si>
    <t>Impressive Display</t>
    <phoneticPr fontId="6" type="noConversion"/>
  </si>
  <si>
    <t>ED4 PL 154</t>
    <phoneticPr fontId="6" type="noConversion"/>
  </si>
  <si>
    <t>Rank</t>
    <phoneticPr fontId="6" type="noConversion"/>
  </si>
  <si>
    <t>EDC 32</t>
    <phoneticPr fontId="6" type="noConversion"/>
  </si>
  <si>
    <t>Infuse Blade</t>
    <phoneticPr fontId="6" type="noConversion"/>
  </si>
  <si>
    <t>Inner Strength</t>
    <phoneticPr fontId="6" type="noConversion"/>
  </si>
  <si>
    <t>Iron Constitution</t>
    <phoneticPr fontId="6" type="noConversion"/>
  </si>
  <si>
    <t>Lightning Fist</t>
    <phoneticPr fontId="6" type="noConversion"/>
  </si>
  <si>
    <t>Mystic Pursuit</t>
    <phoneticPr fontId="6" type="noConversion"/>
  </si>
  <si>
    <t>ED2 104</t>
    <phoneticPr fontId="6" type="noConversion"/>
  </si>
  <si>
    <t>Pattern Strike</t>
    <phoneticPr fontId="6" type="noConversion"/>
  </si>
  <si>
    <t>MOL1 68</t>
    <phoneticPr fontId="6" type="noConversion"/>
  </si>
  <si>
    <t>Patterncraft</t>
    <phoneticPr fontId="6" type="noConversion"/>
  </si>
  <si>
    <t>ED4 PL 161</t>
    <phoneticPr fontId="6" type="noConversion"/>
  </si>
  <si>
    <t>Prevent Blow</t>
    <phoneticPr fontId="6" type="noConversion"/>
  </si>
  <si>
    <t>Banishing Ward</t>
    <phoneticPr fontId="6" type="noConversion"/>
  </si>
  <si>
    <t>MOL1 67</t>
    <phoneticPr fontId="6" type="noConversion"/>
  </si>
  <si>
    <t>Willpower</t>
    <phoneticPr fontId="6" type="noConversion"/>
  </si>
  <si>
    <t>No</t>
    <phoneticPr fontId="6" type="noConversion"/>
  </si>
  <si>
    <t>Yes</t>
    <phoneticPr fontId="6" type="noConversion"/>
  </si>
  <si>
    <t>Athletics</t>
    <phoneticPr fontId="6" type="noConversion"/>
  </si>
  <si>
    <t>CF 104</t>
    <phoneticPr fontId="6" type="noConversion"/>
  </si>
  <si>
    <t>Dexterity</t>
    <phoneticPr fontId="6" type="noConversion"/>
  </si>
  <si>
    <t>Awareness</t>
    <phoneticPr fontId="6" type="noConversion"/>
  </si>
  <si>
    <t>Dexterity</t>
    <phoneticPr fontId="6" type="noConversion"/>
  </si>
  <si>
    <t>Buzz</t>
    <phoneticPr fontId="6" type="noConversion"/>
  </si>
  <si>
    <t>NC 279</t>
    <phoneticPr fontId="6" type="noConversion"/>
  </si>
  <si>
    <t>Windling</t>
    <phoneticPr fontId="6" type="noConversion"/>
  </si>
  <si>
    <t>Bird Song</t>
    <phoneticPr fontId="6" type="noConversion"/>
  </si>
  <si>
    <t>ED3 PL 94</t>
    <phoneticPr fontId="6" type="noConversion"/>
  </si>
  <si>
    <t>Body Control</t>
    <phoneticPr fontId="6" type="noConversion"/>
  </si>
  <si>
    <t>ED2 121</t>
    <phoneticPr fontId="6" type="noConversion"/>
  </si>
  <si>
    <t>ED3 PLC 104</t>
    <phoneticPr fontId="6" type="noConversion"/>
  </si>
  <si>
    <t>Book Memory</t>
    <phoneticPr fontId="6" type="noConversion"/>
  </si>
  <si>
    <t>Danger Sense</t>
    <phoneticPr fontId="6" type="noConversion"/>
  </si>
  <si>
    <t>ED4 PL 137</t>
    <phoneticPr fontId="6" type="noConversion"/>
  </si>
  <si>
    <t>Breath of Fire</t>
    <phoneticPr fontId="6" type="noConversion"/>
  </si>
  <si>
    <t>Coin gives +1 bonus to any Questor of Chorrolis power for 2 strain, only work for Questors of Chorrolis</t>
  </si>
  <si>
    <t>NC 283</t>
  </si>
  <si>
    <t>Coins of Chorrolis</t>
  </si>
  <si>
    <t>+2 on one haggle test for 3 strain</t>
  </si>
  <si>
    <t>NC 284</t>
  </si>
  <si>
    <t>THE 165</t>
  </si>
  <si>
    <t>Enchanted Chamberpot</t>
  </si>
  <si>
    <t>No foul odors and no staining; still must be emptied and cleaned</t>
  </si>
  <si>
    <t>Keep wearer in contact with earth (even on airships).  Init -2 steps and Knockdown +4 steps; AKA Ground Boots.</t>
  </si>
  <si>
    <t>ED2 205</t>
  </si>
  <si>
    <t>THE pack weighs the same, no matter how much weight is put in it.  It can only hold its normal volume, however.</t>
  </si>
  <si>
    <t>ED2 206</t>
  </si>
  <si>
    <t>THE 166</t>
  </si>
  <si>
    <t>THE swordmaster increases the damage step of a specified weapon by 3.</t>
  </si>
  <si>
    <t>Ring of Debate</t>
  </si>
  <si>
    <t>+2 to any conversation test; use of such rings is considered a faux pas</t>
  </si>
  <si>
    <t>ED2 207</t>
  </si>
  <si>
    <t>Syrtis Medallion</t>
  </si>
  <si>
    <t>NOB 292</t>
  </si>
  <si>
    <t>+2 to a single interaction test, +3 on toughness tests to save life, such as life check (medallion falls to dust when used for this)</t>
  </si>
  <si>
    <t>THE wearer may create a tear at will that will give another one of the wearer's recovery tests.</t>
  </si>
  <si>
    <t>Locks a spell pattern into one of the adept's matrices for a year and a day. Damage cannot be healed until the duration elapses.</t>
  </si>
  <si>
    <t>Bag weighs as much as a thundra beast if picked up by anyone other than the owner, also known as THEft-Proof Pouch.</t>
  </si>
  <si>
    <t>Waterproof Parchment</t>
  </si>
  <si>
    <t>Water repellent, but can only be written on with enchanted ink</t>
  </si>
  <si>
    <t>ED3 PLC 72</t>
  </si>
  <si>
    <t>THE 167</t>
  </si>
  <si>
    <t>Forge Weapon</t>
    <phoneticPr fontId="6" type="noConversion"/>
  </si>
  <si>
    <t>ED3 PL 71</t>
    <phoneticPr fontId="6" type="noConversion"/>
  </si>
  <si>
    <t>Moon Ray +12 Range 80 Yards, Stores 12 Moon Points Step 5, Spend 1 Moon Point onf Damage, Store 3 Absorbed Spells, Stores 6 Extra Books, Defend against non-percieved attacks, Cast any: Moonglow, Resist Cold, Reist Fire, Air Armor, Lightning Shield, Hunter</t>
  </si>
  <si>
    <t>Moon Ray +13 Range 80 Yards, Stores 13 Moon Points Step 5, Spend 1 Moon Point onf Damage, Store 3 Absorbed Spells, Stores 9 Extra Books, Defend against non-percieved attacks, Cast any: Moonglow, Resist Cold, Reist Fire, Air Armor, Lightning Shield, Hunter</t>
  </si>
  <si>
    <t>RBL-504 14</t>
    <phoneticPr fontId="6" type="noConversion"/>
  </si>
  <si>
    <t>Resist Taunt</t>
    <phoneticPr fontId="6" type="noConversion"/>
  </si>
  <si>
    <t>NC 269</t>
    <phoneticPr fontId="6" type="noConversion"/>
  </si>
  <si>
    <t>ED2 105</t>
    <phoneticPr fontId="6" type="noConversion"/>
  </si>
  <si>
    <t>Seduction</t>
    <phoneticPr fontId="6" type="noConversion"/>
  </si>
  <si>
    <t>Shield Bash</t>
    <phoneticPr fontId="6" type="noConversion"/>
  </si>
  <si>
    <t>Tes</t>
  </si>
  <si>
    <t>Snap Kick</t>
    <phoneticPr fontId="6" type="noConversion"/>
  </si>
  <si>
    <t>Stealthy Stride</t>
    <phoneticPr fontId="6" type="noConversion"/>
  </si>
  <si>
    <t>Suppress Curse</t>
    <phoneticPr fontId="6" type="noConversion"/>
  </si>
  <si>
    <t>EDPLCL 240</t>
    <phoneticPr fontId="6" type="noConversion"/>
  </si>
  <si>
    <t>Command Nightflyer</t>
    <phoneticPr fontId="6" type="noConversion"/>
  </si>
  <si>
    <t>ED4 PL 135</t>
    <phoneticPr fontId="6" type="noConversion"/>
  </si>
  <si>
    <t>Willpower</t>
    <phoneticPr fontId="6" type="noConversion"/>
  </si>
  <si>
    <t>Forge Armor</t>
    <phoneticPr fontId="6" type="noConversion"/>
  </si>
  <si>
    <t>Perception</t>
    <phoneticPr fontId="6" type="noConversion"/>
  </si>
  <si>
    <t>RBL-504 13</t>
    <phoneticPr fontId="6" type="noConversion"/>
  </si>
  <si>
    <t>Impressive Display</t>
    <phoneticPr fontId="6" type="noConversion"/>
  </si>
  <si>
    <t>ED4 PL 154</t>
    <phoneticPr fontId="6" type="noConversion"/>
  </si>
  <si>
    <t>Rank</t>
    <phoneticPr fontId="6" type="noConversion"/>
  </si>
  <si>
    <t>Impressive Strike</t>
    <phoneticPr fontId="6" type="noConversion"/>
  </si>
  <si>
    <t>EDPLCL 242</t>
    <phoneticPr fontId="6" type="noConversion"/>
  </si>
  <si>
    <t>Intimidation</t>
    <phoneticPr fontId="6" type="noConversion"/>
  </si>
  <si>
    <t>Charisma</t>
    <phoneticPr fontId="6" type="noConversion"/>
  </si>
  <si>
    <t>Danger Sense</t>
    <phoneticPr fontId="6" type="noConversion"/>
  </si>
  <si>
    <t>ED4 PL 137</t>
    <phoneticPr fontId="6" type="noConversion"/>
  </si>
  <si>
    <t>Knowledge Skills</t>
  </si>
  <si>
    <t>Leadership</t>
    <phoneticPr fontId="6" type="noConversion"/>
  </si>
  <si>
    <t>ED4 PL 156</t>
    <phoneticPr fontId="6" type="noConversion"/>
  </si>
  <si>
    <t>EDPLCL 243</t>
    <phoneticPr fontId="6" type="noConversion"/>
  </si>
  <si>
    <t>NC 263</t>
    <phoneticPr fontId="6" type="noConversion"/>
  </si>
  <si>
    <t>ED2 124</t>
    <phoneticPr fontId="6" type="noConversion"/>
  </si>
  <si>
    <t>Dispel Magic</t>
    <phoneticPr fontId="6" type="noConversion"/>
  </si>
  <si>
    <t>ED4 PL 139</t>
    <phoneticPr fontId="6" type="noConversion"/>
  </si>
  <si>
    <t>RBL-504 12</t>
    <phoneticPr fontId="6" type="noConversion"/>
  </si>
  <si>
    <t>EDPLCL 245</t>
    <phoneticPr fontId="6" type="noConversion"/>
  </si>
  <si>
    <t>TE 170</t>
    <phoneticPr fontId="6" type="noConversion"/>
  </si>
  <si>
    <t>Shield Bash</t>
    <phoneticPr fontId="6" type="noConversion"/>
  </si>
  <si>
    <t>Strength</t>
    <phoneticPr fontId="6" type="noConversion"/>
  </si>
  <si>
    <t>Shepherd's Crook</t>
  </si>
  <si>
    <t>Shepherd's Crook (Metal)</t>
  </si>
  <si>
    <t>Spear, Long</t>
  </si>
  <si>
    <t>Wrist Blade</t>
  </si>
  <si>
    <t>Whip of Dis</t>
  </si>
  <si>
    <t>Windclaw</t>
  </si>
  <si>
    <t>NOB 315</t>
  </si>
  <si>
    <t>Windrazor</t>
  </si>
  <si>
    <t>Shocksword power: 1 strain to add Step 3 electric damage per round; non metal armor protects</t>
  </si>
  <si>
    <t>Blood Pool Sand</t>
  </si>
  <si>
    <t>NOB 291</t>
  </si>
  <si>
    <t>Uncommon</t>
  </si>
  <si>
    <t>Protects sleeper's dreams, +4 vs attempts to alter dreams</t>
  </si>
  <si>
    <t>ED2 204</t>
  </si>
  <si>
    <t>Chorrolis' Interest</t>
  </si>
  <si>
    <t>Rare</t>
  </si>
  <si>
    <t>No</t>
    <phoneticPr fontId="6" type="noConversion"/>
  </si>
  <si>
    <t>Yes</t>
    <phoneticPr fontId="6" type="noConversion"/>
  </si>
  <si>
    <t>Banish</t>
    <phoneticPr fontId="6" type="noConversion"/>
  </si>
  <si>
    <t>ED4 PL 130</t>
    <phoneticPr fontId="6" type="noConversion"/>
  </si>
  <si>
    <t>Willpower</t>
    <phoneticPr fontId="6" type="noConversion"/>
  </si>
  <si>
    <t>Strength</t>
    <phoneticPr fontId="6" type="noConversion"/>
  </si>
  <si>
    <t>Artisan Skill, Writing</t>
    <phoneticPr fontId="6" type="noConversion"/>
  </si>
  <si>
    <t>Awareness</t>
    <phoneticPr fontId="6" type="noConversion"/>
  </si>
  <si>
    <t>Perception</t>
    <phoneticPr fontId="6" type="noConversion"/>
  </si>
  <si>
    <t>Moon Ray +5 Range 60 Yards, Stores 5 Moon Points Step 4, Store 1 Absorbed Spell, Stores 3 Extra Books, Cast any: Moonglow, Resist Cold, Reist Fire, Air Armor, Lightning Shield, Hunter's Sense</t>
  </si>
  <si>
    <t>Moon Ray +6 Range 60 Yards, Stores 6 Moon Points Step 4, Spend 1 Moon Point onf Damage, Store 2 Absorbed Spells, Stores 3 Extra Books, Cast any: Moonglow, Resist Cold, Reist Fire, Air Armor, Lightning Shield, Hunter's Sense</t>
  </si>
  <si>
    <t>ED3 PL 64</t>
  </si>
  <si>
    <t>Control Self</t>
  </si>
  <si>
    <t>NC 263</t>
  </si>
  <si>
    <t>ED3 PL 66</t>
  </si>
  <si>
    <t>ED2 94</t>
  </si>
  <si>
    <t>ED3 PL 69</t>
  </si>
  <si>
    <t>MOL1 67</t>
    <phoneticPr fontId="6" type="noConversion"/>
  </si>
  <si>
    <t>NC 261</t>
    <phoneticPr fontId="6" type="noConversion"/>
  </si>
  <si>
    <t>Call Missile</t>
    <phoneticPr fontId="6" type="noConversion"/>
  </si>
  <si>
    <t>ED3 PL 63</t>
    <phoneticPr fontId="6" type="noConversion"/>
  </si>
  <si>
    <t>NO</t>
    <phoneticPr fontId="6" type="noConversion"/>
  </si>
  <si>
    <t>Dive Attack</t>
    <phoneticPr fontId="6" type="noConversion"/>
  </si>
  <si>
    <t>Strength</t>
    <phoneticPr fontId="6" type="noConversion"/>
  </si>
  <si>
    <t>No</t>
    <phoneticPr fontId="6" type="noConversion"/>
  </si>
  <si>
    <t>Windling</t>
    <phoneticPr fontId="6" type="noConversion"/>
  </si>
  <si>
    <t>NC 262</t>
    <phoneticPr fontId="6" type="noConversion"/>
  </si>
  <si>
    <t>Clever Hands</t>
    <phoneticPr fontId="6" type="noConversion"/>
  </si>
  <si>
    <t>MOL1 67</t>
    <phoneticPr fontId="6" type="noConversion"/>
  </si>
  <si>
    <t>Dexterity</t>
    <phoneticPr fontId="6" type="noConversion"/>
  </si>
  <si>
    <t>Yes</t>
    <phoneticPr fontId="6" type="noConversion"/>
  </si>
  <si>
    <t>No</t>
    <phoneticPr fontId="6" type="noConversion"/>
  </si>
  <si>
    <t>Fast Grab</t>
    <phoneticPr fontId="6" type="noConversion"/>
  </si>
  <si>
    <t>ED4 PL 129</t>
  </si>
  <si>
    <t>ED3 PL 93</t>
  </si>
  <si>
    <t>NC 279</t>
  </si>
  <si>
    <t>ED3 PL 95</t>
  </si>
  <si>
    <t>ED3 PL 96</t>
  </si>
  <si>
    <t>ED 131</t>
  </si>
  <si>
    <t>ED4 PL 154</t>
  </si>
  <si>
    <t>Kratas 225</t>
  </si>
  <si>
    <t>ED 125</t>
  </si>
  <si>
    <t>ED3 PL</t>
  </si>
  <si>
    <t>Read &amp; Write Magic</t>
  </si>
  <si>
    <t>ED4 PL 166</t>
  </si>
  <si>
    <t>ED4 PL</t>
  </si>
  <si>
    <t>ED 133</t>
  </si>
  <si>
    <t>ED4 PL 170</t>
  </si>
  <si>
    <t>ED 134</t>
  </si>
  <si>
    <t>ED3 PL 60</t>
  </si>
  <si>
    <t>EDPLCL 171</t>
  </si>
  <si>
    <t>Rank ID</t>
    <phoneticPr fontId="6" type="noConversion"/>
  </si>
  <si>
    <t>Step Number</t>
  </si>
  <si>
    <t>ED4 PL 124</t>
    <phoneticPr fontId="6" type="noConversion"/>
  </si>
  <si>
    <t>No</t>
    <phoneticPr fontId="6" type="noConversion"/>
  </si>
  <si>
    <t>Yes</t>
    <phoneticPr fontId="6" type="noConversion"/>
  </si>
  <si>
    <t>D1 113</t>
    <phoneticPr fontId="6" type="noConversion"/>
  </si>
  <si>
    <t>EDPLCL 234</t>
    <phoneticPr fontId="6" type="noConversion"/>
  </si>
  <si>
    <t>Perception</t>
    <phoneticPr fontId="6" type="noConversion"/>
  </si>
  <si>
    <t>Artisan Skill, Baking</t>
    <phoneticPr fontId="6" type="noConversion"/>
  </si>
  <si>
    <t>ED4 PL 193</t>
    <phoneticPr fontId="6" type="noConversion"/>
  </si>
  <si>
    <t>Artisan Skill, Body Painting</t>
    <phoneticPr fontId="6" type="noConversion"/>
  </si>
  <si>
    <t>Suppress Influence</t>
    <phoneticPr fontId="6" type="noConversion"/>
  </si>
  <si>
    <t>Swimming</t>
    <phoneticPr fontId="6" type="noConversion"/>
  </si>
  <si>
    <t>Varies</t>
    <phoneticPr fontId="6" type="noConversion"/>
  </si>
  <si>
    <t>Tail Dance</t>
    <phoneticPr fontId="6" type="noConversion"/>
  </si>
  <si>
    <t>Tenacious Weave</t>
    <phoneticPr fontId="6" type="noConversion"/>
  </si>
  <si>
    <t>NA</t>
    <phoneticPr fontId="6" type="noConversion"/>
  </si>
  <si>
    <t>Unshakable Air</t>
    <phoneticPr fontId="6" type="noConversion"/>
  </si>
  <si>
    <t>ED4 PL 178</t>
    <phoneticPr fontId="6" type="noConversion"/>
  </si>
  <si>
    <t>Zone of Will</t>
    <phoneticPr fontId="6" type="noConversion"/>
  </si>
  <si>
    <t>Tail Dance</t>
    <phoneticPr fontId="6" type="noConversion"/>
  </si>
  <si>
    <t>NC 280</t>
    <phoneticPr fontId="6" type="noConversion"/>
  </si>
  <si>
    <t>Mp</t>
    <phoneticPr fontId="6" type="noConversion"/>
  </si>
  <si>
    <t>Enhance Animal Companion</t>
    <phoneticPr fontId="6" type="noConversion"/>
  </si>
  <si>
    <t>ED4 PL 143</t>
    <phoneticPr fontId="6" type="noConversion"/>
  </si>
  <si>
    <t>ED2 129</t>
    <phoneticPr fontId="6" type="noConversion"/>
  </si>
  <si>
    <t>Flirting</t>
    <phoneticPr fontId="6" type="noConversion"/>
  </si>
  <si>
    <t>Kratas 225</t>
    <phoneticPr fontId="6" type="noConversion"/>
  </si>
  <si>
    <t>Charisma</t>
    <phoneticPr fontId="6" type="noConversion"/>
  </si>
  <si>
    <t>Fool's Gold</t>
    <phoneticPr fontId="6" type="noConversion"/>
  </si>
  <si>
    <t>Moon Ray +7 Range 80 Yards, Stores 7 Moon Points Step 4, Spend 1 Moon Point onf Damage, Store 1 Absorbed Spell, Stores 3 Extra Books</t>
  </si>
  <si>
    <t>Moon Ray +8 Range 80 Yards, Stores 8 Moon Points Step 4, Spend 1 Moon Point onf Damage, Store 2 Absorbed Spells, Stores 3 Extra Books</t>
  </si>
  <si>
    <t xml:space="preserve">Moon Ray +15 Range 100 Yards, Stores 15 Moon Points Step 6, Spend 1 Moon Point onf Damage, Store 3 Absorbed Spells, Stores 9 Extra Books, Defend against non-percieved attacks, use Moon Points instead of Karma, Cast any: Moonglow, Resist Cold, Reist Fire, </t>
  </si>
  <si>
    <t>ED3 GM 139</t>
  </si>
  <si>
    <t>S1RT 29</t>
  </si>
  <si>
    <t>Sallamereath's Vengeance (TriSpear)</t>
  </si>
  <si>
    <t>BOT3 28</t>
  </si>
  <si>
    <t>Moon Ray +14 Range 100 Yards, Stores 14 Moon Points Step 6, Spend 1 Moon Point onf Damage, Store 3 Absorbed Spells, Stores 9 Extra Books, Defend against non-percieved attacks, Cast any: Moonglow, Resist Cold, Reist Fire, Air Armor, Lightning Shield, Hunte</t>
  </si>
  <si>
    <t>ED4 PL 159</t>
  </si>
  <si>
    <t>ED3 PL 76</t>
  </si>
  <si>
    <t>ED3 PL 113</t>
  </si>
  <si>
    <t>ED2 109</t>
  </si>
  <si>
    <t>ED4 PL 171</t>
  </si>
  <si>
    <t>NC 270</t>
  </si>
  <si>
    <t>ED4 PL 173</t>
  </si>
  <si>
    <t>ED3 PLC 116</t>
  </si>
  <si>
    <t>Waterfall Slam</t>
  </si>
  <si>
    <t>ED3 PL 116</t>
  </si>
  <si>
    <t>+3 damage vs horrors/constructs, armor defeating on Good success, light power</t>
  </si>
  <si>
    <t>+3 damage vs horrors/constructs, armor defeating on Good success, second attack, light power, +1 recovery test/day, see text</t>
  </si>
  <si>
    <t>+1 phys def, +2 armor, +12 to horrorssee text</t>
  </si>
  <si>
    <t>The TriSpear T'kree Shustal</t>
  </si>
  <si>
    <t>Acrobatic Defense</t>
  </si>
  <si>
    <t>?</t>
  </si>
  <si>
    <t>ED3 PL 91</t>
  </si>
  <si>
    <t>ED 128</t>
  </si>
  <si>
    <t>ED 129</t>
  </si>
  <si>
    <t>EDPLCL 236</t>
  </si>
  <si>
    <t>ED2</t>
  </si>
  <si>
    <t>Moon Ray +14 Range 100 Yards, Stores 14 Moon Points Step 6, Spend 1 Moon Point onf Damage, Store 3 Absorbed Spells, Stores 9 Extra Books, Defend against non-percieved attacks</t>
  </si>
  <si>
    <t>Earth Bond</t>
    <phoneticPr fontId="6" type="noConversion"/>
  </si>
  <si>
    <t>Toughness</t>
    <phoneticPr fontId="6" type="noConversion"/>
  </si>
  <si>
    <t>Obsidimen only</t>
    <phoneticPr fontId="6" type="noConversion"/>
  </si>
  <si>
    <t>ED3 PL 102</t>
    <phoneticPr fontId="6" type="noConversion"/>
  </si>
  <si>
    <t>EDC2 32</t>
    <phoneticPr fontId="6" type="noConversion"/>
  </si>
  <si>
    <t>Snap Kick</t>
    <phoneticPr fontId="6" type="noConversion"/>
  </si>
  <si>
    <t>MOL1 68</t>
    <phoneticPr fontId="6" type="noConversion"/>
  </si>
  <si>
    <t>ED2 128</t>
    <phoneticPr fontId="6" type="noConversion"/>
  </si>
  <si>
    <t>Stealthy Stride</t>
    <phoneticPr fontId="6" type="noConversion"/>
  </si>
  <si>
    <t>ED4 PL 170</t>
    <phoneticPr fontId="6" type="noConversion"/>
  </si>
  <si>
    <t>D1 123</t>
    <phoneticPr fontId="6" type="noConversion"/>
  </si>
  <si>
    <t>Astral Interference</t>
    <phoneticPr fontId="6" type="noConversion"/>
  </si>
  <si>
    <t>ED4 PL 129</t>
    <phoneticPr fontId="6" type="noConversion"/>
  </si>
  <si>
    <t>Willpower</t>
    <phoneticPr fontId="6" type="noConversion"/>
  </si>
  <si>
    <t>Astral Web</t>
    <phoneticPr fontId="6" type="noConversion"/>
  </si>
  <si>
    <t>Moon Ray +4 Range 60 Yards, Stores 4 Moon Points Step 4, Store 1 Absorbed Spell, Cast any: Moonglow, Resist Cold, Reist Fire</t>
  </si>
  <si>
    <t>Moon Ray +12 Range 100 Yards +12 Dmg, Stores 12 Moon Points Step 5, Spend 1 Moon Point on Damage, Store 3 Absorbed Spells, Stores 6 Extra Books, Defend against non-percieved attacks, +2 to Evidence Analysis, +2 Phys Def, Searing Orb +6 Dmg, +2 Block Spell</t>
  </si>
  <si>
    <t>Moon Ray +7 Range 80 Yards, Stores 7 Moon Points Step 4, Spend 1 Moon Point onf Damage, Store 2 Absorbed Spells, Stores 3 Extra Books, Cast any: Moonglow, Resist Cold, Reist Fire, Air Armor, Lightning Shield, Hunter's Sense</t>
  </si>
  <si>
    <t>ED3 PL 71</t>
  </si>
  <si>
    <t>ED2 98</t>
  </si>
  <si>
    <t>ED3 PLC 108</t>
  </si>
  <si>
    <t>ED2 102</t>
  </si>
  <si>
    <t>ED3 PL 75</t>
  </si>
  <si>
    <t>Moon Ray +9 Range 80 Yards, Stores 9 Moon Points Step 4, Spend 1 Moon Point onf Damage, Store 2 Absorbed Spells, Stores 6 Extra Books, Cast any: Moonglow, Resist Cold, Reist Fire, Air Armor, Lightning Shield, Hunter's Sense</t>
  </si>
  <si>
    <t>Moon Ray +10 Range 80 Yards, Stores 10 Moon Points Step 5, Spend 1 Moon Point onf Damage, Store 2 Absorbed Spells, Stores 6 Extra Books, Cast any: Moonglow, Resist Cold, Reist Fire, Air Armor, Lightning Shield, Hunter's Sense</t>
  </si>
  <si>
    <t>fire based creatures take -5 steps damage</t>
  </si>
  <si>
    <t>+2 phys def &amp; +2 spell def vs fire based, no penalty to fire based damage</t>
  </si>
  <si>
    <t>Ice Blade of Omifan (Dagger)</t>
  </si>
  <si>
    <t>13 vs horrors &amp; constructs</t>
  </si>
  <si>
    <t>14 vs horrors &amp; constructs</t>
  </si>
  <si>
    <t>15 vs horrors &amp; constructs</t>
  </si>
  <si>
    <t>16 vs horrors &amp; constructs</t>
  </si>
  <si>
    <t>Moon Staff</t>
  </si>
  <si>
    <t>Cathay PL 63</t>
  </si>
  <si>
    <t>Moon Ray +2, Stores 3 Moon Points Step 4, Store 1 Absorbed Spell</t>
  </si>
  <si>
    <t>ED2 130</t>
    <phoneticPr fontId="6" type="noConversion"/>
  </si>
  <si>
    <t>RBL-504 12</t>
    <phoneticPr fontId="6" type="noConversion"/>
  </si>
  <si>
    <t>Arcane Mutterings</t>
    <phoneticPr fontId="6" type="noConversion"/>
  </si>
  <si>
    <t>ED2 120</t>
    <phoneticPr fontId="6" type="noConversion"/>
  </si>
  <si>
    <t>NC 260</t>
    <phoneticPr fontId="6" type="noConversion"/>
  </si>
  <si>
    <t>Artisan Skill, Painting</t>
    <phoneticPr fontId="6" type="noConversion"/>
  </si>
  <si>
    <t>ED 135</t>
    <phoneticPr fontId="6" type="noConversion"/>
  </si>
  <si>
    <t>Moon Ray +11 Range 80 Yards, Stores 11 Moon Points Step 5, Spend 1 Moon Point onf Damage, Store 2 Absorbed Spells, Stores 6 Extra Books, Defend against non-percieved attacks, Cast any: Moonglow, Resist Cold, Reist Fire, Air Armor, Lightning Shield, Hunter</t>
  </si>
  <si>
    <t>Moon Ray +6 Range 60 Yards, Stores 6 Moon Points Step 4, Spend 1 Moon Point onf Damage, Store 1 Absorbed Spell, Stores 3 Extra Books</t>
  </si>
  <si>
    <t>Moon Ray +1, Stores 3 Moon Points Step 4, Store 1 Absorbed Spell</t>
  </si>
  <si>
    <t>Moon Ray +2 Range 60 Yards, Stores 3 Moon Points Step 4, Store 1 Absorbed Spell</t>
  </si>
  <si>
    <t>Moon Ray +3 Range 60 Yards, Stores 3 Moon Points Step 4, Store 1 Absorbed Spell, +2 to Evidence Analysis</t>
  </si>
  <si>
    <t>Moon Ray +9 Range 80 Yards, Stores 9 Moon Points Step 4, Spend 1 Moon Point onf Damage, Store 2 Absorbed Spells, Stores 6 Extra Books</t>
  </si>
  <si>
    <t>Moon Ray +10 Range 80 Yards, Stores 10 Moon Points Step 5, Spend 1 Moon Point onf Damage, Store 2 Absorbed Spells, Stores 6 Extra Books</t>
  </si>
  <si>
    <t>The Rainbow Blade (Dwarf Sword)</t>
  </si>
  <si>
    <t>S1RT 30</t>
  </si>
  <si>
    <t>+1 damage vs horrors/constructs, light power</t>
  </si>
  <si>
    <t>Moon Ray +12 Range 80 Yards, Stores 12 Moon Points Step 5, Spend 1 Moon Point onf Damage, Store 3 Absorbed Spells, Stores 6 Extra Books, Defend against non-percieved attacks</t>
  </si>
  <si>
    <t>Moon Ray +13 Range 80 Yards, Stores 13 Moon Points Step 5, Spend 1 Moon Point onf Damage, Store 3 Absorbed Spells, Stores 9 Extra Books, Defend against non-percieved attacks</t>
  </si>
  <si>
    <t>Moon Ray +8 Range 80 Yards, Stores 8 Moon Points Step 4, Spend 1 Moon Point on Damage, Store 2 Absorbed Spells, Stores 3 Extra Books, +2 to Evidence Analysis, +2 Phys Def, Searing Orb, +2 Block Spell</t>
  </si>
  <si>
    <t>Moon Ray +9 Range 100 Yards, Stores 9 Moon Points Step 4, Spend 1 Moon Point on Damage, Store 2 Absorbed Spells, Stores 6 Extra Books, +2 to Evidence Analysis, +2 Phys Def, Searing Orb, +2 Block Spell</t>
  </si>
  <si>
    <t>Moon Ray +15 Range 100 Yards, Stores 15 Moon Points Step 6, Spend 1 Moon Point onf Damage, Store 3 Absorbed Spells, Stores 9 Extra Books, Defend against non-percieved attacks, use Moon Points instead of Karma</t>
  </si>
  <si>
    <t>ED3 GMC 56</t>
  </si>
  <si>
    <t>Moon Ray +3 Range 60 Yards, Stores 3 Moon Points Step 4, Store 1 Absorbed Spell, Cast any: Moonglow, Resist Cold, Reist Fire</t>
  </si>
  <si>
    <t>Moon Ray +11 Range 100 Yards +11 Dmg, Stores 11 Moon Points Step 5, Spend 1 Moon Point on Damage, Store 2 Absorbed Spells, Stores 6 Extra Books, Defend against non-percieved attacks, +2 to Evidence Analysis, +2 Phys Def, Searing Orb +6 Dmg, +2 Block Spell</t>
  </si>
  <si>
    <t>+2 Spellcasting &amp; Effect vs Astral Targets</t>
  </si>
  <si>
    <t>And Then I Woke Up</t>
  </si>
  <si>
    <t>Aspect of the Bone Spirit</t>
  </si>
  <si>
    <t>Moon Ray +13 Range 100 Yards +13 Dmg, Stores 13 Moon Points Step 5, Spend 1 Moon Point on Damage, Store 3 Absorbed Spells, Stores 9 Extra Books, Defend against non-percieved attacks, +2 to Evidence Analysis, +2 Phys Def, Searing Orb +6 Dmg, +2 Block Spell</t>
  </si>
  <si>
    <t>Moon Ray +8 Range 80 Yards, Stores 8 Moon Points Step 4, Spend 1 Moon Point onf Damage, Store 2 Absorbed Spells, Stores 3 Extra Books, Cast any: Moonglow, Resist Cold, Reist Fire, Air Armor, Lightning Shield, Hunter's Sense</t>
  </si>
  <si>
    <t xml:space="preserve">Moon Ray +15 Range 100 Yards +15 Dmg, Stores 15 Moon Points Step 6, Spend 1 Moon Point on Damage, Store 3 Absorbed Spells, Stores 9 Extra Books, Defend against non-percieved attacks, use Moon Points instead of Karma, +2 to Evidence Analysis, +2 Phys Def, </t>
  </si>
  <si>
    <t>BAR GM 51</t>
  </si>
  <si>
    <t>fire based creatures take -2 steps damage</t>
  </si>
  <si>
    <t>fire based creatures take -3 steps damage</t>
  </si>
  <si>
    <t>Switches location and appearance of Illusionist and target</t>
  </si>
  <si>
    <t>Aspect of the Casual Murderer</t>
  </si>
  <si>
    <t>+5 Attack and Damage to disadvantaged targets</t>
  </si>
  <si>
    <t>Hypervelocity</t>
  </si>
  <si>
    <t>Troll Quarterstaff</t>
  </si>
  <si>
    <t>Troll Saber</t>
  </si>
  <si>
    <t>Troll Spear</t>
  </si>
  <si>
    <t>Troll Spiked Mace</t>
  </si>
  <si>
    <t>Troll Trispear</t>
  </si>
  <si>
    <t>Troll Two-Handed Sword</t>
  </si>
  <si>
    <t>Troll Warhammer</t>
  </si>
  <si>
    <t>Two-handed Sword</t>
  </si>
  <si>
    <t>Warhammer</t>
  </si>
  <si>
    <t>Warhammer (cui)</t>
  </si>
  <si>
    <t>Warrior's Scarf</t>
  </si>
  <si>
    <t>Whip</t>
  </si>
  <si>
    <t>Whip (mah pai)</t>
  </si>
  <si>
    <t>Moon Ray +3 Range 60 Yards, Stores 3 Moon Points Step 4, Store 1 Absorbed Spell</t>
  </si>
  <si>
    <t>Moon Ray +4 Range 60 Yards, Stores 4 Moon Points Step 4, Store 1 Absorbed Spell</t>
  </si>
  <si>
    <t>Moon Ray +5 Range 60 Yards, Stores 5 Moon Points Step 4, Store 1 Absorbed Spell, Stores 3 Extra Books</t>
  </si>
  <si>
    <t>Windling Sword</t>
  </si>
  <si>
    <t>Wrist Carvers</t>
  </si>
  <si>
    <t>Dew of the Lotus Sword (ki'hi jian)</t>
  </si>
  <si>
    <t>Jih'Po Dart (shuriken)</t>
  </si>
  <si>
    <t>Mountain's Webbing</t>
  </si>
  <si>
    <t>Double-Headed Serpent Spear (shuang tou qiang)</t>
  </si>
  <si>
    <t>Knife</t>
  </si>
  <si>
    <t>Target gets thorns and immune to wound penalties</t>
  </si>
  <si>
    <t>Astral Catastrophe</t>
  </si>
  <si>
    <t>Mantle of the Lighning Vanguard</t>
  </si>
  <si>
    <t>Target gains flight/speed</t>
  </si>
  <si>
    <t>Vital Springs</t>
  </si>
  <si>
    <t>Heals all allies in area of effect</t>
  </si>
  <si>
    <t>Mantle of the Reflecting Pool</t>
  </si>
  <si>
    <t>Grant insight into a target</t>
  </si>
  <si>
    <t>GM2E 9</t>
  </si>
  <si>
    <t>ED3 GMC 53</t>
  </si>
  <si>
    <t>Shortbow</t>
  </si>
  <si>
    <t>Weaponsmith Spells (Use Elementalist Spells)</t>
    <phoneticPr fontId="6" type="noConversion"/>
  </si>
  <si>
    <t>Moon Ray +4 Range 60 Yards, Stores 4 Moon Points Step 4, Store 1 Absorbed Spell, +2 to Evidence Analysis</t>
  </si>
  <si>
    <t>Moon Ray +5 Range 80 Yards, Stores 5 Moon Points Step 4, Store 1 Absorbed Spell, Stores 6 Extra Books, +2 to Evidence Analysis</t>
  </si>
  <si>
    <t>Moon Ray +11 Range 80 Yards, Stores 11 Moon Points Step 5, Spend 1 Moon Point onf Damage, Store 2 Absorbed Spells, Stores 6 Extra Books, Defend against non-percieved attacks</t>
  </si>
  <si>
    <t>Moon Ray +7 Range 80 Yards, Stores 7 Moon Points Step 4, Spend 1 Moon Point on Damage, Store 1 Absorbed Spell, Stores 3 Extra Books, +2 to Evidence Analysis, +2 Phys Def, Searing Orb</t>
  </si>
  <si>
    <t>+4 to research tests</t>
  </si>
  <si>
    <t>Shelter</t>
  </si>
  <si>
    <t>Willow-Leaf Dart (fei biao)</t>
  </si>
  <si>
    <t>Path Staff, Warrior's</t>
  </si>
  <si>
    <t>Windling Bow</t>
  </si>
  <si>
    <t>Pole Arms</t>
  </si>
  <si>
    <t>Windling Net</t>
  </si>
  <si>
    <t>Pole-axe</t>
  </si>
  <si>
    <t>Windling Spear</t>
  </si>
  <si>
    <t>Pole-Axe (ji)</t>
  </si>
  <si>
    <t>Quarterstaff</t>
  </si>
  <si>
    <t>Quarterstaff (bang or bo)</t>
  </si>
  <si>
    <t>Raid Spear</t>
  </si>
  <si>
    <t>Rage of Thunder Staff (chang bang)</t>
  </si>
  <si>
    <t>Rings of Wind and Fire (fen for huan)</t>
  </si>
  <si>
    <t>Saber (dao)</t>
  </si>
  <si>
    <t>Samurai Short Sword (wakizashi)</t>
  </si>
  <si>
    <t>Samurai Sword (katana)</t>
  </si>
  <si>
    <t>Sap</t>
  </si>
  <si>
    <t>Sap (bowhai)</t>
  </si>
  <si>
    <t>+2 attack on 1 strain, bleeding wound on 1 strain, see text</t>
  </si>
  <si>
    <t>Wyrmsfang</t>
  </si>
  <si>
    <t>CR 140</t>
  </si>
  <si>
    <t>Moon Ray +10 Range 100 Yards, Stores 10 Moon Points Step 5, Spend 1 Moon Point on Damage, Store 2 Absorbed Spells, Stores 6 Extra Books, +2 to Evidence Analysis, +2 Phys Def, Searing Orb +6 Dmg, +2 Block Spell</t>
  </si>
  <si>
    <t>+2 phys def, +2 spell def, flame bolt power, see text</t>
  </si>
  <si>
    <t>+3 phys def, +3 spell def, flame bolt power, see text</t>
  </si>
  <si>
    <t>Enrages and humiliates all within fog</t>
  </si>
  <si>
    <t>Aspect of the Menacing Tyrant</t>
  </si>
  <si>
    <t>+6 to intimidation</t>
  </si>
  <si>
    <t>Illusion hides target</t>
  </si>
  <si>
    <t>Creates a suitable shelter for one person</t>
  </si>
  <si>
    <t>Waterproof</t>
  </si>
  <si>
    <t>Repels water</t>
  </si>
  <si>
    <t>Makes target friendly</t>
  </si>
  <si>
    <t>Aspect of the Fog Ghost</t>
  </si>
  <si>
    <t>+3 Attack, Damage, Phys Def</t>
  </si>
  <si>
    <t>Baseline Subtraction</t>
  </si>
  <si>
    <t>Eliminate penalties of Astral Interference</t>
  </si>
  <si>
    <t>Night's Edge</t>
  </si>
  <si>
    <t>+3 to a weapon's damage</t>
  </si>
  <si>
    <t>Astral Targeting</t>
  </si>
  <si>
    <t>Cloud of life-draining mist</t>
  </si>
  <si>
    <t>Mantle of the Fire Marauder</t>
  </si>
  <si>
    <t>Detect Elementalist Magic</t>
  </si>
  <si>
    <t>Rank Rounds</t>
  </si>
  <si>
    <t>Target is +4 Myst Def and Armor</t>
  </si>
  <si>
    <t>Aspect of the Cowardly Skulk</t>
  </si>
  <si>
    <t>Target gains scouting abilities</t>
  </si>
  <si>
    <t>Fog of Jeer</t>
  </si>
  <si>
    <t>ED4 GM 207</t>
  </si>
  <si>
    <t>ED4 PL 419</t>
  </si>
  <si>
    <t>ED4 GM 209</t>
  </si>
  <si>
    <t>ED4 PL 423</t>
  </si>
  <si>
    <t>ED4 GM 214</t>
  </si>
  <si>
    <t>ED4 PL 421</t>
  </si>
  <si>
    <t>Moon Ray +14 Range 100 Yards +14 Dmg, Stores 14 Moon Points Step 6, Spend 1 Moon Point on Damage, Store 3 Absorbed Spells, Stores 9 Extra Books, Defend against non-percieved attacks, +2 to Evidence Analysis, +2 Phys Def, Searing Orb +6 Dmg, +2 Block Spell</t>
  </si>
  <si>
    <t>ED4 GM 238</t>
  </si>
  <si>
    <t>ED4 GM 237</t>
  </si>
  <si>
    <t>ED4 GM 241</t>
  </si>
  <si>
    <t>Imbues target with flame aura</t>
  </si>
  <si>
    <t>True Missiles</t>
  </si>
  <si>
    <t>Slow Weapon</t>
  </si>
  <si>
    <t>-4 damage test when hit</t>
  </si>
  <si>
    <t>Elementalist - similar to Slow Metal Weapon</t>
  </si>
  <si>
    <t>True Switch</t>
  </si>
  <si>
    <t>Troll Pole Arm</t>
  </si>
  <si>
    <t>Flight Dagger</t>
  </si>
  <si>
    <t>Gar Hides (arisun)</t>
  </si>
  <si>
    <t>Thread Crystal Buckler</t>
  </si>
  <si>
    <t>Crescent Moon Blade (gon)</t>
  </si>
  <si>
    <t>Flying Disk (fei dip)</t>
  </si>
  <si>
    <t>Gar War Armor (quyag)</t>
  </si>
  <si>
    <t>Crystal Battle Axe</t>
  </si>
  <si>
    <t>Gar Warbow (num)</t>
  </si>
  <si>
    <t>Hardened Leather</t>
  </si>
  <si>
    <t>Crystal Dagger</t>
  </si>
  <si>
    <t>Hand Crossbow</t>
  </si>
  <si>
    <t>Hardened Vest (gang ao)</t>
  </si>
  <si>
    <t>Hand Crossbow (ba zhang san)</t>
  </si>
  <si>
    <t>Hide Armor</t>
  </si>
  <si>
    <t>Heavy Crossbow</t>
  </si>
  <si>
    <t>Holder of Trust Silver Branch Armor</t>
  </si>
  <si>
    <t>Heavy Crossbow (zhong san)</t>
  </si>
  <si>
    <t>Leather</t>
  </si>
  <si>
    <t>Deer Antler Saber (yuan yang yue)</t>
  </si>
  <si>
    <t>Hunting Blowgun (lie tou she)</t>
  </si>
  <si>
    <t>Living Crystal</t>
  </si>
  <si>
    <t>Windling Pole Arm</t>
  </si>
  <si>
    <t>+ thread rank init, attack, &amp; damage, immune to fear, various, see text</t>
  </si>
  <si>
    <t>The Sword Razorclaw</t>
  </si>
  <si>
    <t>+1 phys def, +2 armor</t>
  </si>
  <si>
    <t>Dragon-Tongue Whip (jie bian)</t>
  </si>
  <si>
    <t>Knife (ren)</t>
  </si>
  <si>
    <t>Obsidiman Skin</t>
  </si>
  <si>
    <t>Evolved Consciousness</t>
  </si>
  <si>
    <t>+4 Knowledge and Threadweaving tests</t>
  </si>
  <si>
    <t>Grove Renewal</t>
  </si>
  <si>
    <t>Gives 4 or 1 points of healing per round</t>
  </si>
  <si>
    <t>Icy Protection</t>
  </si>
  <si>
    <t>Wizard - renamed Icy Fingers</t>
  </si>
  <si>
    <t>Elementalist, Wizard</t>
  </si>
  <si>
    <t>4/5</t>
  </si>
  <si>
    <t>Elementalist 4/Wizard 5</t>
  </si>
  <si>
    <t>Aspect of the Cruel Physician</t>
  </si>
  <si>
    <t>Grants recovery test but a wound</t>
  </si>
  <si>
    <t>Skora Mail</t>
  </si>
  <si>
    <t>Hook Sword (gou jian)</t>
  </si>
  <si>
    <t>Skeleton Armor</t>
  </si>
  <si>
    <t>Heaven and Earth Saber (qian kun r yue dao)</t>
  </si>
  <si>
    <t>Short Spear (duan qiang)</t>
  </si>
  <si>
    <t>Wind Dancer Spells (Use Elementalist Spells)</t>
    <phoneticPr fontId="6" type="noConversion"/>
  </si>
  <si>
    <t>Illusionist, Wizard</t>
  </si>
  <si>
    <t>Mount Call</t>
  </si>
  <si>
    <t>EDCL 346</t>
  </si>
  <si>
    <t>5 + rank rounds</t>
  </si>
  <si>
    <t>Spooks target mount</t>
  </si>
  <si>
    <t>Resist Element</t>
  </si>
  <si>
    <t>+3 Physical and Mystic Armor vs. Element</t>
  </si>
  <si>
    <t>Moon Ray +6 Range 80 Yards, Stores 6 Moon Points Step 4, Spend 1 Moon Point on Damage, Store 1 Absorbed Spell, Stores 3 Extra Books, +2 to Evidence Analysis, +2 Phys Def</t>
  </si>
  <si>
    <t>Aspect of the Astral Savant</t>
  </si>
  <si>
    <t>Grants unfettered perception into astral space</t>
  </si>
  <si>
    <t>Facelift</t>
  </si>
  <si>
    <t>Removes Target's facial features</t>
  </si>
  <si>
    <t>Venomous Fury</t>
  </si>
  <si>
    <t>+3 damage and poison for 1 weapon</t>
  </si>
  <si>
    <t>Bold Entries</t>
  </si>
  <si>
    <t>Spells not currently in the lists to the right due to space constraints</t>
  </si>
  <si>
    <t>+3 to Intimidation tests</t>
  </si>
  <si>
    <t>Speed Reading</t>
  </si>
  <si>
    <t>+4 phys def, +2 spell def, Throwing range is 2-30/31-80/81-200</t>
  </si>
  <si>
    <t>Tranko Vigrass (Thystonius' Wings)</t>
  </si>
  <si>
    <t>EJ4 33</t>
  </si>
  <si>
    <t>various fire powers, see text</t>
  </si>
  <si>
    <t>Truefang</t>
  </si>
  <si>
    <t>AMB 91</t>
  </si>
  <si>
    <t>+2 initiative, +1 phys def</t>
  </si>
  <si>
    <t>+2 initiative, +1 phys def, +4 mystic</t>
  </si>
  <si>
    <t>+2 initiative, +1 phys def, +4 mystic, see text</t>
  </si>
  <si>
    <t>Whip of Defense</t>
  </si>
  <si>
    <t>+3 phys def, +1 spell def</t>
  </si>
  <si>
    <t>+4 phys def, +2 spell def</t>
  </si>
  <si>
    <t>+5 phys def, +3 spell def</t>
  </si>
  <si>
    <t>Pain Effect, see text</t>
  </si>
  <si>
    <t>+2 Melee Weapons, Pain Effet, see text</t>
  </si>
  <si>
    <t>+2 Melee Weapons, Pain Effet,see text</t>
  </si>
  <si>
    <t>Wrist Carver</t>
  </si>
  <si>
    <t>+1 recovery test daily, +2 phys def, store thread rank karma, +3 initiative, wounds bleed step 4</t>
  </si>
  <si>
    <t>+3 phys def, +3 spell def, flame bolt &amp; dragon venom powers, see text</t>
  </si>
  <si>
    <t>Phantom Lightning</t>
  </si>
  <si>
    <t>Repair Lock</t>
  </si>
  <si>
    <t>EDPL3 192</t>
  </si>
  <si>
    <t>Heat Armor</t>
  </si>
  <si>
    <t>9/14</t>
  </si>
  <si>
    <t>Sever Talent</t>
  </si>
  <si>
    <t>Removes ability to use a talent</t>
  </si>
  <si>
    <t>Ride the Lightning</t>
  </si>
  <si>
    <t>Move up to 4 miles</t>
  </si>
  <si>
    <t>Presto!</t>
  </si>
  <si>
    <t>Links 2 small openings</t>
  </si>
  <si>
    <t>Mantle of the Woodland Hunter</t>
  </si>
  <si>
    <t>Listen and Travel swiftly in forests to find something</t>
  </si>
  <si>
    <t>Phantom Flame</t>
  </si>
  <si>
    <t>Debilitating Gloom</t>
  </si>
  <si>
    <t>Blowgun, Servos</t>
  </si>
  <si>
    <t>Crystal Footman's</t>
  </si>
  <si>
    <t>+1 phys def, +1 parry</t>
  </si>
  <si>
    <t>Dispel Elementalist Magic</t>
  </si>
  <si>
    <t>Dispel Nethermancer Magic</t>
  </si>
  <si>
    <t>Detect Illusionist Magic</t>
  </si>
  <si>
    <t>Dispel Illusionist Magic</t>
  </si>
  <si>
    <t>Short Saber (duan dao)</t>
  </si>
  <si>
    <t>Short Sword</t>
  </si>
  <si>
    <t>Short Trispear (duan cha)</t>
  </si>
  <si>
    <t>Sickle</t>
  </si>
  <si>
    <t>Six Ring Saber (lin huan dao)</t>
  </si>
  <si>
    <t>ED4 GM 217</t>
  </si>
  <si>
    <t>ED4 GM 218</t>
  </si>
  <si>
    <t>ED4 GM 229</t>
  </si>
  <si>
    <t>ED4 GM 232</t>
  </si>
  <si>
    <t>ED4 GM 239</t>
  </si>
  <si>
    <t>ED4 GM 210</t>
  </si>
  <si>
    <t>ED4 GM 224</t>
  </si>
  <si>
    <t>ED4 GM 242</t>
  </si>
  <si>
    <t>ED4 GM 240</t>
  </si>
  <si>
    <t>ED4 GM 225</t>
  </si>
  <si>
    <t>Mantle of the Blood Elf</t>
  </si>
  <si>
    <t>Tail of the Rat (jiu chi)</t>
  </si>
  <si>
    <t>Talon</t>
  </si>
  <si>
    <t>Thread Crystal Battle-axe</t>
  </si>
  <si>
    <t>Thread Crystal Sword</t>
  </si>
  <si>
    <t>Three-Section Staff (san jie gun)</t>
  </si>
  <si>
    <t>Tiger Claws Saber (da dao)</t>
  </si>
  <si>
    <t>Trispear</t>
  </si>
  <si>
    <t>Trispear (cha)</t>
  </si>
  <si>
    <t>Troll Battle-Axe</t>
  </si>
  <si>
    <t>Troll Club</t>
  </si>
  <si>
    <t>Troll Dagger</t>
  </si>
  <si>
    <t>Troll Flail</t>
  </si>
  <si>
    <t>Troll Mace</t>
  </si>
  <si>
    <t>+3 damage vs horrors/constructs, armor defeating on Good success, second attack, ethereal blade &amp; light powers, see text</t>
  </si>
  <si>
    <t>The Sword of Fentheri</t>
  </si>
  <si>
    <t>AMB 87</t>
  </si>
  <si>
    <t>+2 recovery &amp; toughness, claws grab thieves</t>
  </si>
  <si>
    <t>+3 phys def, +2 recovery &amp; toughness, claws grab thieves, see text</t>
  </si>
  <si>
    <t>+3 phys def, +2 recovery &amp; toughness, various, see text</t>
  </si>
  <si>
    <t>The Sword of Helm</t>
  </si>
  <si>
    <t>+ thread rank init</t>
  </si>
  <si>
    <t>+ thread rank init &amp; damage, see text</t>
  </si>
  <si>
    <t>+ thread rank init, attack, &amp; damage, see text</t>
  </si>
  <si>
    <t>+ thread rank init, attack, &amp; damage, immune to fear, see text</t>
  </si>
  <si>
    <t>range 15/25/40</t>
  </si>
  <si>
    <t>Dragonhead Whip (long tou gan bang)</t>
  </si>
  <si>
    <t>Padded cloth</t>
  </si>
  <si>
    <t>Dwarf Sword</t>
  </si>
  <si>
    <t>Light Crossbow (quing san)</t>
  </si>
  <si>
    <t>Padded Leather</t>
  </si>
  <si>
    <t>Fangs of the Wind (shuang dao)</t>
  </si>
  <si>
    <t>Longbow</t>
  </si>
  <si>
    <t>Flail</t>
  </si>
  <si>
    <t>Longbow (dan gong)</t>
  </si>
  <si>
    <t>Plated Vest (ban ao)</t>
  </si>
  <si>
    <t>Flowing blade</t>
  </si>
  <si>
    <t>Medium Crossbow</t>
  </si>
  <si>
    <t>Goose-Feather Saber (yan lin doa)</t>
  </si>
  <si>
    <t>Net</t>
  </si>
  <si>
    <t>Samurai Armor (yoroi)</t>
  </si>
  <si>
    <t>Hand-axe</t>
  </si>
  <si>
    <t>Oil, Burning Flask</t>
  </si>
  <si>
    <t>Samurai Partial Armor (do)</t>
  </si>
  <si>
    <t>Hand-axe (fu)</t>
  </si>
  <si>
    <t>Repeating Crossbow (chong fu san)</t>
  </si>
  <si>
    <t>Air Slash power</t>
  </si>
  <si>
    <t>Air Slash power range 2-9/10-15/16/18</t>
  </si>
  <si>
    <t>Air Slash power range 2-12/13-20/21-24</t>
  </si>
  <si>
    <t>Stone Disk</t>
  </si>
  <si>
    <t>Jih-Po Sickle (kama)</t>
  </si>
  <si>
    <t>Shortbow (cuo gong)</t>
  </si>
  <si>
    <t>Stone Net</t>
  </si>
  <si>
    <t>Siege Crossbow (wei chang san)</t>
  </si>
  <si>
    <t xml:space="preserve">Astral Sense </t>
  </si>
  <si>
    <t>Detect Nethermancer Magic</t>
  </si>
  <si>
    <t>Lance</t>
  </si>
  <si>
    <t>Sling (dang gong)</t>
  </si>
  <si>
    <t>Soulless Eyes</t>
  </si>
  <si>
    <t>Ox Tail (gan zi bian)</t>
  </si>
  <si>
    <t>Elementalist - see Jao Rides the Sky</t>
  </si>
  <si>
    <t>Energy Field</t>
  </si>
  <si>
    <t>+4 to Avoid Blow and Steel Thought tests</t>
  </si>
  <si>
    <t>Thread Plate Mail</t>
  </si>
  <si>
    <t>Thread Long Bow</t>
  </si>
  <si>
    <t>Thread Ring Mail</t>
  </si>
  <si>
    <t>Thread Sling</t>
  </si>
  <si>
    <t>Thundra Skin</t>
  </si>
  <si>
    <t>Nailboots</t>
  </si>
  <si>
    <t>Thread Throwing Axe</t>
  </si>
  <si>
    <t>Throwing Dagger</t>
  </si>
  <si>
    <t>Path Staff, Lord's</t>
  </si>
  <si>
    <t>Throwing Net</t>
  </si>
  <si>
    <t>Path Staff, Sage's</t>
  </si>
  <si>
    <t>Throwing Spear (chiang)</t>
  </si>
  <si>
    <t>Path Staff, Scholar's</t>
  </si>
  <si>
    <t>Troll Sling</t>
  </si>
  <si>
    <t>Path Staff, Traveler's</t>
  </si>
  <si>
    <t>+2 spell def, enhanced matrix = to thread rank</t>
  </si>
  <si>
    <t>+2 spell def, armored matrix = to thread rank</t>
  </si>
  <si>
    <t>+3 spell def, armored matrix = to thread rank</t>
  </si>
  <si>
    <t>+3 spell def, shared matrix = to thread rank</t>
  </si>
  <si>
    <t>+3 spell def, see text, shared matrix = to thread rank</t>
  </si>
  <si>
    <t>BOT5 23</t>
  </si>
  <si>
    <t>+1 recovery test daily</t>
  </si>
  <si>
    <t>+1 recovery test daily, +2 phys def</t>
  </si>
  <si>
    <t>+1 recovery test daily, +2 phys def, store thread rank karma</t>
  </si>
  <si>
    <t>+1 recovery test daily, +2 phys def, store thread rank karma, +3 initiative</t>
  </si>
  <si>
    <t>+1 damage vs horrors/constructs</t>
  </si>
  <si>
    <t>+2 damage vs horrors/constructs</t>
  </si>
  <si>
    <t>Armor Type</t>
  </si>
  <si>
    <t>+2 attack on 1 strain</t>
  </si>
  <si>
    <t>Dmg</t>
  </si>
  <si>
    <t>Str</t>
  </si>
  <si>
    <t>Size</t>
  </si>
  <si>
    <t>Barding Type</t>
  </si>
  <si>
    <t>*Enter Armor Type Here*</t>
  </si>
  <si>
    <t>*Enter Shield Type Here*</t>
  </si>
  <si>
    <t>*Enter Missile*</t>
  </si>
  <si>
    <t>Barding, Light</t>
  </si>
  <si>
    <t>Bark Armor</t>
  </si>
  <si>
    <t>Bark Shield</t>
  </si>
  <si>
    <t>Barbed Net</t>
  </si>
  <si>
    <t>Barbed Throwing Net</t>
  </si>
  <si>
    <t>-</t>
  </si>
  <si>
    <t>Barding, Living Hair</t>
  </si>
  <si>
    <t>Bastion Armor (bi lei kai)</t>
  </si>
  <si>
    <t>Body</t>
  </si>
  <si>
    <t>Battle-axe</t>
  </si>
  <si>
    <t>Blowgun</t>
  </si>
  <si>
    <t>Barding, Medium</t>
  </si>
  <si>
    <t>Blood Pebble</t>
  </si>
  <si>
    <t>Battle-Axe (yue)</t>
  </si>
  <si>
    <t>Blowgun (tou she)</t>
  </si>
  <si>
    <t>Barding, Plate</t>
  </si>
  <si>
    <t>Bone Mail</t>
  </si>
  <si>
    <t>Broadsword</t>
  </si>
  <si>
    <t>+2 recovery test daily, +4 phys def, store thread rank karma, +3 initiative, wounds bleed step 7, +3 charisma, steel thought +5, +4 damage to horrors &amp; constructs</t>
  </si>
  <si>
    <t>+2 phys def, +1 parry, +1 spellcasting</t>
  </si>
  <si>
    <t>+2 phys def, +2 parry, +1 spellcasting, +1 threadweaving</t>
  </si>
  <si>
    <t>Butterfly Saber (hu die dao)</t>
  </si>
  <si>
    <t>Bola</t>
  </si>
  <si>
    <t>Snake's Head Sword (ju chi jian)</t>
  </si>
  <si>
    <t>Snake's Tongue Sword (bo chan jian)</t>
  </si>
  <si>
    <t>Spear (qiang)</t>
  </si>
  <si>
    <t>Spiked Mace</t>
  </si>
  <si>
    <t>Stone Maul</t>
  </si>
  <si>
    <t>Scorpion's Sting (emie ci)</t>
  </si>
  <si>
    <t>Scythan Axe</t>
  </si>
  <si>
    <t>Cavalry Spear (changcha)</t>
  </si>
  <si>
    <t>Dagger</t>
  </si>
  <si>
    <t>Crystal Plate</t>
  </si>
  <si>
    <t>Ferndask</t>
  </si>
  <si>
    <t>Cestus</t>
  </si>
  <si>
    <t>Dagger (bi shou)</t>
  </si>
  <si>
    <t>Tail of the Peacock (shan)</t>
  </si>
  <si>
    <t>Rattan</t>
  </si>
  <si>
    <t>Charge Sword</t>
  </si>
  <si>
    <t>Darts</t>
  </si>
  <si>
    <t>Fernweave</t>
  </si>
  <si>
    <t>Rider's</t>
  </si>
  <si>
    <t>Club</t>
  </si>
  <si>
    <t>Full Body Armor (shen kai)</t>
  </si>
  <si>
    <t>Thread Buckler</t>
  </si>
  <si>
    <t>Club (goon)</t>
  </si>
  <si>
    <t>holds 2 matrices, spell def +2</t>
  </si>
  <si>
    <t>holds 2 matrices, spell def +2, phys def +1</t>
  </si>
  <si>
    <t>holds 3 matrices, spell def +2, phys def +1</t>
  </si>
  <si>
    <t>Spelldancer</t>
  </si>
  <si>
    <t>NOB 311</t>
  </si>
  <si>
    <t>Spell Dance power</t>
  </si>
  <si>
    <t>Spell Dance power, Shocksword power</t>
  </si>
  <si>
    <t>Spell Dance power, Shocksword power, Blade Dance power</t>
  </si>
  <si>
    <t>Spirit Sword of Landis</t>
  </si>
  <si>
    <t>spirit powers, see text</t>
  </si>
  <si>
    <t>Staff of Overwhelming Thunder</t>
  </si>
  <si>
    <t>automatic knockdown test, see text</t>
  </si>
  <si>
    <t>Stone Broadsword</t>
  </si>
  <si>
    <t>Stone Dagger</t>
  </si>
  <si>
    <t>EDC 60</t>
  </si>
  <si>
    <t>range 10/20/30</t>
  </si>
  <si>
    <t>+1 phys def, +1 spell def, Electrical Damage +4 steps, shoot lightning Str +7 steps, see text</t>
  </si>
  <si>
    <t>Storm Shan</t>
  </si>
  <si>
    <t>3 strain = airblast spell, see text</t>
  </si>
  <si>
    <t>The Sword Valor</t>
  </si>
  <si>
    <t>EJ4 11</t>
  </si>
  <si>
    <t>+1 phys def, +1 spell def, +5 to will to throw off spells, see text</t>
  </si>
  <si>
    <t>+2 phys def, +1 spell def, +5 to will to throw off spells, see text</t>
  </si>
  <si>
    <t>+2 phys def, +2 spell def, +5 to will to throw off spells, see text</t>
  </si>
  <si>
    <t>The Twilight Staff</t>
  </si>
  <si>
    <t>AMB 90</t>
  </si>
  <si>
    <t>Third Anger</t>
  </si>
  <si>
    <t>+2 phys def &amp; karma on attack and damage</t>
  </si>
  <si>
    <t>Thorn Sword</t>
  </si>
  <si>
    <t>+2 to avoid blow or riposte</t>
  </si>
  <si>
    <t>+3 to avoid blow or riposte</t>
  </si>
  <si>
    <t>+3 to avoid blow or riposte, causes bleeding wounds, see text</t>
  </si>
  <si>
    <t>Thornwhistler</t>
  </si>
  <si>
    <t>NOB 309</t>
  </si>
  <si>
    <t>Parry talent +12 and Riposte +12, no strain, add Claw, Second Riposte, Arrow Cutting &amp; Spell Riposte</t>
  </si>
  <si>
    <t>Blade burns +d6 for 1 strain</t>
  </si>
  <si>
    <t>Parry talent +13 and Riposte +13, no strain, add Claw, Second Riposte, Arrow Cutting &amp; Spell Riposte</t>
  </si>
  <si>
    <t>Air Slash power range 2-15/16-25/26-30</t>
  </si>
  <si>
    <t>Thread Leather</t>
  </si>
  <si>
    <t>Air Slash power range 2-18/19-30/31-36, Thorn Flurry power</t>
  </si>
  <si>
    <t>Three-Axe</t>
  </si>
  <si>
    <t>Thread Chain Mail</t>
  </si>
  <si>
    <t>Thread Hardened Leather</t>
  </si>
  <si>
    <t>Thystonius's Spear</t>
  </si>
  <si>
    <t>LED 69</t>
  </si>
  <si>
    <t>Throwing range is 2-20/21-60/61-150</t>
  </si>
  <si>
    <t>Trim Wood</t>
  </si>
  <si>
    <t>Nine-Ring Saber (gua huan dao)</t>
  </si>
  <si>
    <t>Wood Tile</t>
  </si>
  <si>
    <t>+2 phys def, Throwing range is 2-30/31-80/81-200</t>
  </si>
  <si>
    <t>+3 phys def, +1 spell def, Throwing range is 2-30/31-80/81-200</t>
  </si>
  <si>
    <t>The Dragon Staff of Pan</t>
  </si>
  <si>
    <t>+1 spell def, Spell matrix = to thread rank</t>
  </si>
  <si>
    <t>+1 spell def, enhanced matrix = to thread rank</t>
  </si>
  <si>
    <t>+4 Phys Def &amp; 2 karma on attack and damage, causes wounds</t>
  </si>
  <si>
    <t>Pathfinder (a staff)</t>
  </si>
  <si>
    <t>AMB 83</t>
  </si>
  <si>
    <t>perception +2</t>
  </si>
  <si>
    <t>perception +2, tracking +2</t>
  </si>
  <si>
    <t>perception +2, tracking +2, astral sight +2</t>
  </si>
  <si>
    <t>+1 phys def, perception +2, tracking +2, astral sight +2</t>
  </si>
  <si>
    <t>+1 phys def, perception +2, tracking +2, astral sight +2, safe path +2</t>
  </si>
  <si>
    <t>+1 phys def, perception +2, tracking +2, astral sight +2, safe path +2, create map power</t>
  </si>
  <si>
    <t>Pathfinder (a sword)</t>
  </si>
  <si>
    <t>EJ6 35</t>
  </si>
  <si>
    <t>find path power, see text</t>
  </si>
  <si>
    <t>find path power, fly, see text</t>
  </si>
  <si>
    <t>Prince Axe</t>
  </si>
  <si>
    <t>ED 282</t>
  </si>
  <si>
    <t>+willforce +5 cold, see text</t>
  </si>
  <si>
    <t>AV</t>
  </si>
  <si>
    <t>Myst</t>
  </si>
  <si>
    <t>Init</t>
  </si>
  <si>
    <t>Shield Type</t>
  </si>
  <si>
    <t>+willforce +7 cold, see text</t>
  </si>
  <si>
    <t>+1 recovery test daily, +3 phys def, store thread rank karma, +3 initiative, wounds bleed step 4, +2 charisma</t>
  </si>
  <si>
    <t>+2 recovery test daily, +3 phys def, store thread rank karma, +3 initiative, wounds bleed step 4, +2 charisma, steel thought +5</t>
  </si>
  <si>
    <t>+2 recovery test daily, +3 phys def, store thread rank karma, +3 initiative, wounds bleed step 7, +2 charisma, steel thought +5, +2 damage to horrors &amp; constructs</t>
  </si>
  <si>
    <t>Rel-Talen's Spear of the Elements</t>
  </si>
  <si>
    <t>BOT1 25</t>
  </si>
  <si>
    <t>bonus to woodskin, see text</t>
  </si>
  <si>
    <t>init +1, bonus to woodskin, see text</t>
  </si>
  <si>
    <t>The Second Staff of Agrikal</t>
  </si>
  <si>
    <t>init +1, various, see text</t>
  </si>
  <si>
    <t>Ri'Shayd's Blade</t>
  </si>
  <si>
    <t>EJ6 10</t>
  </si>
  <si>
    <t>+2 initiative</t>
  </si>
  <si>
    <t>+2 initiative, see text</t>
  </si>
  <si>
    <t>+2 initiative, +2 phys def, see text</t>
  </si>
  <si>
    <t>Coat of Cloth (bu ao)</t>
  </si>
  <si>
    <t>Crystal Raider's</t>
  </si>
  <si>
    <t>Casting Net</t>
  </si>
  <si>
    <t>Crossbow (nu)</t>
  </si>
  <si>
    <t>The Spear Impaler</t>
  </si>
  <si>
    <t>EJ5 26</t>
  </si>
  <si>
    <t>armor defeating on Good success</t>
  </si>
  <si>
    <t>BOT2 22</t>
  </si>
  <si>
    <t>The Staff of Agrikal</t>
  </si>
  <si>
    <t>+2 armor</t>
  </si>
  <si>
    <t>Coat of Leather (bu pi)</t>
  </si>
  <si>
    <t>Crystal Viking</t>
  </si>
  <si>
    <t>+3 armor, +3 mystic, +2 spellcasting</t>
  </si>
  <si>
    <t>Footman's</t>
  </si>
  <si>
    <t>Ch'tard Blade</t>
  </si>
  <si>
    <t>Dancing Blade</t>
  </si>
  <si>
    <t>Crystal Ringlet (jing kai)</t>
  </si>
  <si>
    <t>Ch'tard Thorn</t>
  </si>
  <si>
    <t>Dart</t>
  </si>
  <si>
    <t>Smoke</t>
  </si>
  <si>
    <t>mystic strike power, see text</t>
  </si>
  <si>
    <t>Spell Sword</t>
  </si>
  <si>
    <t>holds a matrix</t>
  </si>
  <si>
    <t>holds a matrix, spell def +1</t>
  </si>
  <si>
    <t>holds 2 matrices, spell def +1</t>
  </si>
  <si>
    <t>+1 Spell Def, 2 Spell matrix = to thread rank</t>
  </si>
  <si>
    <t>+2 Spell Def, 2 Spell matrix = to thread rank</t>
  </si>
  <si>
    <t>+3 Spell Def, 2 Spell matrix = to thread rank</t>
  </si>
  <si>
    <t>Lightning Mace</t>
  </si>
  <si>
    <t>Electrical Damage +1 step, see text</t>
  </si>
  <si>
    <t>Electrical Damage +2 steps, see text</t>
  </si>
  <si>
    <t>Electrical Damage +3 steps, see text</t>
  </si>
  <si>
    <t>Electrical Damage +4 steps, shoot lightning Str +5 steps, see text</t>
  </si>
  <si>
    <t>Electrical Damage +4 steps, shoot lightning Str +7 steps, see text</t>
  </si>
  <si>
    <t>+3 phys def &amp; +3 spell def vs fire based, flame shield power</t>
  </si>
  <si>
    <t>Thornsling</t>
  </si>
  <si>
    <t>ranges2-30/31-60</t>
  </si>
  <si>
    <t>ranges 2-36/37-72</t>
  </si>
  <si>
    <t>Sword of Defense</t>
  </si>
  <si>
    <t>Parry talent +7 and Riposte +7, no strain, add Claw &amp; Second Riposte</t>
  </si>
  <si>
    <t>Parry talent +8 and Riposte +8, no strain, add Claw &amp; Second Riposte</t>
  </si>
  <si>
    <t>Parry talent +9 and Riposte +9, no strain, add Claw, Second Riposte, &amp; Arrow Cutting</t>
  </si>
  <si>
    <t>Parry talent +10 and Riposte +10, no strain, add Claw, Second Riposte, &amp; Arrow Cutting</t>
  </si>
  <si>
    <t>Parry talent +11 and Riposte +11, no strain, add Claw, Second Riposte, Arrow Cutting &amp; Spell Riposte</t>
  </si>
  <si>
    <t>Mini Crossbow</t>
  </si>
  <si>
    <t>Kratas 246</t>
  </si>
  <si>
    <t>Range: 2-15/17-30</t>
  </si>
  <si>
    <t>Blade burns +d6 for 1 strain, armor defeating hit one level lower vs dragons</t>
  </si>
  <si>
    <t>Net of Barbs</t>
  </si>
  <si>
    <t>SR 128</t>
  </si>
  <si>
    <t>rally talent +thread rank, heat damage on a wound, see text</t>
  </si>
  <si>
    <t>rally talent +thread rank, heat damage on a wound, summon ghosts of 7 Spokes,see text</t>
  </si>
  <si>
    <t>Air Slash power range 2-18/19-30/31-36</t>
  </si>
  <si>
    <t>+1 Cast Net</t>
  </si>
  <si>
    <t>Parry talent +14 and Riposte +14, no strain, add Claw, Second Riposte, Arrow Cutting &amp; Spell Riposte</t>
  </si>
  <si>
    <t>Parry talent +15 and Riposte +15, no strain, add Claw, Second Riposte, Arrow Cutting &amp; Spell Riposte</t>
  </si>
  <si>
    <t>Swords of Command</t>
  </si>
  <si>
    <t>+1 phys def, Throwing range is 2-20/21-60/61-150</t>
  </si>
  <si>
    <t>+1 phys def, Throwing range is 2-30/31-80/81-200</t>
  </si>
  <si>
    <t>+5 to Empathic Sense, +3 to Tactics, Chain of Command ability</t>
  </si>
  <si>
    <t>Taishis Dagger</t>
  </si>
  <si>
    <t>4 strain = lightning bolt, see text</t>
  </si>
  <si>
    <t>+4 Phys Def &amp; karma on attack and damage, causes wounds</t>
  </si>
  <si>
    <t>Forge Blade &amp; Armor +3, locate living crystal, shatter armor &amp; shields, earthquake, see text</t>
  </si>
  <si>
    <t>Hurmon's Crook</t>
  </si>
  <si>
    <t>+1 Silent Walk, +1 Surprise Strike</t>
  </si>
  <si>
    <t>+1 Silent Walk, +1 Surprise Strike, +1 Melee Weapons, see text</t>
  </si>
  <si>
    <t>+2 Silent Walk, +2 Surprise Strike, +1 Melee Weapons, see text</t>
  </si>
  <si>
    <t>+2 Silent Walk, +2 Surprise Strike, +2 Melee Weapons, see text</t>
  </si>
  <si>
    <t>+3 Silent Walk, +3 Surprise Strike, +2 Melee Weapons, see text</t>
  </si>
  <si>
    <t>+3 Silent Walk, +3 Surprise Strike, +3 Melee Weapons, see text</t>
  </si>
  <si>
    <t>+4 Silent Walk, +4 Surprise Strike, +4 Melee Weapons, see text</t>
  </si>
  <si>
    <t>+willforce +8 cold, see text</t>
  </si>
  <si>
    <t>+willforce +6 cold, see text</t>
  </si>
  <si>
    <t>+2 damage vs horrors/constructs, detect horrors, special damage to horrors, see text</t>
  </si>
  <si>
    <t>Rain Clubs</t>
  </si>
  <si>
    <t>cannot burn</t>
  </si>
  <si>
    <t>cannot burn, handle dries</t>
  </si>
  <si>
    <t>cannot burn, handle dries, woodskin +1</t>
  </si>
  <si>
    <t>Rapier of Wit</t>
  </si>
  <si>
    <t>+2 Taunt</t>
  </si>
  <si>
    <t>+2 Taunt, Armor defeating hit is reduced by one level</t>
  </si>
  <si>
    <t>Razor Kamas</t>
  </si>
  <si>
    <t>+1 climbing</t>
  </si>
  <si>
    <t>+2 climbing</t>
  </si>
  <si>
    <t>+3 climbing</t>
  </si>
  <si>
    <t>+4 climbing</t>
  </si>
  <si>
    <t>Razorclaw, a Troll Sword</t>
  </si>
  <si>
    <t>+2 phys def, +2 spell def, +3 parry and riposte, see text</t>
  </si>
  <si>
    <t>Kaer Sword</t>
  </si>
  <si>
    <t>EDC2 63</t>
  </si>
  <si>
    <t>Kegel's Sword</t>
  </si>
  <si>
    <t>eerie howl power, strike at a a distance, detects and defends vs horrors, see text</t>
  </si>
  <si>
    <t>Spike Bomb</t>
  </si>
  <si>
    <t>Willforce+6</t>
  </si>
  <si>
    <t>Affects closest person within 3 yards, Range: 2-10/11-20/21-30</t>
  </si>
  <si>
    <t>ED 279</t>
  </si>
  <si>
    <t>sword flames, see text</t>
  </si>
  <si>
    <t>+1 phys def, +6 knockdown, sword flames, see text</t>
  </si>
  <si>
    <t>+1 spellcasting</t>
  </si>
  <si>
    <t>+2 spellcasting, +1 spell def</t>
  </si>
  <si>
    <t>+2 spellcasting, +2 spell def, +1 willforce, armor defeating hit on average hit for 2 strain</t>
  </si>
  <si>
    <t>The Sword Elenorial</t>
  </si>
  <si>
    <t>+3 damage vs horrors/constructs, light power, see text</t>
  </si>
  <si>
    <t>Terror 85</t>
  </si>
  <si>
    <t>Short Sword of Dazzling Speed</t>
  </si>
  <si>
    <t>+1 initiative</t>
  </si>
  <si>
    <t>+1 initiative, see text</t>
  </si>
  <si>
    <t>Parry talent +9, no strain</t>
  </si>
  <si>
    <t>Leldrin's Staff</t>
  </si>
  <si>
    <t>Spell matrix = to thread rank</t>
  </si>
  <si>
    <t>+1 Spell Def, Spell matrix = to thread rank</t>
  </si>
  <si>
    <t>wound horrors/constructs on successful attack</t>
  </si>
  <si>
    <t>wound horrors/constructs on successful attack, detects horrors, see text</t>
  </si>
  <si>
    <t>Thorn Bow</t>
  </si>
  <si>
    <t>Range: 50/225/350</t>
  </si>
  <si>
    <t>Arrow lodges, see text, Range: 50/225/350</t>
  </si>
  <si>
    <t>Arrow lodges, see text, Range: 50/250/400</t>
  </si>
  <si>
    <t>Arrow lodges, 2 strain creates arrow, see text, Range: 50/250/400</t>
  </si>
  <si>
    <t>Flame Whip</t>
  </si>
  <si>
    <t>EJ9 34</t>
  </si>
  <si>
    <t>ranges 2-36/37-72, +2 attack vs Therans or slavers</t>
  </si>
  <si>
    <t>+1 phys def, +1 spell def, Electrical Damage +6 steps, shoot lightning Str +7 steps, see text</t>
  </si>
  <si>
    <t>+2 phys def, +2 spell def, Electrical Damage +6 steps, shoot lightning Str +7 steps, see text</t>
  </si>
  <si>
    <t>Parry talent +6 and Riposte +6, no strain</t>
  </si>
  <si>
    <t>+1 phys def, +2 spell def, see text</t>
  </si>
  <si>
    <t>Maul Hammer</t>
  </si>
  <si>
    <t>+12 damage vs shields</t>
  </si>
  <si>
    <t>+12 damage vs shields, shockwave power, see text</t>
  </si>
  <si>
    <t>+14 damage vs shields, shockwave power, see text</t>
  </si>
  <si>
    <t>Mountain's Weight</t>
  </si>
  <si>
    <t>CF 120</t>
  </si>
  <si>
    <t>karma on damage</t>
  </si>
  <si>
    <t>karma on damage, various see text</t>
  </si>
  <si>
    <t>Na'arg's Axe</t>
  </si>
  <si>
    <t>heat damage on a wound, see text</t>
  </si>
  <si>
    <t>rally talent +1, heat damage on a wound, see text</t>
  </si>
  <si>
    <t>Range: 2-15/17-30, Aiming bonus-see text</t>
  </si>
  <si>
    <t>Range: 2-15/17-30, Creates Bolts, Aiming bonus-see text</t>
  </si>
  <si>
    <t>armor defeating hit target is -1, +2 attack for 1 strain</t>
  </si>
  <si>
    <t>Entangle allows Damage Test Str+6</t>
  </si>
  <si>
    <t>2 Strain to bypass target's armor</t>
  </si>
  <si>
    <t>Net of Defense</t>
  </si>
  <si>
    <t>+1 Armor</t>
  </si>
  <si>
    <t>+2 Armor</t>
  </si>
  <si>
    <t>Kratas 243</t>
  </si>
  <si>
    <t>Guardcutter</t>
  </si>
  <si>
    <t>NOB 303</t>
  </si>
  <si>
    <t>armor defeating hit target is -1</t>
  </si>
  <si>
    <t>Entangle allows Damage Test Str+3</t>
  </si>
  <si>
    <t>+2 Cast Net</t>
  </si>
  <si>
    <t>+5 damage for 2 strain</t>
  </si>
  <si>
    <t>+7 damage for 5 strain</t>
  </si>
  <si>
    <t>+3 to Empathic Sense, +3 to Tactics</t>
  </si>
  <si>
    <t>+5 to Empathic Sense, +3 to Tactics</t>
  </si>
  <si>
    <t>+3 Phys Def &amp; karma on attack and damage, causes wounds</t>
  </si>
  <si>
    <t>+2 Phys Def &amp; karma on attack and damage</t>
  </si>
  <si>
    <t>+3 Phys Def &amp; karma on attack and damage</t>
  </si>
  <si>
    <t>Forge Blade +2, locate living crystal, shatter armor &amp; shields, see text</t>
  </si>
  <si>
    <t>Range: 2-60/61-250/251-400</t>
  </si>
  <si>
    <t>+1 spell def, Range: 2-60/61-250/251-400</t>
  </si>
  <si>
    <t>+2 spell def, Range: 2-100/101-300/301-500</t>
  </si>
  <si>
    <t>+3 spell def, +1 phys def, Range: 2-100/101-300/301-500</t>
  </si>
  <si>
    <t>+3 spell def, +1 phys def, Range: 2-100/101-300/301-500, see text</t>
  </si>
  <si>
    <t>+3 attack, +3 spell def, +1 phys def, Range: 2-100/101-300/301-500, see text</t>
  </si>
  <si>
    <t>AMB 80</t>
  </si>
  <si>
    <t>avoid blow 2x per round, riposte +2</t>
  </si>
  <si>
    <t>avoid blow 2x per round, riposte +2, retributive strike power</t>
  </si>
  <si>
    <t>Shuriken</t>
  </si>
  <si>
    <t>Cathay GM 125</t>
  </si>
  <si>
    <t>ranges 2-18, 19-36</t>
  </si>
  <si>
    <t>+willforce +9 cold, see text</t>
  </si>
  <si>
    <t>+willforce +10 cold, see text</t>
  </si>
  <si>
    <t>+willforce +11 cold, see text</t>
  </si>
  <si>
    <t>Jade Saber of Feng Po</t>
  </si>
  <si>
    <t>+1 parry and riposte</t>
  </si>
  <si>
    <t>+2 damage vs horrors/constructs, detect horrors, see text</t>
  </si>
  <si>
    <t>+2 phys def, +1 spell def, +2 parry and riposte</t>
  </si>
  <si>
    <t>+2 phys def, +2 spell def, +2 parry and riposte</t>
  </si>
  <si>
    <t>+2 phys def, +2 spell def, +3 parry and riposte</t>
  </si>
  <si>
    <t>eerie howl power, strike at a a distance, see text</t>
  </si>
  <si>
    <t>eerie howl power, strike at a a distance, detects horrors, see text</t>
  </si>
  <si>
    <t>Bloodsong</t>
  </si>
  <si>
    <t>NOB 307</t>
  </si>
  <si>
    <t>Blood Memory power</t>
  </si>
  <si>
    <t>Affects all within 3 yards, Range: 2-10/11-20/21-30</t>
  </si>
  <si>
    <t>Blood Memory power, +1 perception</t>
  </si>
  <si>
    <t>Blood Memory power, +2 perception</t>
  </si>
  <si>
    <t>Blood Memory power, +3 perception</t>
  </si>
  <si>
    <t>Shared Blood Memory power, +3 perception</t>
  </si>
  <si>
    <t>+2 phys def, +2 spell def, +6 knockdown, sword flames, see text</t>
  </si>
  <si>
    <t>Left Fang</t>
  </si>
  <si>
    <t>BD 105</t>
  </si>
  <si>
    <t>Palace Guard ability</t>
  </si>
  <si>
    <t>+2 phys def, +6 knockdown, sword flames, see text</t>
  </si>
  <si>
    <t>Scarlet Sentinel (Battle-Axe)</t>
  </si>
  <si>
    <t>+2 armor, +2 mystic</t>
  </si>
  <si>
    <t>+3 armor, +3 mystic</t>
  </si>
  <si>
    <t>+1 Phys Def, +1 Soc Def, Palace Guard ability, see text</t>
  </si>
  <si>
    <t>Servitor Sword</t>
  </si>
  <si>
    <t>Parry talent +8, no strain</t>
  </si>
  <si>
    <t>Parry talent +6, no strain</t>
  </si>
  <si>
    <t>Parry talent +7, no strain</t>
  </si>
  <si>
    <t>ranges 2-75, 76-150, 5 strain = fireball, see text</t>
  </si>
  <si>
    <t>Elemental Spear</t>
  </si>
  <si>
    <t>Initiative +1, various, see text</t>
  </si>
  <si>
    <t>The Grey Bow</t>
  </si>
  <si>
    <t>Range: 50/200/325</t>
  </si>
  <si>
    <t>Farliss' Dagger</t>
  </si>
  <si>
    <t>+2 Throwing Weapons, +1 Conceal Weapons, +1 Surprise Strike, see text</t>
  </si>
  <si>
    <t>Ciu dans White Orb</t>
  </si>
  <si>
    <t xml:space="preserve">+3 phys def &amp; +3 spell def vs fire based </t>
  </si>
  <si>
    <t>ranges 2-36/37-72, +2 attack vs Therans or slavers, barbed arrow power, see text</t>
  </si>
  <si>
    <t>ranges 2-36/37-72, +2 attack vs Therans or slavers, barbed arrow power, alchemy +4, see text</t>
  </si>
  <si>
    <t>Gou-Tar (a bone dagger)</t>
  </si>
  <si>
    <t>S2TFJ 61</t>
  </si>
  <si>
    <t>+1 to skinning and tanning</t>
  </si>
  <si>
    <t>+2 to skinning and tanning</t>
  </si>
  <si>
    <t>+3 to skinning and tanning</t>
  </si>
  <si>
    <t>+4 to skinning and tanning</t>
  </si>
  <si>
    <t>+4 to skinning and tanning plus see text</t>
  </si>
  <si>
    <t>Throwing Axe</t>
  </si>
  <si>
    <t>Range: 20/45/60</t>
  </si>
  <si>
    <t>Grimeye's Lance</t>
  </si>
  <si>
    <t>CF 119</t>
  </si>
  <si>
    <t>Crystal Battle-Axe</t>
  </si>
  <si>
    <t>EDC 57</t>
  </si>
  <si>
    <t>Long Bow</t>
  </si>
  <si>
    <t>EDC 58</t>
  </si>
  <si>
    <t>Lorm's Axe</t>
  </si>
  <si>
    <t>+1 phys def, see text</t>
  </si>
  <si>
    <t>+1 phys def, +1 spell def, see text</t>
  </si>
  <si>
    <t>2 Attack</t>
  </si>
  <si>
    <t>3 Damage</t>
  </si>
  <si>
    <t>3 Attack</t>
  </si>
  <si>
    <t>4 Damage</t>
  </si>
  <si>
    <t>4 Attack</t>
  </si>
  <si>
    <t>5 Damage</t>
  </si>
  <si>
    <t>5 Attack</t>
  </si>
  <si>
    <t>6 Damage</t>
  </si>
  <si>
    <t>6 Attack</t>
  </si>
  <si>
    <t>7 Damage</t>
  </si>
  <si>
    <t>7 Attack</t>
  </si>
  <si>
    <t>8 Damage</t>
  </si>
  <si>
    <t>8 Attack</t>
  </si>
  <si>
    <t>9 Damage</t>
  </si>
  <si>
    <t>9 Attack</t>
  </si>
  <si>
    <t>10 Damage</t>
  </si>
  <si>
    <t>armor defeating hit target is -2, +2 attack for 1 strain</t>
  </si>
  <si>
    <t>Entangle result allows free disarm test</t>
  </si>
  <si>
    <t>Nightscar</t>
  </si>
  <si>
    <t>Ninth Pride</t>
  </si>
  <si>
    <t>Axe of the Mountains</t>
  </si>
  <si>
    <t>Dragon's Gaze power, +3 Spell Def vs mental attacks, Memory Blank power</t>
  </si>
  <si>
    <t>EJ8 43</t>
  </si>
  <si>
    <t>+1 Phys Def</t>
  </si>
  <si>
    <t>+2 Phys Def</t>
  </si>
  <si>
    <t>Forge Blade +2</t>
  </si>
  <si>
    <t>armor defeating hit target is -2, +2 attack for 1 strain, + various</t>
  </si>
  <si>
    <t>Hammer of Nemar</t>
  </si>
  <si>
    <t>Forge Blade +1</t>
  </si>
  <si>
    <t>Night Crawler</t>
  </si>
  <si>
    <t>EJ9 52</t>
  </si>
  <si>
    <t>+1 to Empathic Sense</t>
  </si>
  <si>
    <t>+3 to Empathic Sense</t>
  </si>
  <si>
    <t>Forge Blade +2, locate living crystal, see text</t>
  </si>
  <si>
    <t>ranges 1-4/5-8/9-12</t>
  </si>
  <si>
    <t>creates own darts, ranges 1-4/5-8/9-12</t>
  </si>
  <si>
    <t>creates own darts, ranges 1-5/6-12/13-16</t>
  </si>
  <si>
    <t>creates own poisoned darts, ranges 1-5/6-12/13-16</t>
  </si>
  <si>
    <t>Dagger of Dianuus</t>
  </si>
  <si>
    <t>+1 damage vs spirits &amp; horrors</t>
  </si>
  <si>
    <t>+1 damage vs spirits &amp; horrors, matrix strike power</t>
  </si>
  <si>
    <t>+1 damage vs spirits &amp; horrors, matrix strike &amp; spirit strike powers</t>
  </si>
  <si>
    <t>Nioku's Bow</t>
  </si>
  <si>
    <t>ED 281</t>
  </si>
  <si>
    <t>BW 127</t>
  </si>
  <si>
    <t>lightning, see text</t>
  </si>
  <si>
    <t>Dagger of Ishkarat</t>
  </si>
  <si>
    <t>SR 127</t>
  </si>
  <si>
    <t>avoid blow 2x per round</t>
  </si>
  <si>
    <t>+10 steps damage to vs last namegiver race slain</t>
  </si>
  <si>
    <t>ranges 2-22, 23-44</t>
  </si>
  <si>
    <t>ranges 2-26, 27-52</t>
  </si>
  <si>
    <t>ranges 2-26, 27-52, 1 strain = +3 damage</t>
  </si>
  <si>
    <t>Dagger of Ping</t>
  </si>
  <si>
    <t>Cathay GM 130</t>
  </si>
  <si>
    <t>Thrown returns, ranges 2-12, 13-25</t>
  </si>
  <si>
    <t>Thrown returns, ranges 2-12, 13-25, see text</t>
  </si>
  <si>
    <t>Sling</t>
  </si>
  <si>
    <t>EDC 59</t>
  </si>
  <si>
    <t>Range: 25/60/100</t>
  </si>
  <si>
    <t>Range: 30/60/120</t>
  </si>
  <si>
    <t>Dawn Spreads Morning Light</t>
  </si>
  <si>
    <t>+2 phys def, see text</t>
  </si>
  <si>
    <t>Spellbow</t>
  </si>
  <si>
    <t>Spell attack on armor-defeating hit</t>
  </si>
  <si>
    <t>Derita's Silk-Tailed Wailer</t>
  </si>
  <si>
    <t>Infected 74</t>
  </si>
  <si>
    <t>eerie howl power, see text</t>
  </si>
  <si>
    <t>+1 phys def, +1 parry and riposte</t>
  </si>
  <si>
    <t>+1 phys def, +1 spell def, +1 parry and riposte</t>
  </si>
  <si>
    <t>+1 phys def, +1 spell def, +2 parry and riposte</t>
  </si>
  <si>
    <t>casts light, divine aura spell, spell matrix, +1 spellcasting &amp; threadweaving, ethereal weapon</t>
  </si>
  <si>
    <t>Elven Warbow</t>
  </si>
  <si>
    <t>ranges 2-50/51-250/251-350</t>
  </si>
  <si>
    <t>Crystal Spell Box power, +1 Spellcasting, +1 Willforce</t>
  </si>
  <si>
    <t>Crystal Spell Box power, +2 Spellcasting, +2 Willforce</t>
  </si>
  <si>
    <t>Crystal Spell Box power, +2 Spellcasting, +2 Willforce, Elemental Fortitude power</t>
  </si>
  <si>
    <t>SPV1 56</t>
  </si>
  <si>
    <t>arrow duplicates self, see text</t>
  </si>
  <si>
    <t>Endar's Arrows</t>
  </si>
  <si>
    <t>Willforce+8</t>
  </si>
  <si>
    <t>Bloodbond power, +1 charisma tests</t>
  </si>
  <si>
    <t>Bloodbond power, +1 charisma tests, +2 tactics</t>
  </si>
  <si>
    <t>Current Other</t>
  </si>
  <si>
    <t>Shields</t>
  </si>
  <si>
    <t>Armor of Elemental Water</t>
  </si>
  <si>
    <t>Affects all within 3 yards, Range: 2-15/16-40/41-1000</t>
  </si>
  <si>
    <t>Parry talent +1, no strain</t>
  </si>
  <si>
    <t>Parry talent +2, no strain</t>
  </si>
  <si>
    <t>+1 Phys Def, +1 Soc Def, Palace Guard ability</t>
  </si>
  <si>
    <t>Parry talent +5, no strain</t>
  </si>
  <si>
    <t>Parry talent +3, no strain</t>
  </si>
  <si>
    <t>Parry talent +4, no strain</t>
  </si>
  <si>
    <t>ranges 2-62, 63-124</t>
  </si>
  <si>
    <t>ranges 2-75, 76-150</t>
  </si>
  <si>
    <t>Bloodbond power, +3 charisma tests, +2 tactics</t>
  </si>
  <si>
    <t>Increased Bloodbond power, +3 charisma tests, +2 tactics</t>
  </si>
  <si>
    <t>Flight Dagger of the Cutthroat</t>
  </si>
  <si>
    <t>Kratas 245</t>
  </si>
  <si>
    <t>+1 Throwing Weapons</t>
  </si>
  <si>
    <t>+1 Throwing Weapons, +1 Conceal Weapons</t>
  </si>
  <si>
    <t>+2 Throwing Weapons, +1 Conceal Weapons</t>
  </si>
  <si>
    <t>+2 Throwing Weapons, +1 Conceal Weapons, +1 Surprise Strike</t>
  </si>
  <si>
    <t>+2 phys def, +2 spell def, , extraordinary hit to defeat armor, +2 recovery tests daily</t>
  </si>
  <si>
    <t>+2 phys def, regeneration rank 2</t>
  </si>
  <si>
    <t>Range: 35/100/150</t>
  </si>
  <si>
    <t>Range: 50/120/170</t>
  </si>
  <si>
    <t>Cobra Whip</t>
  </si>
  <si>
    <t>Cathay GM 129</t>
  </si>
  <si>
    <t>Entangle up to 4 yards away</t>
  </si>
  <si>
    <t>Entangle up to 4 yards away, entangle diff is 12</t>
  </si>
  <si>
    <t>Excell Result = poison SD 10 Dmg 10, Entangle up to 4 yards away, entangle diff is 12</t>
  </si>
  <si>
    <t>Hook Hatchet</t>
  </si>
  <si>
    <t>+1 Throwing Weapons, Range 2-30/31-60</t>
  </si>
  <si>
    <t>+1 Throwing Weapons, Range 2-30/31-60, see text</t>
  </si>
  <si>
    <t>Initiative +1, battleshout +1 rank</t>
  </si>
  <si>
    <t>Initiative +2, battleshout +1 rank</t>
  </si>
  <si>
    <t>1 Damage</t>
  </si>
  <si>
    <t>1 Attack</t>
  </si>
  <si>
    <t>2 Damage</t>
  </si>
  <si>
    <t>Range: 50/125/250</t>
  </si>
  <si>
    <t>Range: 50/175/300</t>
  </si>
  <si>
    <t>Crystal Spear</t>
  </si>
  <si>
    <t>various, see text</t>
  </si>
  <si>
    <t>Brithan's Gaze power, +3 frighten, +3 battle bellow</t>
  </si>
  <si>
    <t>Brithan's Gaze power, +3 frighten, +3 battle bellow, +3 lionheart</t>
  </si>
  <si>
    <t>Brithan's Gaze power, +3 frighten, +3 battle bellow, +3 lionheart, +3 champion challenge</t>
  </si>
  <si>
    <t>Crystal Ringlet</t>
  </si>
  <si>
    <t>Lodeshield</t>
  </si>
  <si>
    <t>NOB 304</t>
  </si>
  <si>
    <t>metal weapons are -1 attack</t>
  </si>
  <si>
    <t>Range: 2-20/21-40, Creates Bolts, Aiming bonus-see text</t>
  </si>
  <si>
    <t>Crystal Sword</t>
  </si>
  <si>
    <t>Never Fail</t>
  </si>
  <si>
    <t>Forced Trueshot, see text</t>
  </si>
  <si>
    <t>Flame Arrow, Forced Trueshot, see text</t>
  </si>
  <si>
    <t>Crystal Troll Sword</t>
  </si>
  <si>
    <t>Flame Arrow, Creates Arrows, Forced Trueshot, see text</t>
  </si>
  <si>
    <t>Crystal Scale</t>
  </si>
  <si>
    <t>Mindreaver</t>
  </si>
  <si>
    <t>Weap 1 Attack</t>
  </si>
  <si>
    <t>Weap 1 Other</t>
  </si>
  <si>
    <t>Weap 2 Damage</t>
  </si>
  <si>
    <t>Weap 2 Attack</t>
  </si>
  <si>
    <t>Weap 2 Other</t>
  </si>
  <si>
    <t>Dragon Mail</t>
  </si>
  <si>
    <t>AMB 79</t>
  </si>
  <si>
    <t>+4 mystic vs dragons/drakes</t>
  </si>
  <si>
    <t>Add thread rank steps to defensive knockdown tests</t>
  </si>
  <si>
    <t>Add thread rank steps to defensive knockdown tests, subtract from offensive knockdown tests</t>
  </si>
  <si>
    <t>Add thread rank steps to defensive knockdown tests, subtract from offensive knockdown tests, armor defeating hit on Good result</t>
  </si>
  <si>
    <t>Add thread rank steps to defensive knockdown tests, subtract from offensive knockdown tests, armor defeating hit on Good result, +1 init</t>
  </si>
  <si>
    <t>Add thread rank steps to defensive knockdown tests, subtract from offensive knockdown tests, armor defeating hit onAverage result, +1 init</t>
  </si>
  <si>
    <t>Arrows of the Thundercloud</t>
  </si>
  <si>
    <t>EDC2 66</t>
  </si>
  <si>
    <t>Devastator Spear</t>
  </si>
  <si>
    <t>ED 278</t>
  </si>
  <si>
    <t>when thrown, splits into multiple spears, see text</t>
  </si>
  <si>
    <t>+2 phys def, when thrown, splits into multiple spears, see text</t>
  </si>
  <si>
    <t>+2 phys def, +2 throwing, when thrown, splits into multiple spears, see text</t>
  </si>
  <si>
    <t>Blade of Alemvor</t>
  </si>
  <si>
    <t>casts light, divine aura spell</t>
  </si>
  <si>
    <t>casts light, divine aura spell, spell matrix</t>
  </si>
  <si>
    <t>casts light, divine aura spell, spell matrix, +1 spellcasting &amp; threadweaving</t>
  </si>
  <si>
    <t>Obsidian Skin Armor</t>
  </si>
  <si>
    <t>Silvered Shield, Rider's</t>
  </si>
  <si>
    <t>Plate Mail</t>
  </si>
  <si>
    <t>Spellgorger</t>
  </si>
  <si>
    <t>NOB 312</t>
  </si>
  <si>
    <t>Crystal Spell Box power</t>
  </si>
  <si>
    <t>7 Init</t>
  </si>
  <si>
    <t>7 Other</t>
  </si>
  <si>
    <t>8 AV</t>
  </si>
  <si>
    <t>8 MV</t>
  </si>
  <si>
    <t>5 AV</t>
  </si>
  <si>
    <t>5 MV</t>
  </si>
  <si>
    <t>5 Init</t>
  </si>
  <si>
    <t>5 Other</t>
  </si>
  <si>
    <t>6 AV</t>
  </si>
  <si>
    <t>6 MV</t>
  </si>
  <si>
    <t>6 Init</t>
  </si>
  <si>
    <t>6 Other</t>
  </si>
  <si>
    <t>7 AV</t>
  </si>
  <si>
    <t>7 MV</t>
  </si>
  <si>
    <t>8 Init</t>
  </si>
  <si>
    <t>8 Other</t>
  </si>
  <si>
    <t>9 AV</t>
  </si>
  <si>
    <t>9 MV</t>
  </si>
  <si>
    <t>9 Init</t>
  </si>
  <si>
    <t>9 Other</t>
  </si>
  <si>
    <t>10 AV</t>
  </si>
  <si>
    <t>10 MV</t>
  </si>
  <si>
    <t>10 Init</t>
  </si>
  <si>
    <t>10 Other</t>
  </si>
  <si>
    <t>11 AV</t>
  </si>
  <si>
    <t>11MV</t>
  </si>
  <si>
    <t>arrow becomes two or three arrows, see text</t>
  </si>
  <si>
    <t>arrow becomes three or four arrows, see text</t>
  </si>
  <si>
    <t>Bondforger</t>
  </si>
  <si>
    <t>NOB 305</t>
  </si>
  <si>
    <t>Bloodbond power</t>
  </si>
  <si>
    <t>Willforce+9</t>
  </si>
  <si>
    <t>Willforce+10</t>
  </si>
  <si>
    <t>Taishis Crossbow</t>
  </si>
  <si>
    <t>Cathay GM 126</t>
  </si>
  <si>
    <t>+2 spell def (+3 vs horrors)</t>
  </si>
  <si>
    <t>15 AV</t>
  </si>
  <si>
    <t>15MV</t>
  </si>
  <si>
    <t>15 Init</t>
  </si>
  <si>
    <t>15 Other</t>
  </si>
  <si>
    <t>+2 spell def (+4 vs horrors)</t>
  </si>
  <si>
    <t>+4 spell def (+5 vs horrors), reflect physical attacks</t>
  </si>
  <si>
    <t>Current Init</t>
  </si>
  <si>
    <t>none</t>
  </si>
  <si>
    <t>armor floats</t>
  </si>
  <si>
    <t>armor floats, extraordinary hit to defeat armor</t>
  </si>
  <si>
    <t>Bloodbond power, +2 charisma tests, +2 tactics</t>
  </si>
  <si>
    <t>Savage Hides</t>
  </si>
  <si>
    <t>EDGM3 139</t>
  </si>
  <si>
    <t>Helmet deflection bonus is +3 with no perception penalty</t>
  </si>
  <si>
    <t>Helmet deflection bonus is +3 with no perception penalty; claws can be used in unarmed combat damage step 3</t>
  </si>
  <si>
    <t>Helmet deflection bonus is +3 with no perception penalty; claws can be used in unarmed combat damage step 3; various</t>
  </si>
  <si>
    <t>Storm Armor</t>
  </si>
  <si>
    <t>Terror 86</t>
  </si>
  <si>
    <t>armor +1 vs fire/heat</t>
  </si>
  <si>
    <t>armor +1 vs fire/heat, +2 recovery tests if damaged in storm</t>
  </si>
  <si>
    <t>The Armor of Redlif</t>
  </si>
  <si>
    <t>EJ6 38</t>
  </si>
  <si>
    <t>+1 phys def, +1 spell def, , extraordinary hit to defeat armor</t>
  </si>
  <si>
    <t>+2 phys def, +2 spell def, , extraordinary hit to defeat armor</t>
  </si>
  <si>
    <t>, extraordinary hit to defeat armor</t>
  </si>
  <si>
    <t>, extraordinary hit to defeat armor, store karma</t>
  </si>
  <si>
    <t>, extraordinary hit to defeat armor, store karma, unleach karma</t>
  </si>
  <si>
    <t>Warhelm of Landis</t>
  </si>
  <si>
    <t>+1 soc def, +1 charisma step</t>
  </si>
  <si>
    <t>+2 soc def, +2 charisma step</t>
  </si>
  <si>
    <t>+1 spell def, +2 soc def, +2 charisma step</t>
  </si>
  <si>
    <t>+1 spell def, +2 soc def, +2 charisma step, +2 phys armor</t>
  </si>
  <si>
    <t>Wyvernskin Robe</t>
  </si>
  <si>
    <t>Brithan's Gaze power, +1 frighten</t>
  </si>
  <si>
    <t>Brithan's Gaze power, +2 frighten</t>
  </si>
  <si>
    <t>Brithan's Gaze power, +3 frighten</t>
  </si>
  <si>
    <t>+1 Architect talents/skills, +1 phys/spell/soc def in Throal, shorter time; +2 if innner Throal, Fortify Structure power</t>
  </si>
  <si>
    <t>+1 Architect talents/skills, +1 phys/spell/soc def in Throal, shorter time; +2 if innner Throal, Fortify Structure power, use Karma</t>
  </si>
  <si>
    <t>True Steel Forge</t>
  </si>
  <si>
    <t>weaponsmith bonuses, see text</t>
  </si>
  <si>
    <t>True Tuning Fork</t>
  </si>
  <si>
    <t>10 Attack</t>
  </si>
  <si>
    <t>11 Damage</t>
  </si>
  <si>
    <t>11 Attack</t>
  </si>
  <si>
    <t>12 Damage</t>
  </si>
  <si>
    <t>12 Attack</t>
  </si>
  <si>
    <t>13 Damage</t>
  </si>
  <si>
    <t>13 Attack</t>
  </si>
  <si>
    <t>14 Damage</t>
  </si>
  <si>
    <t>14 Attack</t>
  </si>
  <si>
    <t>15 Damage</t>
  </si>
  <si>
    <t>15 Attack</t>
  </si>
  <si>
    <t>Weap 1 Damage</t>
  </si>
  <si>
    <t>metal weapons are -3 attack, magnashock power, various</t>
  </si>
  <si>
    <t>Holds 50 lbs, owner knows changes and can inventory contents</t>
  </si>
  <si>
    <t>NOB 308</t>
  </si>
  <si>
    <t>Dragon's Gaze power</t>
  </si>
  <si>
    <t>Dragon's Gaze power, +3 Spell Def vs mental attacks</t>
  </si>
  <si>
    <t>+2 strength step</t>
  </si>
  <si>
    <t>+6 mystic vs dragons/drakes, immune to dragon venom</t>
  </si>
  <si>
    <t>+8 mystic vs dragons/drakes, immune to dragon venom</t>
  </si>
  <si>
    <t>+10 mystic vs dragons/drakes, immune to dragon venom</t>
  </si>
  <si>
    <t>+10 mystic vs dragons/drakes, immune to dragon venom, store karma, +2 def vs dragons</t>
  </si>
  <si>
    <t>+10 mystic vs dragons/drakes, immune to dragon venom, store karma, +5 def vs dragons</t>
  </si>
  <si>
    <t>Mirror (a shield)</t>
  </si>
  <si>
    <t>+2 phys def, blinding reflection power-see text</t>
  </si>
  <si>
    <t>Extraordinary hit to defeat armor</t>
  </si>
  <si>
    <t>Orichalcum Shield</t>
  </si>
  <si>
    <t>AMB 74</t>
  </si>
  <si>
    <t>+3 spell def</t>
  </si>
  <si>
    <t>EDC 63</t>
  </si>
  <si>
    <t>Sentry's Shield</t>
  </si>
  <si>
    <t>EDC2 67</t>
  </si>
  <si>
    <t>+1 perception</t>
  </si>
  <si>
    <t>+2 perception</t>
  </si>
  <si>
    <t>lightning and thunder, see text</t>
  </si>
  <si>
    <t>lightning and thunder, +3 attack for 3 strain, see text</t>
  </si>
  <si>
    <t>Banesword Screech</t>
  </si>
  <si>
    <t>Terror 83</t>
  </si>
  <si>
    <t>Kaer Armor</t>
  </si>
  <si>
    <t>Kellimar's Armor of Rose Petals</t>
  </si>
  <si>
    <t>BW 130</t>
  </si>
  <si>
    <t>Silvered Shield, Body</t>
  </si>
  <si>
    <t>repels spells, see text, +1 to recovery tests</t>
  </si>
  <si>
    <t>repels spells, see text, +1 to recovery tests, extraordinary hit to defeat armor</t>
  </si>
  <si>
    <t>Leather Armor</t>
  </si>
  <si>
    <t>Silvered Shield, Buckler</t>
  </si>
  <si>
    <t>Leatherwing</t>
  </si>
  <si>
    <t>NOB 300</t>
  </si>
  <si>
    <t>Silvered Shield, Footman's</t>
  </si>
  <si>
    <t>2 Init</t>
  </si>
  <si>
    <t>2 Other</t>
  </si>
  <si>
    <t>3 AV</t>
  </si>
  <si>
    <t>3 MV</t>
  </si>
  <si>
    <t>3 Init</t>
  </si>
  <si>
    <t>3 Other</t>
  </si>
  <si>
    <t>4 AV</t>
  </si>
  <si>
    <t>4 MV</t>
  </si>
  <si>
    <t>4 Init</t>
  </si>
  <si>
    <t>4 Other</t>
  </si>
  <si>
    <t>+1 spellcasting and threadweaving</t>
  </si>
  <si>
    <t>+1 spellcasting and threadweaving and see text</t>
  </si>
  <si>
    <t>Staff of Kintok</t>
  </si>
  <si>
    <t>+1 willforce</t>
  </si>
  <si>
    <t>+2 willforce</t>
  </si>
  <si>
    <t>+2 willforce, see text</t>
  </si>
  <si>
    <t>Wings of Fire</t>
  </si>
  <si>
    <t>Staff of Vylir</t>
  </si>
  <si>
    <t>Stone of Wisdom</t>
  </si>
  <si>
    <t>EJ2 41</t>
  </si>
  <si>
    <t>perception bonuses, see text</t>
  </si>
  <si>
    <t>Talisman of the Kaer</t>
  </si>
  <si>
    <t>EDC2 71</t>
  </si>
  <si>
    <t>+1 spell def vs an horror or construct spell or power</t>
  </si>
  <si>
    <t>11 Init</t>
  </si>
  <si>
    <t>11 Other</t>
  </si>
  <si>
    <t>Crystal Spell Box power, +2 Spellcasting, +2 Willforce, Elemental Fortitude power, Moving Earth power</t>
  </si>
  <si>
    <t>Ring Mail</t>
  </si>
  <si>
    <t>Strikeback, Shield of Lora Everthought</t>
  </si>
  <si>
    <t>Par 59</t>
  </si>
  <si>
    <t>holds 100 lbs with no weight</t>
  </si>
  <si>
    <t>holds 200 lbs with no weight</t>
  </si>
  <si>
    <t>Wound Store</t>
  </si>
  <si>
    <t>When bonded, inflicts three wounds; once wounds are healed, the wearer may negate one wound at any time thereafter.</t>
  </si>
  <si>
    <t>Current MV</t>
  </si>
  <si>
    <t>Bloodwall</t>
  </si>
  <si>
    <t>AMB 77</t>
  </si>
  <si>
    <t>+5 armor vs heat &amp; fire</t>
  </si>
  <si>
    <t>+5 armor vs heat &amp; fire, defense vs gaze attack-see text</t>
  </si>
  <si>
    <t>+10 armor vs heat &amp; fire, defense vs gaze attack-see text</t>
  </si>
  <si>
    <t>+15 armor vs heat &amp; fire, defense vs gaze attack-see text</t>
  </si>
  <si>
    <t>+15 armor vs heat &amp; fire, defense vs gaze attack-see text, astral sight +3</t>
  </si>
  <si>
    <t>Bone Armor</t>
  </si>
  <si>
    <t>+1 spell def vs fear</t>
  </si>
  <si>
    <t>+3 spell def vs fear</t>
  </si>
  <si>
    <t>Buckler</t>
  </si>
  <si>
    <t>EDC 61</t>
  </si>
  <si>
    <t>Brithan Skull Helmet</t>
  </si>
  <si>
    <t>+1 soc def, deflection +3</t>
  </si>
  <si>
    <t>+2 soc def, deflection +3, +2 to intimidation test</t>
  </si>
  <si>
    <t>The Dragon Armor of Jung</t>
  </si>
  <si>
    <t>Cathay GM 131</t>
  </si>
  <si>
    <t>Chain Mail</t>
  </si>
  <si>
    <t>Everwary</t>
  </si>
  <si>
    <t>+2 phys def, regeneration rank 2, dragon fear power rank 3</t>
  </si>
  <si>
    <t>Venna's Armor</t>
  </si>
  <si>
    <t>ED 283</t>
  </si>
  <si>
    <t>Detect Intent power, sense hidden weapons, disarm, detect traps</t>
  </si>
  <si>
    <t>Detect Intent power, sense hidden weapons, disarm, detect traps, +1 init</t>
  </si>
  <si>
    <t>Detect Intent power, sense hidden weapons, disarm, detect traps, +1 init, Disarming Glare power</t>
  </si>
  <si>
    <t>Crystal Plate Mail</t>
  </si>
  <si>
    <t>CR 137</t>
  </si>
  <si>
    <t>Growler</t>
  </si>
  <si>
    <t>NOB 306</t>
  </si>
  <si>
    <t>+1 Architect talents/skills, +1 phys/spell/soc def in Throal, shorter time; +2 if innner Throal</t>
  </si>
  <si>
    <t>Strength of the Sky (Sky Raider)</t>
  </si>
  <si>
    <t>EDC 15</t>
  </si>
  <si>
    <t>A Sky Raider increases his strenght step by 3.</t>
  </si>
  <si>
    <t>Mynbruje's Razor</t>
  </si>
  <si>
    <t>Kratas 248</t>
  </si>
  <si>
    <t>Ship is +1 Ramming Step</t>
  </si>
  <si>
    <t>Ship is +2 Ramming Step, +1 Speed</t>
  </si>
  <si>
    <t>Scarab of Ilithor</t>
  </si>
  <si>
    <t>AMB 84</t>
  </si>
  <si>
    <t>+3 phys arm, +3 myst arm, arm pen hit +1 level, +2 interaction to allegiance, large favor as small</t>
  </si>
  <si>
    <t>+3/5 phys arm, +3/5 myst arm (arm/no arm), arm pen hit +1 level, +2 interaction to allegiance, large favor as small</t>
  </si>
  <si>
    <t>troubadour bonues, see text</t>
  </si>
  <si>
    <t>metal weapons are -2 attack</t>
  </si>
  <si>
    <t>metal weapons are -3 attack</t>
  </si>
  <si>
    <t>metal weapons are -3 attack, magnashock power</t>
  </si>
  <si>
    <t>Ship is +6 Ramming Step, +3 Speed, +2 Maneuverability, +5 Armor, see text</t>
  </si>
  <si>
    <t>Ship is +8 Ramming Step, +3 Speed, +2 Maneuverability, +4 Armor, see text</t>
  </si>
  <si>
    <t>+3 strength step</t>
  </si>
  <si>
    <t>+3 strength step, see text</t>
  </si>
  <si>
    <t>Shield Charm</t>
  </si>
  <si>
    <t>Holds 50 lbs, 1 strain = teleport contained item within 100 yards, owner knows changes and can inventory contents</t>
  </si>
  <si>
    <t>Holds 70 lbs, 1 strain = teleport contained item within 100 yards, owner knows changes and can inventory contents</t>
  </si>
  <si>
    <t>Holds 70 lbs, blood wound = transport all items, 1 strain = teleport contained item within 100 yards, owner knows changes and can inventory contents</t>
  </si>
  <si>
    <t>Vettaskin Bridle</t>
  </si>
  <si>
    <t>cavalryman bonuses, see text</t>
  </si>
  <si>
    <t>Vial</t>
  </si>
  <si>
    <t>EDC 69</t>
  </si>
  <si>
    <t>+4 steps to recovery</t>
  </si>
  <si>
    <t>+5 steps to recovery</t>
  </si>
  <si>
    <t>+6 steps to recovery or heal 1 wound</t>
  </si>
  <si>
    <t>+7 steps to recovery or heal 1 wound</t>
  </si>
  <si>
    <t>Wand</t>
  </si>
  <si>
    <t>+1 step to spellcasting</t>
  </si>
  <si>
    <t>AV 9 vs horrors &amp; constructs</t>
  </si>
  <si>
    <t>AV 10 vs horrors &amp; constructs</t>
  </si>
  <si>
    <t>AV 11, MV 1 vs horrors &amp; constructs</t>
  </si>
  <si>
    <t>Silvered Shield</t>
  </si>
  <si>
    <t>ED 276</t>
  </si>
  <si>
    <t>repels spells, see text</t>
  </si>
  <si>
    <t>Choose a specific wearer to hear</t>
  </si>
  <si>
    <t>Mentally communicate with other wearers</t>
  </si>
  <si>
    <t>Windling Cup of Friendship</t>
  </si>
  <si>
    <t>Bar 49</t>
  </si>
  <si>
    <t>fills with water or wine</t>
  </si>
  <si>
    <t>fills with water or wine, see text</t>
  </si>
  <si>
    <t>1 AV</t>
  </si>
  <si>
    <t>1MV</t>
  </si>
  <si>
    <t>1 Init</t>
  </si>
  <si>
    <t>1 Other</t>
  </si>
  <si>
    <t>2 AV</t>
  </si>
  <si>
    <t>2 MV</t>
  </si>
  <si>
    <t>Staff of Avanthus</t>
  </si>
  <si>
    <t>S2FOA 13</t>
  </si>
  <si>
    <t>Weapon Bond</t>
  </si>
  <si>
    <t>A Swordmaster cannot be long separated from his/her weapon, see text.</t>
  </si>
  <si>
    <t>Pai Lengs Spellstaff</t>
  </si>
  <si>
    <t>Cathay GM 134</t>
  </si>
  <si>
    <t>+1 step to initiative for every 1 point of strain taken.</t>
  </si>
  <si>
    <t>True Metal Container</t>
  </si>
  <si>
    <t>Allows flight for 1 point of strain per round.</t>
  </si>
  <si>
    <t>+2 spell def vs an horror or construct spell or power</t>
  </si>
  <si>
    <t>12 AV</t>
  </si>
  <si>
    <t>12MV</t>
  </si>
  <si>
    <t>12 Init</t>
  </si>
  <si>
    <t>12 Other</t>
  </si>
  <si>
    <t>13 AV</t>
  </si>
  <si>
    <t>13MV</t>
  </si>
  <si>
    <t>13 Init</t>
  </si>
  <si>
    <t>13 Other</t>
  </si>
  <si>
    <t>14 AV</t>
  </si>
  <si>
    <t>14MV</t>
  </si>
  <si>
    <t>14 Init</t>
  </si>
  <si>
    <t>14 Other</t>
  </si>
  <si>
    <t>Cathay GM 132</t>
  </si>
  <si>
    <t>+1 phys arm</t>
  </si>
  <si>
    <t>+1 phys def, +1 phys arm</t>
  </si>
  <si>
    <t>+1 phys def, +1 phys arm, +1 myst arm</t>
  </si>
  <si>
    <t>Current AV</t>
  </si>
  <si>
    <t>+3 steps to wound balance.  Costs 1 point of strain per use.</t>
  </si>
  <si>
    <t>Pouch</t>
  </si>
  <si>
    <t>holds 50 lbs with no weight</t>
  </si>
  <si>
    <t>holds 75 lbs with no weight</t>
  </si>
  <si>
    <t>Puppet Familiar</t>
  </si>
  <si>
    <t>holds spell matrices, see text</t>
  </si>
  <si>
    <t>Purse Ever Bountiful</t>
  </si>
  <si>
    <t>GM 42</t>
  </si>
  <si>
    <t>+1 phys def, +1 spell def, +1 phys arm, +1 myst arm</t>
  </si>
  <si>
    <t>+1 phys def, +1 spell def, +2 phys arm, +1 myst arm</t>
  </si>
  <si>
    <t>+2 phys def, +1 spell def, +2 phys arm, +1 myst arm</t>
  </si>
  <si>
    <t>+2 phys def, +1 spell def, +2 phys arm, +2 myst arm</t>
  </si>
  <si>
    <t>+2 phys def, +2 spell def, +2 phys arm, +2 myst arm</t>
  </si>
  <si>
    <t>+2 phys def, +2 spell def, +2 phys arm, +2 myst arm, Giant Stomps Feet spell</t>
  </si>
  <si>
    <t>The Lotus Flower of Kwan Yin</t>
  </si>
  <si>
    <t>+2 spell def, +2 soc def</t>
  </si>
  <si>
    <t>+3 spell def, +3 soc def</t>
  </si>
  <si>
    <t>+4 spell def, +4 soc def</t>
  </si>
  <si>
    <t>+5 spell def, +5 soc def, +1 interaction tests</t>
  </si>
  <si>
    <t>The Stone of Wisdom</t>
  </si>
  <si>
    <t>RT</t>
  </si>
  <si>
    <t>+1 to perception tests</t>
  </si>
  <si>
    <t>+2 soc def, deflection +4, +2 to intimidation test</t>
  </si>
  <si>
    <t>NOB 310</t>
  </si>
  <si>
    <t>Detect Intent power</t>
  </si>
  <si>
    <t>Detect Intent power, sense hidden weapons</t>
  </si>
  <si>
    <t>Detect Intent power, sense hidden weapons, disarm</t>
  </si>
  <si>
    <t>+1 Architect talents/skills, +1 phys/spell/soc def in Throal</t>
  </si>
  <si>
    <t>+1 Architect talents/skills, +1 phys/spell/soc def in Throal, shorter time</t>
  </si>
  <si>
    <t>+2 phys arm, +2 myst arm, +2 interaction to allegiance, large favor as small</t>
  </si>
  <si>
    <t>+2 phys arm, +2 myst arm, arm pen hit +1 level, +2 interaction to allegiance, large favor as small</t>
  </si>
  <si>
    <t>+1 phys arm, +1 myst arm, +2 interaction to allegiance, large favor as small</t>
  </si>
  <si>
    <t>An Air Sailor increases his strenght step by 2.</t>
  </si>
  <si>
    <t>Musical Instruments</t>
  </si>
  <si>
    <t>AMB 75</t>
  </si>
  <si>
    <t>+1 rank emotion song</t>
  </si>
  <si>
    <t>thieving bonuses, see text</t>
  </si>
  <si>
    <t>Vase of Hidden Wonders</t>
  </si>
  <si>
    <t>Cathay GM 127</t>
  </si>
  <si>
    <t>Holds 10 lbs</t>
  </si>
  <si>
    <t>Holds 30 lbs</t>
  </si>
  <si>
    <t>Holds 30 lbs, owner knows changes and can inventory contents</t>
  </si>
  <si>
    <t>Ethereal Darkness 6 yard radius for 2 rounds</t>
  </si>
  <si>
    <t>Ethereal Darkness 8 yard radius for 3 rounds</t>
  </si>
  <si>
    <t>Ethereal Darkness 10 yard radius for 4 rounds</t>
  </si>
  <si>
    <t>Shanguh's Mighty Hearts</t>
  </si>
  <si>
    <t>LED 73</t>
  </si>
  <si>
    <t>bonuses to interaction and charisma, see text</t>
  </si>
  <si>
    <t>Shadow Bomb</t>
  </si>
  <si>
    <t>Kratas 244</t>
  </si>
  <si>
    <t>Ship is +5 Ramming Step, +2 Speed, +2 Maneuverability, +3 Armor</t>
  </si>
  <si>
    <t>Ship is +6 Ramming Step, +3 Speed, +2 Maneuverability, +4 Armor, Karma</t>
  </si>
  <si>
    <t>Ethereal Darkness 12 yard radius for 5 rounds</t>
  </si>
  <si>
    <t>combat defense bonuses, see text</t>
  </si>
  <si>
    <t>Skull of Maarberg</t>
  </si>
  <si>
    <t>Infected 75</t>
  </si>
  <si>
    <t>Horror Powers, see text</t>
  </si>
  <si>
    <t>Slippers of Flight</t>
  </si>
  <si>
    <t>Cathay GM 135</t>
  </si>
  <si>
    <t>5 strain = fly, see text</t>
  </si>
  <si>
    <t>3 strain = fly, see text</t>
  </si>
  <si>
    <t>1 strain = fly, see text</t>
  </si>
  <si>
    <t>Sock of Granak</t>
  </si>
  <si>
    <t>AMB 85</t>
  </si>
  <si>
    <t>combat bonuses, see text</t>
  </si>
  <si>
    <t>Soulsafe</t>
  </si>
  <si>
    <t>AMB 86</t>
  </si>
  <si>
    <t>+2 phys def, +1 soc def</t>
  </si>
  <si>
    <t>+2 phys def, +1 soc def, see text</t>
  </si>
  <si>
    <t>Spell Matrix Staff</t>
  </si>
  <si>
    <t>Spider Gloves and Slippers</t>
  </si>
  <si>
    <t>Kratas</t>
  </si>
  <si>
    <t>+2 Climbing</t>
  </si>
  <si>
    <t>+3 Climbing</t>
  </si>
  <si>
    <t>+2 step to spellcasting</t>
  </si>
  <si>
    <t>+2 step to spellcasting, +1 spell def</t>
  </si>
  <si>
    <t>+2 step to spellcasting, +2 spell def</t>
  </si>
  <si>
    <t>+2 steps to spellcasting, +1 step to threadweaving, +1 step to spell effect</t>
  </si>
  <si>
    <t>Whispering Earrings</t>
  </si>
  <si>
    <t>AR 84</t>
  </si>
  <si>
    <t>Hear what other wearers say within thread rank miles</t>
  </si>
  <si>
    <t>+8 damage, +4 phys def, +4 spell def, +2 soc def</t>
  </si>
  <si>
    <t>Spirit Loom</t>
  </si>
  <si>
    <t>Sprinting Shoes</t>
  </si>
  <si>
    <t>Sprint at thread rank</t>
  </si>
  <si>
    <t>Sprint at thread rank, may spend karma instead of strain</t>
  </si>
  <si>
    <t>Staff of Akarem the Mage-Builder</t>
  </si>
  <si>
    <t>Mist 99</t>
  </si>
  <si>
    <t>+2 spellcasting</t>
  </si>
  <si>
    <t>+2 spellcasting, see text</t>
  </si>
  <si>
    <t>+4 charisma, +3 soc def, see text</t>
  </si>
  <si>
    <t>+3 charisma, +2 soc def, see text</t>
  </si>
  <si>
    <t>+4 charisma, +2 soc def, see text</t>
  </si>
  <si>
    <t>aids in recovery tests, see text</t>
  </si>
  <si>
    <t>Wiseman's Wine</t>
  </si>
  <si>
    <t>Holds 5 kernals of a true element.</t>
  </si>
  <si>
    <t>Mask of Oltion</t>
  </si>
  <si>
    <t>ED 280</t>
  </si>
  <si>
    <t>various powers, see text</t>
  </si>
  <si>
    <t>Wizard Dust</t>
  </si>
  <si>
    <t>Potion of Life</t>
  </si>
  <si>
    <t>ED 275</t>
  </si>
  <si>
    <t>recovery +6</t>
  </si>
  <si>
    <t>+3 spell def vs an horror or construct spell or power</t>
  </si>
  <si>
    <t>+4 spell def vs an horror or construct spell or power</t>
  </si>
  <si>
    <t>Talisman Statue</t>
  </si>
  <si>
    <t>GM 43</t>
  </si>
  <si>
    <t>The Gong of Cao</t>
  </si>
  <si>
    <t>recovery +9, poison resistance +6</t>
  </si>
  <si>
    <t>Wound Balance Charm</t>
  </si>
  <si>
    <t>Resurrect Mount</t>
  </si>
  <si>
    <t>EDC 11</t>
  </si>
  <si>
    <t>recovery +8</t>
  </si>
  <si>
    <t>recovery +8, poison resistance +4</t>
  </si>
  <si>
    <t>Bonues to mimic and disguise, see text</t>
  </si>
  <si>
    <t>Wizard's Marrow</t>
  </si>
  <si>
    <t>Strength of limb is raised one step; only functions if using only the one limb.</t>
  </si>
  <si>
    <t>Sigil of the Hand of Corruption</t>
  </si>
  <si>
    <t>duplicates coins, see text</t>
  </si>
  <si>
    <t>Quill of the Great Library</t>
  </si>
  <si>
    <t>NOB 302</t>
  </si>
  <si>
    <t>+1 writing or drawing</t>
  </si>
  <si>
    <t>+1 writing or drawing and +1 research</t>
  </si>
  <si>
    <t>Reins of Might</t>
  </si>
  <si>
    <t>Add thread rank to trick riding</t>
  </si>
  <si>
    <t>Add thread rank to trick riding and empathic command</t>
  </si>
  <si>
    <t>Add thread rank to trick riding and empathic command, +1 phys def</t>
  </si>
  <si>
    <t>+1 to perception tests, +1 soc def</t>
  </si>
  <si>
    <t>+1 to perception tests, +2 soc def</t>
  </si>
  <si>
    <t>+1 to perception tests, +2 soc def, +1 detect influence</t>
  </si>
  <si>
    <t>+3 soc def, deflection +4, +3 to intimidation test</t>
  </si>
  <si>
    <t>Crystal Buckler</t>
  </si>
  <si>
    <t>EDC 62</t>
  </si>
  <si>
    <t>Torc of Domination</t>
  </si>
  <si>
    <t>Command, telepathy, and attack of silver torcs</t>
  </si>
  <si>
    <t>Torc of Submission</t>
  </si>
  <si>
    <t>Obey gold torcs</t>
  </si>
  <si>
    <t>Tools of the Architect</t>
  </si>
  <si>
    <t>NOB 314</t>
  </si>
  <si>
    <t>+1 Architect talents/skills in Throal</t>
  </si>
  <si>
    <t>+1 to perception tests, +2 soc def, +1 detect influence, see text</t>
  </si>
  <si>
    <t>Thunderstaff</t>
  </si>
  <si>
    <t>CR 138</t>
  </si>
  <si>
    <t>cast lightning and thunder, see text</t>
  </si>
  <si>
    <t>Tome of Memory</t>
  </si>
  <si>
    <t>Bar 53</t>
  </si>
  <si>
    <t>mage bonuses, see text</t>
  </si>
  <si>
    <t>spellcaster bonuses, see text</t>
  </si>
  <si>
    <t>Robe of Iron Silk</t>
  </si>
  <si>
    <t>+2 interaction to allegiance</t>
  </si>
  <si>
    <t>+1 phys arm, +1 myst arm, +2 interaction to allegiance</t>
  </si>
  <si>
    <t>Living Crystal Armor</t>
  </si>
  <si>
    <t>ED 256</t>
  </si>
  <si>
    <t>Armor value 6/3 from implanted crystal.  No head protection.</t>
  </si>
  <si>
    <t>Soul Stones</t>
  </si>
  <si>
    <t>+2 rank emotion song</t>
  </si>
  <si>
    <t>+3 rank emotion song</t>
  </si>
  <si>
    <t>+4 rank emotion song, +1 soc def</t>
  </si>
  <si>
    <t>Holds stories, charaisma and social bonuses, see text</t>
  </si>
  <si>
    <t>Tears of the Phoenix</t>
  </si>
  <si>
    <t>Living Crystal Tail Spikes</t>
  </si>
  <si>
    <t>EJ6 25</t>
  </si>
  <si>
    <t>Attached to T'skrang tails, do damage.</t>
  </si>
  <si>
    <t>Talismans</t>
  </si>
  <si>
    <t>Ship is +3 Ramming Step, +1 Speed, +1 Maneuverability</t>
  </si>
  <si>
    <t>Shackled Feet of Friendship</t>
  </si>
  <si>
    <t>Successful attacks gain 1 point of target's karma, 3 if armor penetrating.  A hit on the absorber causes double damage and a wound and destroys it.</t>
  </si>
  <si>
    <t>Scarless Pitons</t>
  </si>
  <si>
    <t>Fuse to stone on command word, unfuse on second command word.</t>
  </si>
  <si>
    <t>Hush Cloak</t>
  </si>
  <si>
    <t>Silent Walk at thread rank</t>
  </si>
  <si>
    <t>Silent Walk at thread rank, +1 Phys Arm, +1 Myst Arm</t>
  </si>
  <si>
    <t>Ship is +9 Ramming Step, +3 Speed, +2 Maneuverability, +8 Armor, see text</t>
  </si>
  <si>
    <t>Ship is +10 Ramming Step, +3 Speed, +2 Maneuverability, +8 Armor, see text</t>
  </si>
  <si>
    <t>Swimming Charm</t>
  </si>
  <si>
    <t>+3 steps to swimming tests.</t>
  </si>
  <si>
    <t>Naga Scale Brooch</t>
  </si>
  <si>
    <t>AMB 73</t>
  </si>
  <si>
    <t>+1 charisma</t>
  </si>
  <si>
    <t>+2 charisma</t>
  </si>
  <si>
    <t>+2 charisma, +1 soc def</t>
  </si>
  <si>
    <t>+3 charisma, +2 soc def</t>
  </si>
  <si>
    <t>+3 charisma, +2 soc def, +1 rank hypnotize</t>
  </si>
  <si>
    <t>+3 charisma, +2 soc def, +2 rank hypnotize</t>
  </si>
  <si>
    <t>+3 Climbing, see text</t>
  </si>
  <si>
    <t>Spike Gauntlets</t>
  </si>
  <si>
    <t>ED 277</t>
  </si>
  <si>
    <t>+1 phys def, +1spell def</t>
  </si>
  <si>
    <t>+6 damage, +2 phys def, +2 spell def, see text</t>
  </si>
  <si>
    <t>Wand2</t>
  </si>
  <si>
    <t>EDPG3 279</t>
  </si>
  <si>
    <t>+1 step to spellcasting, +1 step to threadweaving</t>
  </si>
  <si>
    <t>+1 step to spellcasting, +1 step to threadweaving, +1 step to spell effect</t>
  </si>
  <si>
    <t>+6 damage, +3 phys def, +3 spell def, see text</t>
  </si>
  <si>
    <t>+8 damage, +3 phys def, +3 spell def, see text</t>
  </si>
  <si>
    <t>+8 damage, +3 phys def, +4 spell def, +1 soc def</t>
  </si>
  <si>
    <t>magical torch with various powers, see text</t>
  </si>
  <si>
    <t>Wazzneer's Gem</t>
  </si>
  <si>
    <t>Wearer receives +7 spell defense when being tracked.</t>
  </si>
  <si>
    <t>Oratory Necklace</t>
  </si>
  <si>
    <t>GM 41</t>
  </si>
  <si>
    <t>+1 charisma, +1 soc def</t>
  </si>
  <si>
    <t>+2 charisma, +1 soc def, see text</t>
  </si>
  <si>
    <t>+2 Spell def, +2 Myst Arm, +2 karma step, see text, Commune with Dragon</t>
  </si>
  <si>
    <t>+3 Spell def, +3 Myst Arm, +4 karma step, see text, Commune with Dragon</t>
  </si>
  <si>
    <t>Gives immunity to alcohol effects.  Lasts 4 hours.  +1 step to resistance tests for poison.</t>
  </si>
  <si>
    <t>Reflex Booster</t>
  </si>
  <si>
    <t>EJ5 44</t>
  </si>
  <si>
    <t>Tatoo becomes a map of the region at a 100 mile radius from wearer; needs a week to reset after travel.</t>
  </si>
  <si>
    <t>Scout's Boots</t>
  </si>
  <si>
    <t>Key to the Bazaar</t>
  </si>
  <si>
    <t>NOB 299</t>
  </si>
  <si>
    <t>+4 to Spell Defense and Mystic Armor for 6 rounds to all in a 5' radius</t>
  </si>
  <si>
    <t>+4 to talent or attribute, see text</t>
  </si>
  <si>
    <t>+5 to talent or attribute, see text</t>
  </si>
  <si>
    <t>Resist Disease Potion</t>
  </si>
  <si>
    <t>+3 steps to resist disease.</t>
  </si>
  <si>
    <t>Horror Sink</t>
  </si>
  <si>
    <t>Burns when within 100 yards of a horror</t>
  </si>
  <si>
    <t>Pure Water Pot</t>
  </si>
  <si>
    <t>Casts Purify Water spell on any liuic placed in it; spellcasting and effect tests are at step 8 each.</t>
  </si>
  <si>
    <t>Step 8 damage every time a recovery test is used, mystic protects.</t>
  </si>
  <si>
    <t>Lifeshard</t>
  </si>
  <si>
    <t>SSB 60</t>
  </si>
  <si>
    <t>Reduces strain by half to minimum of 1 for spellcasting, threadweaving, and other purely spellcaster discipline talents for one hour.</t>
  </si>
  <si>
    <t>Shadowcloak</t>
  </si>
  <si>
    <t>EDC 17</t>
  </si>
  <si>
    <t>A Thief may weave a shadowcloak; reduces spotting attempts by -2 steps.</t>
  </si>
  <si>
    <t>Volus Brooch</t>
  </si>
  <si>
    <t>Glows if within one mile of magic item or adept.</t>
  </si>
  <si>
    <t>Masks of the Moon</t>
  </si>
  <si>
    <t>AMB 72</t>
  </si>
  <si>
    <t>visual and perception bonues</t>
  </si>
  <si>
    <t>Ska's Tear</t>
  </si>
  <si>
    <t>Warm Cloak</t>
  </si>
  <si>
    <t>Cloak keeps wearer warm.</t>
  </si>
  <si>
    <t>Retribution (a ring)</t>
  </si>
  <si>
    <t>BOT1 8</t>
  </si>
  <si>
    <t>Ring</t>
  </si>
  <si>
    <t>EDC 68</t>
  </si>
  <si>
    <t>+1 soc def, +1 spell def</t>
  </si>
  <si>
    <t>+2 soc def, +1 spell def</t>
  </si>
  <si>
    <t>+1 step to attacks</t>
  </si>
  <si>
    <t>+2 step to attacks</t>
  </si>
  <si>
    <t>+2 step to attacks, +1 steps to damage</t>
  </si>
  <si>
    <t>+3 step to attacks, +2 steps to damage</t>
  </si>
  <si>
    <t>Robe of Dianuus</t>
  </si>
  <si>
    <t>AMB 89</t>
  </si>
  <si>
    <t>Mirror of Turnaround</t>
  </si>
  <si>
    <t>Par 58</t>
  </si>
  <si>
    <t>resists horror effects, see text</t>
  </si>
  <si>
    <t>Strength Booster</t>
  </si>
  <si>
    <t>+1 step to strength tests for every 2 points of strain taken.</t>
  </si>
  <si>
    <t>Monturk's Carpet</t>
  </si>
  <si>
    <t>flying carpet, see text</t>
  </si>
  <si>
    <t>Strength of the Sky (Air Sailor)</t>
  </si>
  <si>
    <t>EDC 149</t>
  </si>
  <si>
    <t>Add +1 to the difficulty number of any perception tests based on the sounds of the wearer's hands.</t>
  </si>
  <si>
    <t>CF 121</t>
  </si>
  <si>
    <t>contain souls, see text</t>
  </si>
  <si>
    <t>Lisar's Pack of Tales</t>
  </si>
  <si>
    <t>LED 82</t>
  </si>
  <si>
    <t>Leaves absorb liquids.  Good for wound dressings.  May help in drinking contests.</t>
  </si>
  <si>
    <t>Living Hair Barding</t>
  </si>
  <si>
    <t>Single use spell matrix item, cost 2 points of strain to use.</t>
  </si>
  <si>
    <t>Little Troll's Helm</t>
  </si>
  <si>
    <t>AMB 81</t>
  </si>
  <si>
    <t>Ship is +4 Ramming Step, +2 Speed, +1 Maneuverability, +3 Armor</t>
  </si>
  <si>
    <t>+4 vs Traps, defense and armor bonuses, see text</t>
  </si>
  <si>
    <t>+8 vs Traps, defense and armor bonuses, see text</t>
  </si>
  <si>
    <t>Potion of Balance Most Excellent</t>
  </si>
  <si>
    <t>+6 steps to strength or dexterity for knockdown, climbing, swinging, for 9 rounds.</t>
  </si>
  <si>
    <t>Gilt Tongue</t>
  </si>
  <si>
    <t xml:space="preserve">Charisma Attribute increases +3, but no other increase is ever possible. </t>
  </si>
  <si>
    <t>One-size Hat</t>
  </si>
  <si>
    <t>Hat fits perfectly on any Namegiver.</t>
  </si>
  <si>
    <t>Allows up to 36 hours of wakefulness, +1 to perception and +1 to dexterity; user must sleep 18 hours after the tinture wears off.</t>
  </si>
  <si>
    <t>Mark Breaker Charm</t>
  </si>
  <si>
    <t>For 1 point of strain, the wearer becomes extremely intoxicated and therefore protected from horrow mark effects.</t>
  </si>
  <si>
    <t>The Everliving Flower</t>
  </si>
  <si>
    <t>Mist 97</t>
  </si>
  <si>
    <t>Mandwhin's Heartening Banner</t>
  </si>
  <si>
    <t>EJ8 55</t>
  </si>
  <si>
    <t>Bonuses to charisma ana social, see text</t>
  </si>
  <si>
    <t>Vitality of the Boar</t>
  </si>
  <si>
    <t>+8 bonus to next recovery test made within 24 hours.</t>
  </si>
  <si>
    <t>Poison Sac</t>
  </si>
  <si>
    <t>Poison damage with Blood Weapon.</t>
  </si>
  <si>
    <t>Theft Proof Bag</t>
  </si>
  <si>
    <t>Targeting Eye</t>
  </si>
  <si>
    <t>+2 steps to missile weapon or throwing tests for 1 point of strain.</t>
  </si>
  <si>
    <t>Neeza's Pipes</t>
  </si>
  <si>
    <t>EJ6 53</t>
  </si>
  <si>
    <t>A group of wearers become thought linked.</t>
  </si>
  <si>
    <t>Net of Dreams</t>
  </si>
  <si>
    <t>SR 130</t>
  </si>
  <si>
    <t>Traceless Steps Charm</t>
  </si>
  <si>
    <t>Continuously conceals tracks; sensing difficulty of 15 to overcome.</t>
  </si>
  <si>
    <t>Neverburn</t>
  </si>
  <si>
    <t>AMB 82</t>
  </si>
  <si>
    <t>Potion Charm</t>
  </si>
  <si>
    <t>Dispenses whatever potion was in it when it was implanted.</t>
  </si>
  <si>
    <t>Traveler's Mug</t>
  </si>
  <si>
    <t>Fill once per day with cool fresh water on command.</t>
  </si>
  <si>
    <t>Maranok's Healthful Charm</t>
  </si>
  <si>
    <t>Bar 52</t>
  </si>
  <si>
    <t>various</t>
  </si>
  <si>
    <t>A Cavalryman may resurrect his mount if it has been dead for 3 or fewer days.</t>
  </si>
  <si>
    <t>Upandal's Blessings</t>
  </si>
  <si>
    <t>Tools allow second test to correct mistakes in crafting tasks.</t>
  </si>
  <si>
    <t>Mask of the Crowd</t>
  </si>
  <si>
    <t>BD 104</t>
  </si>
  <si>
    <t>+3 to talent or attribute, see text</t>
  </si>
  <si>
    <t>Wearer may choose to have a slight colored glow outline their body or to have glowing eyes.</t>
  </si>
  <si>
    <t>Mask of J'Rora</t>
  </si>
  <si>
    <t>BOE 78</t>
  </si>
  <si>
    <t>Cursed mask, puts wearer under control of a horror.</t>
  </si>
  <si>
    <t>Forest Robes</t>
  </si>
  <si>
    <t>AMB 71</t>
  </si>
  <si>
    <t>spellcasting +1</t>
  </si>
  <si>
    <t>spellcasting +1, +2 spell def, +2 mystic</t>
  </si>
  <si>
    <t>spellcasting +1, +2 spell def, +2 mystic, see text</t>
  </si>
  <si>
    <t>Mist Blossoms</t>
  </si>
  <si>
    <t>Poultice for healing burns.  +3 steps to recovery tests to heal burn damage.</t>
  </si>
  <si>
    <t>Hanjorie's Song (a flute)</t>
  </si>
  <si>
    <t>BOT2 34</t>
  </si>
  <si>
    <t>Bonuses to social talents, see text</t>
  </si>
  <si>
    <t>Salve of Closure</t>
  </si>
  <si>
    <t>Communication and spellcasting bonuses, see text</t>
  </si>
  <si>
    <t>Stone Oil</t>
  </si>
  <si>
    <t>+3 to physical armor and wound threshhold; is not cumulative with any other bonuses, does not work on obsidimen, lasts 16 hours.</t>
  </si>
  <si>
    <t>Lasting Memory Charm</t>
  </si>
  <si>
    <t>Headband with an eye; 1 strain give perfect recall for 1 round.</t>
  </si>
  <si>
    <t>Silk Slippers of Mi Ji</t>
  </si>
  <si>
    <t>Add +1 to the difficulty number of any perception tests based on the sounds of the wearer's feet.</t>
  </si>
  <si>
    <t>+1 dexterity, +1 initiative</t>
  </si>
  <si>
    <t>+2 dexterity, +2 initiative</t>
  </si>
  <si>
    <t>Masks of the Sun</t>
  </si>
  <si>
    <t>Spore Gland</t>
  </si>
  <si>
    <t>Willpower or Willforce step damage vs. all within 25 yards if knocked unconscious.</t>
  </si>
  <si>
    <t>Wind Instruments</t>
  </si>
  <si>
    <t>+1 step to musical tests.</t>
  </si>
  <si>
    <t>Wearer loses all sensation of pain and has no penalty for wounds and may choose to stay conscious when unconsciousness rating is exceeded.</t>
  </si>
  <si>
    <t>+5 dexterity, +5 initiative, see text</t>
  </si>
  <si>
    <t>Surrunic</t>
  </si>
  <si>
    <t>Chewing seeds or drinking tea made of seeds gives +3 to social def for 2 hours.  Also -3 steps on charisma tests during that time.</t>
  </si>
  <si>
    <t>Broth gives +1 recovery test daily to recover from bone injuries.</t>
  </si>
  <si>
    <t>Initiative Booster</t>
  </si>
  <si>
    <t>Quiet-fingers Gloves</t>
  </si>
  <si>
    <t>Armor for mounts provides 4 physical and 4 mystic and -1 initiative.</t>
  </si>
  <si>
    <t>Teakettle of Ming Ho</t>
  </si>
  <si>
    <t>Keeps tea fresh and warm.</t>
  </si>
  <si>
    <t>Lyllaria's Mirror</t>
  </si>
  <si>
    <t>LED 79</t>
  </si>
  <si>
    <t>scrying, see text</t>
  </si>
  <si>
    <t>Tincture of Wakefulness</t>
  </si>
  <si>
    <t>+2 vs Traps, see text</t>
  </si>
  <si>
    <t>+3 vs Traps, see text</t>
  </si>
  <si>
    <t>Bag contents weigh 10% of weight contained, but only holds its normal volume.</t>
  </si>
  <si>
    <t>Espagra Saddle</t>
  </si>
  <si>
    <t>GM 40</t>
  </si>
  <si>
    <t>bonuses to mount, see text</t>
  </si>
  <si>
    <t>Luck of the Monkey Salve</t>
  </si>
  <si>
    <t>Dead person gets all recovery tests left or one bonus one if none left.</t>
  </si>
  <si>
    <t>Elemental Fend</t>
  </si>
  <si>
    <t>+4 to spell defence vs. appropriate elemental powers.</t>
  </si>
  <si>
    <t>Light Pack</t>
  </si>
  <si>
    <t>+3 steps to next recovery test that day after drinking tea.  Only known cure from blood algae.</t>
  </si>
  <si>
    <t>Familiar Charm</t>
  </si>
  <si>
    <t>AMB 69</t>
  </si>
  <si>
    <t>+1 step to a talent or +1 to spell matrix rank.</t>
  </si>
  <si>
    <t>Light Quartz</t>
  </si>
  <si>
    <t>Mahogany Trinrose Tea</t>
  </si>
  <si>
    <t>Silent Walk at thread rank, +1 Phys Arm, +1 Myst Arm, +1 Phys Def</t>
  </si>
  <si>
    <t>Sindolin</t>
  </si>
  <si>
    <t>ESG 82</t>
  </si>
  <si>
    <t>Crushed flowers prevent blood from clotting.  Tea from flowers cures some blood and heart diseases.</t>
  </si>
  <si>
    <t>Keen Blade</t>
  </si>
  <si>
    <t>EDC 16</t>
  </si>
  <si>
    <t>Scintillating Medallion</t>
  </si>
  <si>
    <t>Jade Dragon</t>
  </si>
  <si>
    <t>Geode Pendant</t>
  </si>
  <si>
    <t>Thread rank spell matrix</t>
  </si>
  <si>
    <t>Thread rank spell matrix, +1 threadweaving</t>
  </si>
  <si>
    <t>Map of Location</t>
  </si>
  <si>
    <t>EDC 67</t>
  </si>
  <si>
    <t>bonuses to emotion song talent, see text</t>
  </si>
  <si>
    <t>Thought Worm Charm</t>
  </si>
  <si>
    <t>Commune with Dragon</t>
  </si>
  <si>
    <t>+1 Spell def, Commune with Dragon</t>
  </si>
  <si>
    <t>+1 Spell def, +1 Myst Arm, Commune with Dragon</t>
  </si>
  <si>
    <t>+1 Spell def, +1 Myst Arm, +2 karma step, Commune with Dragon</t>
  </si>
  <si>
    <t>+2 Spell def, +2 Myst Arm, +2 karma step, Commune with Dragon</t>
  </si>
  <si>
    <t>Flask may be used for parry +5, fills with brandy 2/day for 1 strain, +3 on Interaction tests</t>
  </si>
  <si>
    <t>Potion of Weakhealing</t>
  </si>
  <si>
    <t>Star Root</t>
  </si>
  <si>
    <t>Consuming juice gives an immediate toughness test vs poison.</t>
  </si>
  <si>
    <t>Kines Charm</t>
  </si>
  <si>
    <t>Snows of Mount Xan</t>
  </si>
  <si>
    <t>Neutralizes effects of disease for 8 hours.</t>
  </si>
  <si>
    <t>Kildare's Skin Map</t>
  </si>
  <si>
    <t>Heat or cool room to comfortable temperature.</t>
  </si>
  <si>
    <t>Kolldar's Gloves</t>
  </si>
  <si>
    <t>Super-glue with bonding strength of step 10.  Lasts 1 hour.</t>
  </si>
  <si>
    <t>Koriganian Armband</t>
  </si>
  <si>
    <t>Varies</t>
  </si>
  <si>
    <t>+1 to talent or attribute, see text</t>
  </si>
  <si>
    <t>+2 to talent or attribute, see text</t>
  </si>
  <si>
    <t>Doubles normal vision range, allows sight for 10 yards in pitch black darkness, +1 to perception test related to vision, lasts 45-60 minutes.</t>
  </si>
  <si>
    <t>Fools Charm</t>
  </si>
  <si>
    <t>+8 steps to recovery test, heals 1 wound, +8 to poison &amp; disease resistance tests. May be used when no recovery tests are left.</t>
  </si>
  <si>
    <t>ED 259</t>
  </si>
  <si>
    <t>+5 steps to one recovery test on dying.</t>
  </si>
  <si>
    <t>Kernal True Earth</t>
  </si>
  <si>
    <t>Document Box</t>
  </si>
  <si>
    <t>POD 107</t>
  </si>
  <si>
    <t>Duplicates Documents</t>
  </si>
  <si>
    <t>Produces replicas of documents seen</t>
  </si>
  <si>
    <t>Produces documents of dictation</t>
  </si>
  <si>
    <t>Forest Sense</t>
  </si>
  <si>
    <t>Cathay GM 123</t>
  </si>
  <si>
    <t>+1 spell def, +1 soc def</t>
  </si>
  <si>
    <t>+1 phys def, +1 spell def, +1 soc def</t>
  </si>
  <si>
    <t>A Woodsman may commune with any wooded area with which he is familiar.</t>
  </si>
  <si>
    <t>Message Stone</t>
  </si>
  <si>
    <t>Crystals used as tape recorders.</t>
  </si>
  <si>
    <t>Frost Pouch</t>
  </si>
  <si>
    <t>Holds throwing frost, see text</t>
  </si>
  <si>
    <t>Mynbruje's Balm</t>
  </si>
  <si>
    <t>Tea removes wound penalties for 4 hours.</t>
  </si>
  <si>
    <t>Gar Bone Charm</t>
  </si>
  <si>
    <t>Cathay PL 137</t>
  </si>
  <si>
    <t>+1 to recovery tests</t>
  </si>
  <si>
    <t>+3 dexterity, +3 initiative, see text</t>
  </si>
  <si>
    <t>+4 dexterity, +4 initiative, see text</t>
  </si>
  <si>
    <t>Merchant's Scales</t>
  </si>
  <si>
    <t>EDC2 69</t>
  </si>
  <si>
    <t>+2 to detect lies</t>
  </si>
  <si>
    <t>+3 to detect lies</t>
  </si>
  <si>
    <t>+4 to detect lies</t>
  </si>
  <si>
    <t>Stepping Dead Charm</t>
  </si>
  <si>
    <t>No jingling sounds allowed.</t>
  </si>
  <si>
    <t>Headband of Kedar the Dark</t>
  </si>
  <si>
    <t>+2 soc def, +1 mystic</t>
  </si>
  <si>
    <t>+2 soc def, +1 mystic, +1 armor</t>
  </si>
  <si>
    <t>+2 soc def, +1 mystic, +1 armor, see text</t>
  </si>
  <si>
    <t>Sarfran</t>
  </si>
  <si>
    <t>Scales of the Dragon</t>
  </si>
  <si>
    <t>Cathay PL 141</t>
  </si>
  <si>
    <t>Heals one wound at the cost of a recovery test.</t>
  </si>
  <si>
    <t>Karma Charm</t>
  </si>
  <si>
    <t>Allows karma to be used on one non-discipline talent for 2 points of strain.</t>
  </si>
  <si>
    <t>Holds twice as many arrows as its size would indicate.</t>
  </si>
  <si>
    <t>Horse of Battle</t>
  </si>
  <si>
    <t>Par 57</t>
  </si>
  <si>
    <t>figurine of a mount, see text</t>
  </si>
  <si>
    <t>Horn of the Seven Winds</t>
  </si>
  <si>
    <t>Fighter bonuses, see text</t>
  </si>
  <si>
    <t>Thalen</t>
  </si>
  <si>
    <t>ESG 83</t>
  </si>
  <si>
    <t>Karmic Absorber</t>
  </si>
  <si>
    <t>A Troubadour's ghost wanders the earth singing the ghost song.</t>
  </si>
  <si>
    <t>Oakleaf Cloak</t>
  </si>
  <si>
    <t>+2 steps to hiding tests.  See text.</t>
  </si>
  <si>
    <t>Gears of Artificer</t>
  </si>
  <si>
    <t>Kratas 247</t>
  </si>
  <si>
    <t>+1 vs Traps</t>
  </si>
  <si>
    <t>+2 vs Traps</t>
  </si>
  <si>
    <t>Oil of the Flaming Weapon</t>
  </si>
  <si>
    <t>+1d4 damage when applied to a weapon and ignited.  Lasts 10 rounds.</t>
  </si>
  <si>
    <t>Ghost Song</t>
  </si>
  <si>
    <t>EDC 18</t>
  </si>
  <si>
    <t>+2 steps to charisma tests.</t>
  </si>
  <si>
    <t>Light Bag</t>
  </si>
  <si>
    <t>Crystal Box</t>
  </si>
  <si>
    <t>hides astral images, see text</t>
  </si>
  <si>
    <t>Hot Meal Sauce</t>
  </si>
  <si>
    <t xml:space="preserve">Add to food when cooking, serves 10. +3 to next recovery test.  </t>
  </si>
  <si>
    <t>Create Orichalcum</t>
  </si>
  <si>
    <t>EDC 20</t>
  </si>
  <si>
    <t>A Weaponsmith may create orichalcum from mundane elements.</t>
  </si>
  <si>
    <t>Hot Pot</t>
  </si>
  <si>
    <t>Self cooking pot.</t>
  </si>
  <si>
    <t>Crystal Spell Box</t>
  </si>
  <si>
    <t>ED 274</t>
  </si>
  <si>
    <t>Eye Clasp</t>
  </si>
  <si>
    <t>EJ7 29</t>
  </si>
  <si>
    <t>bonus vs illusions</t>
  </si>
  <si>
    <t>bonus vs illusions, bonus to disguise self</t>
  </si>
  <si>
    <t>Provides magical light with no heat.</t>
  </si>
  <si>
    <t>Falcon Robe</t>
  </si>
  <si>
    <t>Cathay GM 124</t>
  </si>
  <si>
    <t>+1 phys def, +1 soc def</t>
  </si>
  <si>
    <t>Potion of Endless Wandering</t>
  </si>
  <si>
    <t>+5 to resist getting poisoned.</t>
  </si>
  <si>
    <t>Holder of Trust Orichalcum Branch Armor</t>
  </si>
  <si>
    <t>SSB 39</t>
  </si>
  <si>
    <t>Thread rank spell matrix, +1 threadweaving, extra fireblood test daily</t>
  </si>
  <si>
    <t>location info, see text</t>
  </si>
  <si>
    <t>Vreela</t>
  </si>
  <si>
    <t>ESG 110</t>
  </si>
  <si>
    <t>Pain relieving poultice.  Remove all wound penalties, but -1 on all tests due to sleepiness side effect.</t>
  </si>
  <si>
    <t>Cathay GM 133</t>
  </si>
  <si>
    <t>Flask fills with brandy 1/day for 1 strain, +2 on Interaction tests</t>
  </si>
  <si>
    <t>Flask may be used for parry +5, fills with brandy 1/day for 1 strain, +2 on Interaction tests</t>
  </si>
  <si>
    <t>+4 steps to recovery test and heals a wound.  May be used when no recovery tests are left.</t>
  </si>
  <si>
    <t>Horn Needle</t>
  </si>
  <si>
    <t>+5 steps to poison resistance for 1 point of strain per round.</t>
  </si>
  <si>
    <t>Platinum Torc of House Henghyoke</t>
  </si>
  <si>
    <t>No speech, vulnerable to beastmaster talents.  Removing does step 18 permanent damage and reduces will and perc by 3 permanently.</t>
  </si>
  <si>
    <t>Wearer may store nights of sleep at a cost of 1 strain each; stored nights may then be spen when the wear needs to stay awake.</t>
  </si>
  <si>
    <t>Season Lamp</t>
  </si>
  <si>
    <t>Refrigeration pots.</t>
  </si>
  <si>
    <t>Group Thread</t>
  </si>
  <si>
    <t>EDC 46-54</t>
  </si>
  <si>
    <t>portable airship, see text</t>
  </si>
  <si>
    <t>Midnight Oil</t>
  </si>
  <si>
    <t>SPV2 34</t>
  </si>
  <si>
    <t>Fleet Foot Charm</t>
  </si>
  <si>
    <t>For 4 strain, the wearer can increase movement by one level on the attribute table.</t>
  </si>
  <si>
    <t>Long Singing Lyre</t>
  </si>
  <si>
    <t>Doubles effective distance for hearing performance.</t>
  </si>
  <si>
    <t>Folding Drakkar</t>
  </si>
  <si>
    <t>CR 139</t>
  </si>
  <si>
    <t>Shapes Parlainth, see text</t>
  </si>
  <si>
    <t>Josara's Healing Balm</t>
  </si>
  <si>
    <t>EJ5 54</t>
  </si>
  <si>
    <t>Juice soothes rashes.  Repels small insects.</t>
  </si>
  <si>
    <t>Bone Charm, Shaped</t>
  </si>
  <si>
    <t>Floating Chair</t>
  </si>
  <si>
    <t>Chair floats about 3 feet off the ground.</t>
  </si>
  <si>
    <t>Corbin's Girdle of Steadfastness</t>
  </si>
  <si>
    <t>+1 soc def, +3 vs fear/intimidation</t>
  </si>
  <si>
    <t>Suppresses poison effects for 4 hours.  Also gives +4 steps to resistance test.</t>
  </si>
  <si>
    <t>Death Feign</t>
  </si>
  <si>
    <t>Blood cost is difference between current damage and unconsciousness rating; user appears dead for days equal to blood cost.</t>
  </si>
  <si>
    <t>+1 phys def, +1 spell def, +1 soc def, +1 myst arm</t>
  </si>
  <si>
    <t>+1 phys def, +1 spell def, +1 soc def, +1 phys arm, +1 myst arm</t>
  </si>
  <si>
    <t>Gauntlets</t>
  </si>
  <si>
    <t>+1 step to damage tests</t>
  </si>
  <si>
    <t>+2 step to damage tests</t>
  </si>
  <si>
    <t>+3 step to damage tests</t>
  </si>
  <si>
    <t>Oil of Astral Sight</t>
  </si>
  <si>
    <t>Midnight Grimoire</t>
  </si>
  <si>
    <t>Heals one wound per application.  Requires an available recovery test.</t>
  </si>
  <si>
    <t>Indrisan Blood Cobra</t>
  </si>
  <si>
    <t>7 + Wound</t>
  </si>
  <si>
    <t>Dexterity Attribute increases +3 but no other increase is ever possible.</t>
  </si>
  <si>
    <t>Quiet Pouch</t>
  </si>
  <si>
    <t>Heal a wound once daily for 2 points of strain.</t>
  </si>
  <si>
    <t>Moon Pearl Brooch</t>
  </si>
  <si>
    <t>+1 Mystic armor when attached to cloak.</t>
  </si>
  <si>
    <t>Gauntlets of the Mace</t>
  </si>
  <si>
    <t>SR 129</t>
  </si>
  <si>
    <t>spellcasting bonuses, see text</t>
  </si>
  <si>
    <t>Matrix object +1 casting, +1 threadweave</t>
  </si>
  <si>
    <t>Matrix object +1 casting, +1 threadweave, +1 effect</t>
  </si>
  <si>
    <t>Matrix object +1 casting, +1 threadweave, +1 effect, 2 strain = shared matrix</t>
  </si>
  <si>
    <t>+4 damage in unarmed combat</t>
  </si>
  <si>
    <t>+5 damage &amp; +1 phys def in unarmed combat</t>
  </si>
  <si>
    <t>+6 damage &amp; +1 phys def in unarmed combat</t>
  </si>
  <si>
    <t>Serpent Vine</t>
  </si>
  <si>
    <t>Poutice for poison.  +1 toughness test vs. poison.  +5 steps to test if poison is from a snake.</t>
  </si>
  <si>
    <t>+1 step avoid blow</t>
  </si>
  <si>
    <t>+11 damage &amp; +3 phys def in unarmed combat</t>
  </si>
  <si>
    <t>+12 damage &amp; +4 phys def in unarmed combat</t>
  </si>
  <si>
    <t>+2 step avoid blow, +1 step silent walk</t>
  </si>
  <si>
    <t>+2 step avoid blow, +2 step silent walk</t>
  </si>
  <si>
    <t>+3 step avoid blow, +3 step silent walk</t>
  </si>
  <si>
    <t>+3 step avoid blow, +3 step silent walk, see text</t>
  </si>
  <si>
    <t>Liquid Heat</t>
  </si>
  <si>
    <t>Protects from cold effects for 8 hours.</t>
  </si>
  <si>
    <t>Disturbing Appearance</t>
  </si>
  <si>
    <t>Heat Stone</t>
  </si>
  <si>
    <t>AMB 66</t>
  </si>
  <si>
    <t>Good for heating a room.</t>
  </si>
  <si>
    <t>+6 steps to either a spellcasting test or an effect test.</t>
  </si>
  <si>
    <t>Fire Cannon</t>
  </si>
  <si>
    <t>Fires a step 18 fireball using a combination of elemental air and fire.</t>
  </si>
  <si>
    <t>Butterspider Box</t>
  </si>
  <si>
    <t>Par 55</t>
  </si>
  <si>
    <t>free recovery test daily</t>
  </si>
  <si>
    <t>Captures spells, see text.  +1 spellcasting</t>
  </si>
  <si>
    <t>Captures spells, see text.  +2 spellcasting</t>
  </si>
  <si>
    <t>Captures spells, see text.  +3 spellcasting</t>
  </si>
  <si>
    <t>Captures spells, see text.  +4 spellcasting</t>
  </si>
  <si>
    <t>bonus vs illusions, bonus to disguise self, spell matrix</t>
  </si>
  <si>
    <t>+3 to resist getting a disease.</t>
  </si>
  <si>
    <t>Crows Sight</t>
  </si>
  <si>
    <t>Allows wearer to control a bird for 4 strain and see through its eyes if within 5 miles.</t>
  </si>
  <si>
    <t>Huntsman's Boots</t>
  </si>
  <si>
    <t>Living metal armor: AV9 MV6</t>
  </si>
  <si>
    <t>Pipes of Wrongness</t>
  </si>
  <si>
    <t>LED 86</t>
  </si>
  <si>
    <t>Geonel's Flask</t>
  </si>
  <si>
    <t>EDGMC3 55</t>
  </si>
  <si>
    <t>Flask fills with brandy 1/day for 1 strain</t>
  </si>
  <si>
    <t>Extra test to resist poison.</t>
  </si>
  <si>
    <t>Fish Breath Charm</t>
  </si>
  <si>
    <t>For 1 strain, the wearer can breathe water for an unlimited amount of time.</t>
  </si>
  <si>
    <t>Light Quartz Weapons</t>
  </si>
  <si>
    <t>Fanuukh's Talisman</t>
  </si>
  <si>
    <t>BD 103</t>
  </si>
  <si>
    <t>5/2</t>
  </si>
  <si>
    <t>Extra arm DR5, 3 points of strain to use. -2 steps for attacks.  No penalty or strain if replacing a missing limb and DR is only 2.</t>
  </si>
  <si>
    <t>Jihan Tiger Cloak</t>
  </si>
  <si>
    <t>Cathay PL 139</t>
  </si>
  <si>
    <t>+4 Physical armor to cold attacks.</t>
  </si>
  <si>
    <t>Diadem of Overlordship</t>
  </si>
  <si>
    <t>Par 56</t>
  </si>
  <si>
    <t>+1 knockdown</t>
  </si>
  <si>
    <t>Girdle of Miramelle</t>
  </si>
  <si>
    <t>BOT1 13</t>
  </si>
  <si>
    <t>Bonuses to seduction, see text</t>
  </si>
  <si>
    <t>Quicksilver</t>
  </si>
  <si>
    <t>+5 steps to initiative for 5 rounds.</t>
  </si>
  <si>
    <t>Horror Fend</t>
  </si>
  <si>
    <t>Pots of Grumbah</t>
  </si>
  <si>
    <t>thief abilities, see text</t>
  </si>
  <si>
    <t>Sticky Oil</t>
  </si>
  <si>
    <t>Mental Shield Potion</t>
  </si>
  <si>
    <t>Charisma step +6, soc def +6</t>
  </si>
  <si>
    <t>+2 spell defense, +2 mystic armor for 10 rounds.</t>
  </si>
  <si>
    <t>Constant low-light vision capability.</t>
  </si>
  <si>
    <t>Kernal True Air</t>
  </si>
  <si>
    <t>EDC2 73</t>
  </si>
  <si>
    <t>True element kernal must be kept in special container until used</t>
  </si>
  <si>
    <t>Diorama of Shaping</t>
  </si>
  <si>
    <t>POD 108</t>
  </si>
  <si>
    <t>+2 spellcasting &amp; threadweaving, elemental powers, +2 phys def, +1 spell def</t>
  </si>
  <si>
    <t>+2 spellcasting &amp; threadweaving, elemental powers, +2 phys def, +2 spell def</t>
  </si>
  <si>
    <t>Firestone Mushroooms</t>
  </si>
  <si>
    <t>Mix syrup with water or wine for visions.  Spell def 3 vs illusions.  1 hour.</t>
  </si>
  <si>
    <t>Blood Promise</t>
  </si>
  <si>
    <t>MMMS 12</t>
  </si>
  <si>
    <t>+1 soc def, +3 vs fear/intimidation, +2 heartening laugh</t>
  </si>
  <si>
    <t>+1 soc def, +3 vs fear/intimidation, +2 heartening laugh, psychic fortress</t>
  </si>
  <si>
    <t>Grau-top Ashala</t>
  </si>
  <si>
    <t>KITD</t>
  </si>
  <si>
    <t>Eating leaves gives a +3 on next recovery test to resist disease that day</t>
  </si>
  <si>
    <t>Elfweave Robe</t>
  </si>
  <si>
    <t>Kernal True Fire</t>
  </si>
  <si>
    <t>Dragon Bone Runes</t>
  </si>
  <si>
    <t>Breath of Water (Mount)</t>
  </si>
  <si>
    <t>Breathe water for Toughness minutes at the cost of 1 strain.</t>
  </si>
  <si>
    <t>Gems of Joril</t>
  </si>
  <si>
    <t>AMB 94</t>
  </si>
  <si>
    <t>Cottage of Comfort</t>
  </si>
  <si>
    <t>Increases astral sight by astral sight rank times 15 yards; non astral vision is halved and vision perception tests are at-2, lasts 10 minutes.</t>
  </si>
  <si>
    <t>Garlen Stones</t>
  </si>
  <si>
    <t>+1 phys def, +1 spell def, +1 soc def, +1 phys arm, +1 myst arm, gain +4 to 1 characteristic, see text</t>
  </si>
  <si>
    <t>Kelix's Poultice</t>
  </si>
  <si>
    <t>+5 steps to resistance test vs poison each round for 5 rounds.</t>
  </si>
  <si>
    <t>Desperate Blow Charm</t>
  </si>
  <si>
    <t>Kernal True Water</t>
  </si>
  <si>
    <t>Dragon Robe</t>
  </si>
  <si>
    <t>Matrix object</t>
  </si>
  <si>
    <t>Matrix object +1 casting</t>
  </si>
  <si>
    <t>Counterspell Staff</t>
  </si>
  <si>
    <t>ED 273</t>
  </si>
  <si>
    <t>Casts Counterspell, see text</t>
  </si>
  <si>
    <t>Casts Counterspell, see text. +1 spell def</t>
  </si>
  <si>
    <t>Casts Counterspell, see text. +2 spell def</t>
  </si>
  <si>
    <t>+7 damage &amp; +1 phys def in unarmed combat</t>
  </si>
  <si>
    <t>Quiver of Endless Depths</t>
  </si>
  <si>
    <t>+8 damage &amp; +2 phys def in unarmed combat</t>
  </si>
  <si>
    <t>+9 damage &amp; +2 phys def in unarmed combat</t>
  </si>
  <si>
    <t>+10 damage &amp; +3 phys def in unarmed combat</t>
  </si>
  <si>
    <t>Desperate Spell Charm</t>
  </si>
  <si>
    <t>Allows character to use all remaining recovery tests, or gives free recovery test if none left.</t>
  </si>
  <si>
    <t>GM 39</t>
  </si>
  <si>
    <t>+2 step avoid blow</t>
  </si>
  <si>
    <t>Wearer projects a false astral aura; viewers need an astral sensing test 15 to see the true aura.</t>
  </si>
  <si>
    <t>+5 to climbing and knowcdown tests for 5 rounds.</t>
  </si>
  <si>
    <t>Blood Matrix, Normal</t>
  </si>
  <si>
    <t>2 Strain to use.</t>
  </si>
  <si>
    <t>Desire Box</t>
  </si>
  <si>
    <t>Par Ad 59</t>
  </si>
  <si>
    <t>18 step or +6 steps to charisma tests, whichever is higher, see text</t>
  </si>
  <si>
    <t>Bone Bell of Kaer Talloria</t>
  </si>
  <si>
    <t>EJ5 51</t>
  </si>
  <si>
    <t>protects against horrors, see text</t>
  </si>
  <si>
    <t>Eyebright</t>
  </si>
  <si>
    <t>+3 step free recovery test daily</t>
  </si>
  <si>
    <t>+6 step free recovery test daily, see text</t>
  </si>
  <si>
    <t>+9 step free recovery test daily, see text</t>
  </si>
  <si>
    <t>Eyebright tea gives a human low light vision for 1 hour after drinking.</t>
  </si>
  <si>
    <t>MMMS 11</t>
  </si>
  <si>
    <t>Allows formation of a group for a group name.  See text.</t>
  </si>
  <si>
    <t>Dream Cloak</t>
  </si>
  <si>
    <t>Cathay PL 138</t>
  </si>
  <si>
    <t>Captures spells, see text.  +5 spellcasting</t>
  </si>
  <si>
    <t>+10 step free recovery test daily, see text</t>
  </si>
  <si>
    <t>+11 step free recovery test daily, see text</t>
  </si>
  <si>
    <t>Fruit of the Horrors</t>
  </si>
  <si>
    <t>The 176</t>
  </si>
  <si>
    <t>Try it and see.</t>
  </si>
  <si>
    <t>Blood Tatoo Horror Fend</t>
  </si>
  <si>
    <t>+2 phys def, +1 spell def, +1 soc def</t>
  </si>
  <si>
    <t>+2 phys def, +1 spell def, +1 soc def, 4 strain turn into falcon</t>
  </si>
  <si>
    <t>Meditation of the Monk</t>
  </si>
  <si>
    <t>Keeps feet warm and dry.  Adds 5 miles per day to travel without fatigue.</t>
  </si>
  <si>
    <t>Denna's Brooch</t>
  </si>
  <si>
    <t>Bar 50</t>
  </si>
  <si>
    <t>+1 elementalist spellcasting</t>
  </si>
  <si>
    <t>+2 elementalist spellcasting</t>
  </si>
  <si>
    <t>+2 elementalist spellcasting, see text</t>
  </si>
  <si>
    <t>Ice Water</t>
  </si>
  <si>
    <t>+3 Physical and Mystic armor vs. heat attacks.</t>
  </si>
  <si>
    <t>Crystal Arm</t>
  </si>
  <si>
    <t>improved mesmerizes viewers, +3 soc def, +3 char step</t>
  </si>
  <si>
    <t>improved mesmerizes viewers, +3 soc def, +3 char step, mindlock horrors</t>
  </si>
  <si>
    <t>Fruit of the Passions</t>
  </si>
  <si>
    <t>Blood Weapon</t>
  </si>
  <si>
    <t>+1 knockdown, +1 wound thresh</t>
  </si>
  <si>
    <t>+1 knockdown, +1 wound thresh, obsidiman armor</t>
  </si>
  <si>
    <t>+2 knockdown, +2 wound thresh, obsidiman armor</t>
  </si>
  <si>
    <t>SR 126</t>
  </si>
  <si>
    <t>Cursed Item</t>
  </si>
  <si>
    <t>+2 knockdown, +2 wound thresh, obsidiman armor, earth's wrath</t>
  </si>
  <si>
    <t>Removes all strain and fatigue damage for 2-4 hours.  All damage returns at that time.</t>
  </si>
  <si>
    <t>Darksight Eye</t>
  </si>
  <si>
    <t>Garlic</t>
  </si>
  <si>
    <t>May spend additional karma on one test, spending karma until an average success is achieved.</t>
  </si>
  <si>
    <t>Clingor Rope 18'</t>
  </si>
  <si>
    <t>Bitterblack Compass</t>
  </si>
  <si>
    <t>EJ9 35</t>
  </si>
  <si>
    <t>see text, track horrors</t>
  </si>
  <si>
    <t>+5 steps on disease resistance tests.</t>
  </si>
  <si>
    <t>Blood Knuckles</t>
  </si>
  <si>
    <t>AMB 67</t>
  </si>
  <si>
    <t>+2 steps to unarmed combat damage.</t>
  </si>
  <si>
    <t>Clingor Rope 45'</t>
  </si>
  <si>
    <t>Blade Wig</t>
  </si>
  <si>
    <t>See text.</t>
  </si>
  <si>
    <t>+3 soc def, unarmed attack with hair step 4 damage and entangles</t>
  </si>
  <si>
    <t>+3 soc def, extra unarmed attack with hair step 7 damage and entangles</t>
  </si>
  <si>
    <t>Dragons Tongue</t>
  </si>
  <si>
    <t>+3 steps on toughness tests against ingested poisons, if taken before.  If taken after, +1 toughness test to resist the poison, no step bonus</t>
  </si>
  <si>
    <t>Blood Matrices</t>
  </si>
  <si>
    <t>AMB 68</t>
  </si>
  <si>
    <t>Creates a special matrix item.</t>
  </si>
  <si>
    <t>Cloaksense Brooch</t>
  </si>
  <si>
    <t>Beautiful weave, fit only humans and elves properly.  Magic powers unknown.</t>
  </si>
  <si>
    <t>Brooch</t>
  </si>
  <si>
    <t>+1 soc def, +1 charisma</t>
  </si>
  <si>
    <t>+2 soc def, +1 charisma</t>
  </si>
  <si>
    <t>First Strike Potion</t>
  </si>
  <si>
    <t>+6 steps to initiative for 5 rounds.</t>
  </si>
  <si>
    <t>Blood Sworn</t>
  </si>
  <si>
    <t>MMMS 13</t>
  </si>
  <si>
    <t>creates cottage, see text</t>
  </si>
  <si>
    <t>Hammertail Oil</t>
  </si>
  <si>
    <t>For T'skrang, increases tail damage to Step 7 for 1 hour</t>
  </si>
  <si>
    <t>Casting Triangle</t>
  </si>
  <si>
    <t>EDC 21</t>
  </si>
  <si>
    <t>A Wizard adds 3 steps to both Spellcasting and Threadweaving while within the triangle.</t>
  </si>
  <si>
    <t>Hambrell's Contracts</t>
  </si>
  <si>
    <t>Special paper shows if contract has been breached.</t>
  </si>
  <si>
    <t>+6 steps to either an attack test or a damage test.</t>
  </si>
  <si>
    <t>Everclean Cloak</t>
  </si>
  <si>
    <t>EDC 71</t>
  </si>
  <si>
    <t>Cloak repels dirt and stays clean.</t>
  </si>
  <si>
    <t>Brush of Teleportation</t>
  </si>
  <si>
    <t>Cathay GM 128</t>
  </si>
  <si>
    <t>Records dictation</t>
  </si>
  <si>
    <t>Heart of Heroes</t>
  </si>
  <si>
    <t>LED 85</t>
  </si>
  <si>
    <t>Crown of Valvidius</t>
  </si>
  <si>
    <t>LED 71</t>
  </si>
  <si>
    <t>Casts Counterspell, see text. +3 spell def</t>
  </si>
  <si>
    <t>+8 steps to recovery test and heals a wound.  May be used when no recovery tests are left.</t>
  </si>
  <si>
    <t>Matrix object +2 casting, +2 threadweave, +2 effect, 2 strain = shared matrix</t>
  </si>
  <si>
    <t>Charm of Astral Deception</t>
  </si>
  <si>
    <t>BD 102</t>
  </si>
  <si>
    <t>+2 spell def, +1 mystic, quill takes dication, answers questions, question dead, summon spirit familiar</t>
  </si>
  <si>
    <t>Astral Sensitive Eye (Mount)</t>
  </si>
  <si>
    <t>Astral sight, 1 point of strain per use of perception.</t>
  </si>
  <si>
    <t>Chain of Skulls</t>
  </si>
  <si>
    <t>AMB 93</t>
  </si>
  <si>
    <t>Astral Sextant</t>
  </si>
  <si>
    <t>Par 54</t>
  </si>
  <si>
    <t>Magic Item</t>
  </si>
  <si>
    <t>detects horrors, see text</t>
  </si>
  <si>
    <t>ESG 109</t>
  </si>
  <si>
    <t>For enslavement; wearer is Social Def -5 and Will 10 test to disobey or refuse an order; Will 15 to remove charm; each failure increases level required</t>
  </si>
  <si>
    <t>Chair of Comfort</t>
  </si>
  <si>
    <t>BW 126</t>
  </si>
  <si>
    <t>Molds to fit the person sitting in it, making it very comfortable.</t>
  </si>
  <si>
    <t>Balance Cape</t>
  </si>
  <si>
    <t>Thread Rank Bonus to Wound Balance</t>
  </si>
  <si>
    <t>Thread Rank Bonus to Wound Balance, Avoid Blow</t>
  </si>
  <si>
    <t>Thread Rank Bonus to Wound Balance, Avoid Blow, +1 phys def in melee</t>
  </si>
  <si>
    <t>Brew of the Berserkers</t>
  </si>
  <si>
    <t>Anyone sleeping while wearing the dream cloak gets a +1 bonus on the first Recovery Test made on the following day.</t>
  </si>
  <si>
    <t>Boots</t>
  </si>
  <si>
    <t>EDC 65</t>
  </si>
  <si>
    <t>+1 phys def</t>
  </si>
  <si>
    <t>+2 phys def</t>
  </si>
  <si>
    <t>+2 phys def, +1 step climbing talent</t>
  </si>
  <si>
    <t>+3 to physical defense and spell defense for 2 rounds.</t>
  </si>
  <si>
    <t>Fire Starter</t>
  </si>
  <si>
    <t>mesmerizes viewers, +1 soc def, +1 char step</t>
  </si>
  <si>
    <t>mesmerizes viewers, +2 soc def, +2 char step</t>
  </si>
  <si>
    <t>improved mesmerizes viewers, +2 soc def, +2 char step</t>
  </si>
  <si>
    <t>Blood Pebble Armor (Mount)</t>
  </si>
  <si>
    <t>ED 255</t>
  </si>
  <si>
    <t>+4 to damage tests</t>
  </si>
  <si>
    <t>+5 to damage tests</t>
  </si>
  <si>
    <t>+5 to damage tests, wound threshold +1</t>
  </si>
  <si>
    <t>+5 to damage tests, wound threshold +2</t>
  </si>
  <si>
    <t>+5 to damage tests, wound threshold +2, see text</t>
  </si>
  <si>
    <t>Garlen's Hand</t>
  </si>
  <si>
    <t>Blood Pouch Charm</t>
  </si>
  <si>
    <t>Clan Gauntlets (of Metal Fist Tribe)</t>
  </si>
  <si>
    <t>Charisma step +7, soc def +7, see text</t>
  </si>
  <si>
    <t>Jikar Root</t>
  </si>
  <si>
    <t>+4 steps to unarmed combat damage.</t>
  </si>
  <si>
    <t>Firefly Chalk</t>
  </si>
  <si>
    <t>Glows in the dark.  Useful for writing on kaer walls.</t>
  </si>
  <si>
    <t>Charisma step +1, soc def +2</t>
  </si>
  <si>
    <t>Charisma step +2, soc def +3</t>
  </si>
  <si>
    <t>Charisma step +3, soc def +4</t>
  </si>
  <si>
    <t>Charisma step +5, soc def +5</t>
  </si>
  <si>
    <t>+2 steps to willpowertests  on fear effects for 2 hours.  3 strain at expiration.</t>
  </si>
  <si>
    <t>Keeps user at comfortable temperature.</t>
  </si>
  <si>
    <t>Amulet</t>
  </si>
  <si>
    <t>EDC 64</t>
  </si>
  <si>
    <t>+1 soc def</t>
  </si>
  <si>
    <t>+2 soc def</t>
  </si>
  <si>
    <t>+2 soc def, +2 spell def</t>
  </si>
  <si>
    <t>Anti-Sporific</t>
  </si>
  <si>
    <t>EDPLCL 450</t>
  </si>
  <si>
    <t>Cathay GM 122</t>
  </si>
  <si>
    <t>+2 soc def, unarmed attack with hair step 4 damage</t>
  </si>
  <si>
    <t>+2 to physical, spell, and social defenses vs 1 horror or construct.  +2 steps test used specifically targeting horrors.</t>
  </si>
  <si>
    <t>Book of Blue Spirits</t>
  </si>
  <si>
    <t>Infected 76</t>
  </si>
  <si>
    <t>Unique Item</t>
  </si>
  <si>
    <t>A drake grimoire</t>
  </si>
  <si>
    <t>Amulet of Agamon</t>
  </si>
  <si>
    <t>GM 38</t>
  </si>
  <si>
    <t>+1 mystic, +1 spell def</t>
  </si>
  <si>
    <t>+2 mystic, +1 spell def</t>
  </si>
  <si>
    <t>+2 mystic, +2 spell def</t>
  </si>
  <si>
    <t>+2 mystic, +2 spell def, +1 soc def</t>
  </si>
  <si>
    <t>Bonuses to group threads</t>
  </si>
  <si>
    <t>Blades 11</t>
  </si>
  <si>
    <t>EJ4 45</t>
  </si>
  <si>
    <t>+2 phys def, +1 melee damage</t>
  </si>
  <si>
    <t>+2 phys def, +2 melee damage, +2 mystic</t>
  </si>
  <si>
    <t>ED 257</t>
  </si>
  <si>
    <t>May provide warning against surprise or blindside attacks.  See text.</t>
  </si>
  <si>
    <t>Blades of Cara Fahd</t>
  </si>
  <si>
    <t>Provides armor value 3 if no armor is worn and +1mystic armor in any case.</t>
  </si>
  <si>
    <t>Brooch of Might</t>
  </si>
  <si>
    <t>SPV2 35</t>
  </si>
  <si>
    <t>+2 phys def, +3 melee damage, +2 mystic, +1 recovery daily</t>
  </si>
  <si>
    <t>Frog's Legs</t>
  </si>
  <si>
    <t>Equivelent to Lizard Leap Talent for 9 rounds.</t>
  </si>
  <si>
    <t>Blood Tatoo Desperate Blow</t>
  </si>
  <si>
    <t>Records telepathic dictation, produces own ink which can be invisible</t>
  </si>
  <si>
    <t>Write location within 10 miles and teleport, records telepathic dictation, produces own ink which can be invisible</t>
  </si>
  <si>
    <t>Blood Quill of Moralar</t>
  </si>
  <si>
    <t>BW 128</t>
  </si>
  <si>
    <t>+1 spell def, +1 mystic</t>
  </si>
  <si>
    <t>Helmet Mushrooms</t>
  </si>
  <si>
    <t>Write location within 50 miles and teleport, records telepathic dictation, produces own ink which can be invisible</t>
  </si>
  <si>
    <t>powers vs theives, see text</t>
  </si>
  <si>
    <t>Chameleon Cloak</t>
  </si>
  <si>
    <t>Wearer blended into surroundings equivalent of Silent Walk rank 3 or +3 to Silent Walk.</t>
  </si>
  <si>
    <t>Kernal True Wood</t>
  </si>
  <si>
    <t>Espagra Boots</t>
  </si>
  <si>
    <t xml:space="preserve">+3 social def vs fear &amp; intimidation fro 2-4 hours. May not take defensive stance or give ground.  Perception test 9 to withdraw from dange. </t>
  </si>
  <si>
    <t>Target is +5 Initiative and movement is double</t>
  </si>
  <si>
    <t>Theran Kiss</t>
  </si>
  <si>
    <t>Remote Speech and Hearing (up to 500 miles)</t>
  </si>
  <si>
    <t>3 + Rank Weeks</t>
  </si>
  <si>
    <t>PTW 100</t>
  </si>
  <si>
    <t>Spellcaster's Spell Defense</t>
  </si>
  <si>
    <t>6 or higher (see text)</t>
  </si>
  <si>
    <t>Ej9 44</t>
  </si>
  <si>
    <t>8 or higher (see text)</t>
  </si>
  <si>
    <t>Concussion Orb</t>
  </si>
  <si>
    <t>Willforce + 20</t>
  </si>
  <si>
    <t>+8 steps to a recovery test.  Not effective if no recovery tests left.</t>
  </si>
  <si>
    <t>Bind Will Charm</t>
  </si>
  <si>
    <t>EJ8 44</t>
  </si>
  <si>
    <t>Silent Stampede</t>
  </si>
  <si>
    <t>Silences sound</t>
  </si>
  <si>
    <t>2/Target’s Spell Defense (see text)</t>
  </si>
  <si>
    <t>Astral Blade</t>
  </si>
  <si>
    <t>Illusionist/Wizard</t>
  </si>
  <si>
    <t>Elementalist/Nethermancer</t>
  </si>
  <si>
    <t>Teacup finds New Friends</t>
  </si>
  <si>
    <t>EDC 84</t>
  </si>
  <si>
    <t>Creates a life form</t>
  </si>
  <si>
    <t>Illusionist/Nethermancer</t>
  </si>
  <si>
    <t>EDC 79</t>
  </si>
  <si>
    <t>EDC 85</t>
  </si>
  <si>
    <t>EDC 82</t>
  </si>
  <si>
    <t>EDC 80</t>
  </si>
  <si>
    <t>10 (Spell Defense  of the spirit)</t>
  </si>
  <si>
    <t>EDC 83</t>
  </si>
  <si>
    <t>Makes the casterimmaterial</t>
  </si>
  <si>
    <t>12 or spell defense</t>
  </si>
  <si>
    <t>EJ6 18</t>
  </si>
  <si>
    <t>+3 phys def, +1 step climbing talent</t>
  </si>
  <si>
    <t>Favor of the Serpent</t>
  </si>
  <si>
    <t>A wand shaped lighter.</t>
  </si>
  <si>
    <t>Chain of Capturing</t>
  </si>
  <si>
    <t>LED 74</t>
  </si>
  <si>
    <t>mesmerizes viewers</t>
  </si>
  <si>
    <t>mesmerizes viewers, +1 soc def</t>
  </si>
  <si>
    <t>Armor value 5/3 and initiative -1 from implanted pebbles.  No head protection.</t>
  </si>
  <si>
    <t>Dry Bag</t>
  </si>
  <si>
    <t>Bag keeps contents dry</t>
  </si>
  <si>
    <t>Bracers</t>
  </si>
  <si>
    <t>+1 phys def, +1 spell def</t>
  </si>
  <si>
    <t>+2 phys def, +2 spell def</t>
  </si>
  <si>
    <t>Firewater</t>
  </si>
  <si>
    <t>+3 Physical and Mystic armor vs. cold attacks.</t>
  </si>
  <si>
    <t>+1 karma step</t>
  </si>
  <si>
    <t>+1 karma step, stores karma</t>
  </si>
  <si>
    <t>Armor value 5/3 from implanted pebbles.  No head protection.</t>
  </si>
  <si>
    <t>Dry Boots</t>
  </si>
  <si>
    <t>EDC 70</t>
  </si>
  <si>
    <t>Keep feet dry.</t>
  </si>
  <si>
    <t>Bracers of Aras</t>
  </si>
  <si>
    <t>Bar 48</t>
  </si>
  <si>
    <t>+2 phys def, +1 spell def</t>
  </si>
  <si>
    <t>Fires of Mount Tihan</t>
  </si>
  <si>
    <t>Extra test to resist illness.</t>
  </si>
  <si>
    <t>+1 recovery test daily when healing wounds or damage.</t>
  </si>
  <si>
    <t>Bone Charm, Common</t>
  </si>
  <si>
    <t>CF 116</t>
  </si>
  <si>
    <t>+1 to recovery tests.</t>
  </si>
  <si>
    <t>AMB 78</t>
  </si>
  <si>
    <t>Flight Shoes</t>
  </si>
  <si>
    <t>EJ5 29</t>
  </si>
  <si>
    <t>EDC 66</t>
  </si>
  <si>
    <t>+1 soc def, +1 armor</t>
  </si>
  <si>
    <t>+2 soc def, +1 armor</t>
  </si>
  <si>
    <t>+2 soc def, +2 armor, +1 spell def</t>
  </si>
  <si>
    <t>+1 spellcasting &amp; threadweaving, elemental powers, +1 phys def, +1 spell def</t>
  </si>
  <si>
    <t>Blood Karma Charm</t>
  </si>
  <si>
    <t>Transforms target into animal, including magical animals</t>
  </si>
  <si>
    <t>Spell Defense of fire or its creator</t>
  </si>
  <si>
    <t>Crop Blight</t>
  </si>
  <si>
    <t>AMB 18</t>
  </si>
  <si>
    <t>Creates a wall of bones</t>
  </si>
  <si>
    <t>Other Place</t>
  </si>
  <si>
    <t>Four hour immunity against spores from spore glands and +5 vs other spores.</t>
  </si>
  <si>
    <t>Ashes From Kralipur</t>
  </si>
  <si>
    <t>SR 125</t>
  </si>
  <si>
    <t>Destroys crops (plants)</t>
  </si>
  <si>
    <t>Forge Falsemen</t>
  </si>
  <si>
    <t>20/29</t>
  </si>
  <si>
    <t>Creates falsemen</t>
  </si>
  <si>
    <t>Alter Form</t>
  </si>
  <si>
    <t>Jao Travels to the Sky</t>
  </si>
  <si>
    <t>Turn into lighting bolt and travel to anywhere in sight Willforce + 8</t>
  </si>
  <si>
    <t>Pervert Emotion</t>
  </si>
  <si>
    <t>AMB 42</t>
  </si>
  <si>
    <t>23/29</t>
  </si>
  <si>
    <t>Talent Reaver (Multi-Discipline)</t>
  </si>
  <si>
    <t>2/1</t>
  </si>
  <si>
    <t>23/35</t>
  </si>
  <si>
    <t>Varies (see text)</t>
  </si>
  <si>
    <t>Eternal Youth</t>
  </si>
  <si>
    <t>17/31</t>
  </si>
  <si>
    <t>Stops aging</t>
  </si>
  <si>
    <t>Erase Horror Mark</t>
  </si>
  <si>
    <t>17/22</t>
  </si>
  <si>
    <t>Removes Horror mark</t>
  </si>
  <si>
    <t>Cleanse Astral Space</t>
  </si>
  <si>
    <t>AMB 52</t>
  </si>
  <si>
    <t>20/28</t>
  </si>
  <si>
    <t>Drought of Heroes</t>
  </si>
  <si>
    <t>+2 phys def, +2 melee damage, +2 mystic, +1 recovery daily</t>
  </si>
  <si>
    <t>+5 karma points to spend on any combat action.  Duration: combat length.</t>
  </si>
  <si>
    <t>Blood Matrix, Armored</t>
  </si>
  <si>
    <t>Cathay PL 136</t>
  </si>
  <si>
    <t>5 Strain to use.</t>
  </si>
  <si>
    <t>Cold Flask</t>
  </si>
  <si>
    <t>EDC2 72</t>
  </si>
  <si>
    <t>Blinding Stones</t>
  </si>
  <si>
    <t>Terror 84</t>
  </si>
  <si>
    <t>blinds opponents, see text</t>
  </si>
  <si>
    <t>Drought of Legend</t>
  </si>
  <si>
    <t>Records telepathic dictation</t>
  </si>
  <si>
    <t>Nethermancer is +1 step to both Spellcasting and Willforce talents.</t>
  </si>
  <si>
    <t>Book of Mysteries</t>
  </si>
  <si>
    <t>AMB 92</t>
  </si>
  <si>
    <t>A spell grimoire</t>
  </si>
  <si>
    <t>Amulet of Dianuus</t>
  </si>
  <si>
    <t>AMB 88</t>
  </si>
  <si>
    <t>+1 spell def</t>
  </si>
  <si>
    <t>+1 spell def, +2 mystic</t>
  </si>
  <si>
    <t>Write location within 75 miles and teleport, records telepathic dictation, produces own ink which can be invisible</t>
  </si>
  <si>
    <t>Write location within 75 miles and teleport, also to other planes, records telepathic dictation, produces own ink which can be invisible</t>
  </si>
  <si>
    <t>Frosty Potion</t>
  </si>
  <si>
    <t>EJ6 19</t>
  </si>
  <si>
    <t>Protects from heat effects for 6 hours.</t>
  </si>
  <si>
    <t>Blood Tatoo Desperate Spell</t>
  </si>
  <si>
    <t>Equilibria</t>
  </si>
  <si>
    <t>NGC 285</t>
  </si>
  <si>
    <t>+2 spell def, +1 mystic, quill takes dication, answers questions, question dead</t>
  </si>
  <si>
    <t>Wound dressing, +1 recovery test every other day until healed.</t>
  </si>
  <si>
    <t>Step Through Shadow</t>
  </si>
  <si>
    <t>12/24</t>
  </si>
  <si>
    <t>Creates an astral passageway</t>
  </si>
  <si>
    <t>Wit Friend</t>
  </si>
  <si>
    <t>RBL503 12</t>
  </si>
  <si>
    <t>Creates cadaver men</t>
  </si>
  <si>
    <t>Death Vow</t>
  </si>
  <si>
    <t>Earth and Air</t>
  </si>
  <si>
    <t>16/20</t>
  </si>
  <si>
    <t>Cloudboat</t>
  </si>
  <si>
    <t>19/26</t>
  </si>
  <si>
    <t>Creates a drakkar of air</t>
  </si>
  <si>
    <t>Astral Materialization</t>
  </si>
  <si>
    <t>C 80</t>
  </si>
  <si>
    <t>Astral Slice</t>
  </si>
  <si>
    <t>13/26</t>
  </si>
  <si>
    <t>Draw and Quarter</t>
  </si>
  <si>
    <t>AMB 51</t>
  </si>
  <si>
    <t>16/26</t>
  </si>
  <si>
    <t>Fire and Water</t>
  </si>
  <si>
    <t>EDC 78</t>
  </si>
  <si>
    <t>17/20</t>
  </si>
  <si>
    <t>C 77</t>
  </si>
  <si>
    <t>Eclipse</t>
  </si>
  <si>
    <t>Hold Pattern</t>
  </si>
  <si>
    <t>14/23</t>
  </si>
  <si>
    <t>Petrify</t>
  </si>
  <si>
    <t>Subject's Spell Defense</t>
  </si>
  <si>
    <t>Elemental Merchant</t>
  </si>
  <si>
    <t>Eternal Day</t>
  </si>
  <si>
    <t>18/21</t>
  </si>
  <si>
    <t>Fragile Pattern</t>
  </si>
  <si>
    <t>Journey to Life</t>
  </si>
  <si>
    <t>Returns a long-dead character to life</t>
  </si>
  <si>
    <t>Permanent</t>
  </si>
  <si>
    <t>SSB 66</t>
  </si>
  <si>
    <t>Nethermancer/Wizard</t>
  </si>
  <si>
    <t>EDC 86</t>
  </si>
  <si>
    <t>Recall the Ancient Spirit</t>
  </si>
  <si>
    <t>18/26</t>
  </si>
  <si>
    <t>Rank 3</t>
  </si>
  <si>
    <t>Rank 4</t>
  </si>
  <si>
    <t>Rank 5</t>
  </si>
  <si>
    <t>Rank 6</t>
  </si>
  <si>
    <t>Neutralizes effects of poison for 8 hours.</t>
  </si>
  <si>
    <t>Blood Pebble Armor</t>
  </si>
  <si>
    <t>Aggressive costs no strain for 10 rds.  +3 on phys and mystic armor, knockdown, and recovery tests.</t>
  </si>
  <si>
    <t>Black Blood Charm</t>
  </si>
  <si>
    <t>Wearer's Blood becomes poison, see text.</t>
  </si>
  <si>
    <t>Cleaning Broom</t>
  </si>
  <si>
    <t>EJ6 20</t>
  </si>
  <si>
    <t>Elemental</t>
  </si>
  <si>
    <t>Elemental wood and earth capture and neutralize all dust.</t>
  </si>
  <si>
    <t>Bands of Fortune</t>
  </si>
  <si>
    <t>AMB 76</t>
  </si>
  <si>
    <t>Adept's Blood</t>
  </si>
  <si>
    <t>ESG 108</t>
  </si>
  <si>
    <t>Hallucinations and waking dreams for 4-16 hours.  Spell Def 3 vs illusions.  -1 recovery test next day.</t>
  </si>
  <si>
    <t>+1 karma step, stores karma, may use +1 karma pt</t>
  </si>
  <si>
    <t>Pouch will hold one coin which will turn into a tatoo; used for ghost master ritual coins.</t>
  </si>
  <si>
    <t>Dwarf Winternight Cloak</t>
  </si>
  <si>
    <t>Keeps wearer warm.  +4 armor vs cold spells and ice weapons.</t>
  </si>
  <si>
    <t>Bracers of Firewind</t>
  </si>
  <si>
    <t>+1 spellcasting &amp; threadweaving</t>
  </si>
  <si>
    <t>+1 spellcasting &amp; threadweaving, elemental powers</t>
  </si>
  <si>
    <t>+1 spellcasting &amp; threadweaving, elemental powers, +1 phys def</t>
  </si>
  <si>
    <t>Bedroll of Comfort</t>
  </si>
  <si>
    <t>AMB 65</t>
  </si>
  <si>
    <t>Unnatural Life</t>
  </si>
  <si>
    <t>AMB 41</t>
  </si>
  <si>
    <t>19/25</t>
  </si>
  <si>
    <t>Rank years</t>
  </si>
  <si>
    <t>Restores a target to "unnatural" life</t>
  </si>
  <si>
    <t>Sculptor Chisels the Stone</t>
  </si>
  <si>
    <t>17/30</t>
  </si>
  <si>
    <t>Rank + 3 minutes</t>
  </si>
  <si>
    <t>Astral Maw</t>
  </si>
  <si>
    <t>Bone Pudding</t>
  </si>
  <si>
    <t>AMB 37</t>
  </si>
  <si>
    <t>Inflicts 6 Wounds to target</t>
  </si>
  <si>
    <t xml:space="preserve">1 mile </t>
  </si>
  <si>
    <t>Links two doorways</t>
  </si>
  <si>
    <t>Wither Away</t>
  </si>
  <si>
    <t>Shadow Spell</t>
  </si>
  <si>
    <t>Absorbing Sphere</t>
  </si>
  <si>
    <t>C 84</t>
  </si>
  <si>
    <t>Burning Water</t>
  </si>
  <si>
    <t>AMB 17</t>
  </si>
  <si>
    <t>15/25</t>
  </si>
  <si>
    <t>Creates flammable water</t>
  </si>
  <si>
    <t>Do Unto Others</t>
  </si>
  <si>
    <t>Create Life</t>
  </si>
  <si>
    <t>EDC 81</t>
  </si>
  <si>
    <t>21/26</t>
  </si>
  <si>
    <t>1 Yard</t>
  </si>
  <si>
    <t>7 + Rank years</t>
  </si>
  <si>
    <t>Creates Creature</t>
  </si>
  <si>
    <t>Caterpillar Spins Cocoon</t>
  </si>
  <si>
    <t>Rank + 20 minutes</t>
  </si>
  <si>
    <t>Transforms namegiver to non-magical animal</t>
  </si>
  <si>
    <t>Cloud Banish</t>
  </si>
  <si>
    <t>C 75</t>
  </si>
  <si>
    <t>15/20</t>
  </si>
  <si>
    <t>EDC 75</t>
  </si>
  <si>
    <t>Council of the Forest</t>
  </si>
  <si>
    <t>18/32</t>
  </si>
  <si>
    <t>1-mile radius</t>
  </si>
  <si>
    <t>Summons tree and other plant spirits</t>
  </si>
  <si>
    <t>+2 mystic, +2 spell def, +1 soc def, see text</t>
  </si>
  <si>
    <t>+2 mystic, +2 spell def, +2 soc def, see text</t>
  </si>
  <si>
    <t>21/29</t>
  </si>
  <si>
    <t>5-mile radius</t>
  </si>
  <si>
    <t>Summons cadaver men</t>
  </si>
  <si>
    <t>+3 mystic, +3 spell def, +3 soc def, see text</t>
  </si>
  <si>
    <t>Blessing of the Rooster</t>
  </si>
  <si>
    <t>Cathay PL 140</t>
  </si>
  <si>
    <t>Boosts the immune system giving +5 to any disease resistance tests.</t>
  </si>
  <si>
    <t>Astral Face</t>
  </si>
  <si>
    <t>EDC 14</t>
  </si>
  <si>
    <t>Nethermark</t>
  </si>
  <si>
    <t>EDC2 160</t>
  </si>
  <si>
    <t>100 Yards</t>
  </si>
  <si>
    <t>1 Year and a Day</t>
  </si>
  <si>
    <t>Marks a target for spell use</t>
  </si>
  <si>
    <t>+1 spell def, +2 mystic, spell matrix</t>
  </si>
  <si>
    <t>+2 spell def, +4 mystic, spell matrix</t>
  </si>
  <si>
    <t>+2 spell def, +4 mystic, spell matrix, +2 elemental tongues</t>
  </si>
  <si>
    <t>+2 spell def, +6 mystic, spell matrix, +3 elemental tongues</t>
  </si>
  <si>
    <t>see text</t>
  </si>
  <si>
    <t>Bloodwort</t>
  </si>
  <si>
    <t>+10 karma points to spend on any combat action. +1 on karma step. Duration: combat length.</t>
  </si>
  <si>
    <t>Blood Matrix, Enhanced</t>
  </si>
  <si>
    <t>3 Strain to use.</t>
  </si>
  <si>
    <t>Death Mask</t>
  </si>
  <si>
    <t>BOE 69</t>
  </si>
  <si>
    <t>Allows the wearer to attend Death's Masquerade to attempt to revive a dead person.</t>
  </si>
  <si>
    <t>+1 spell def, +1 mystic, quill takes dication</t>
  </si>
  <si>
    <t>+2 spell def, +1 mystic, quill takes dication, answers questions</t>
  </si>
  <si>
    <t>Wipe Matrices</t>
  </si>
  <si>
    <t>Void Wave</t>
  </si>
  <si>
    <t>Walking Dead</t>
  </si>
  <si>
    <t>Ork Stoke</t>
  </si>
  <si>
    <t>Sets off gahad</t>
  </si>
  <si>
    <t>CF 117</t>
  </si>
  <si>
    <t>Damage Transfer</t>
  </si>
  <si>
    <t>Air Fortress</t>
  </si>
  <si>
    <t>EDC 77</t>
  </si>
  <si>
    <t>17/23</t>
  </si>
  <si>
    <t>Rank x 10 hours</t>
  </si>
  <si>
    <t>Afterlife</t>
  </si>
  <si>
    <t>16/21</t>
  </si>
  <si>
    <t>Willforce + 14</t>
  </si>
  <si>
    <t>Animate Dead</t>
  </si>
  <si>
    <t>Thunderclap</t>
  </si>
  <si>
    <t>–8 steps, deafness</t>
  </si>
  <si>
    <t>Steal Strength</t>
  </si>
  <si>
    <t>AMB 38</t>
  </si>
  <si>
    <t>Willforce +6</t>
  </si>
  <si>
    <t>Astral Shadow</t>
  </si>
  <si>
    <t>12/17</t>
  </si>
  <si>
    <t>Astral Nightmare</t>
  </si>
  <si>
    <t>12/21</t>
  </si>
  <si>
    <t>Blade Fury</t>
  </si>
  <si>
    <t>Chi-Len Plays with Snakes</t>
  </si>
  <si>
    <t>Cat’s Cradle</t>
  </si>
  <si>
    <t>Shared spellcasting</t>
  </si>
  <si>
    <t>Giu Makes Many Pots</t>
  </si>
  <si>
    <t>3+</t>
  </si>
  <si>
    <t>Tranforms multiple objects into other objects</t>
  </si>
  <si>
    <t>Control Being</t>
  </si>
  <si>
    <t>Crushing Hand of Earth</t>
  </si>
  <si>
    <t>AMB 16</t>
  </si>
  <si>
    <t>Dancing Dragon</t>
  </si>
  <si>
    <t>9/12</t>
  </si>
  <si>
    <t>Creates illusion of a dragon</t>
  </si>
  <si>
    <t>Catch Spell</t>
  </si>
  <si>
    <t>AMB 49</t>
  </si>
  <si>
    <t>Massive Missiles</t>
  </si>
  <si>
    <t>250 yards</t>
  </si>
  <si>
    <t>Earth Wall</t>
  </si>
  <si>
    <t>C 86</t>
  </si>
  <si>
    <t>Willpower + 15</t>
  </si>
  <si>
    <t>Warp Astral Space</t>
  </si>
  <si>
    <t>5 + Rank in rounds</t>
  </si>
  <si>
    <t>–8 to Spellcasting step</t>
  </si>
  <si>
    <t>Haunted House</t>
  </si>
  <si>
    <t>Gateway</t>
  </si>
  <si>
    <t>The Jester's Mask</t>
  </si>
  <si>
    <t>Item</t>
  </si>
  <si>
    <t xml:space="preserve">Rank 1 </t>
  </si>
  <si>
    <t>Rank 2</t>
  </si>
  <si>
    <t>Onion Blood</t>
  </si>
  <si>
    <t>Warrior Raises His Shield</t>
  </si>
  <si>
    <t>Rank 7</t>
  </si>
  <si>
    <t>Rank 8</t>
  </si>
  <si>
    <t>Rank 9</t>
  </si>
  <si>
    <t>Rank 10</t>
  </si>
  <si>
    <t>Rank 11</t>
  </si>
  <si>
    <t>Rank 12</t>
  </si>
  <si>
    <t>Rank 13</t>
  </si>
  <si>
    <t>Ramk 14</t>
  </si>
  <si>
    <t>Rank 15</t>
  </si>
  <si>
    <t>Current Power</t>
  </si>
  <si>
    <t>AMB 28</t>
  </si>
  <si>
    <t>20/31</t>
  </si>
  <si>
    <t>Ghostwalk</t>
  </si>
  <si>
    <t>Makes the caster immaterial</t>
  </si>
  <si>
    <t>Spell Fusion</t>
  </si>
  <si>
    <t>Icewall</t>
  </si>
  <si>
    <t>Absorb Blow Charm</t>
  </si>
  <si>
    <t>ED 258</t>
  </si>
  <si>
    <t>+12 to armor rating for one damage test.</t>
  </si>
  <si>
    <t>Air Elevator</t>
  </si>
  <si>
    <t>AMB 64</t>
  </si>
  <si>
    <t>Platform with elemental air woven into it.  Self descriptive.</t>
  </si>
  <si>
    <t>Air Trolldens</t>
  </si>
  <si>
    <t>EJ7 30</t>
  </si>
  <si>
    <t>Thread Item</t>
  </si>
  <si>
    <t>Thread Rank Bonus to Avoid Blow</t>
  </si>
  <si>
    <t>+2 karma step, stores karma, may use +1 karma pt</t>
  </si>
  <si>
    <t>+2 karma step, stores karma, may use +5 karma pts</t>
  </si>
  <si>
    <t>Bug Go Oil</t>
  </si>
  <si>
    <t>Keeps small bugs away.</t>
  </si>
  <si>
    <t>Blood Crossbow Charm</t>
  </si>
  <si>
    <t>MOL1 15</t>
  </si>
  <si>
    <t>Thread Rank Bonus to Avoid Blow, Great Leap, Wind Catcher</t>
  </si>
  <si>
    <t>Rope fastens itself on any surface</t>
  </si>
  <si>
    <t>Berenford's Key</t>
  </si>
  <si>
    <t>EJ8 54</t>
  </si>
  <si>
    <t>see text, perception, knowledge bonuses</t>
  </si>
  <si>
    <t>Confidence Booster</t>
  </si>
  <si>
    <t>AMB 70</t>
  </si>
  <si>
    <t>Target is +7 on damage and knockdown difficulty is +7</t>
  </si>
  <si>
    <t>Visit Death</t>
  </si>
  <si>
    <t>Xue Wanders in the Mountains</t>
  </si>
  <si>
    <t>Ming Folds a Monster</t>
  </si>
  <si>
    <t>Transforms a piece of paper into a monster Willforce + 12</t>
  </si>
  <si>
    <t>Wound Mask</t>
  </si>
  <si>
    <t>13/15</t>
  </si>
  <si>
    <t>Wall of Bones</t>
  </si>
  <si>
    <t>AMB 39</t>
  </si>
  <si>
    <t>Gives target astral-sensitive sight</t>
  </si>
  <si>
    <t>Blood Boil</t>
  </si>
  <si>
    <t>4 rounds</t>
  </si>
  <si>
    <t>Calm Water</t>
  </si>
  <si>
    <t>Dream Sight</t>
  </si>
  <si>
    <t>Elementalist, Illusionist, Nethermancer</t>
  </si>
  <si>
    <t>Cloud Summon</t>
  </si>
  <si>
    <t>Drunken Stagger</t>
  </si>
  <si>
    <t>5 + Rank days</t>
  </si>
  <si>
    <t>Step penalty to target's actions</t>
  </si>
  <si>
    <t>Banquet of Dis</t>
  </si>
  <si>
    <t>Eliminates hunger and fatigue</t>
  </si>
  <si>
    <t>Call</t>
  </si>
  <si>
    <t>Delivers a message</t>
  </si>
  <si>
    <t>Constrict Heart</t>
  </si>
  <si>
    <t>Death Rain</t>
  </si>
  <si>
    <t>15/18</t>
  </si>
  <si>
    <t>Willforce + 5 (see text)</t>
  </si>
  <si>
    <t>False Enchantment</t>
  </si>
  <si>
    <t>7 + Rank days</t>
  </si>
  <si>
    <t>=+D8 Sensing Difficulty</t>
  </si>
  <si>
    <t>Cast Rune</t>
  </si>
  <si>
    <t>EJ9 44</t>
  </si>
  <si>
    <t>Stores spell in a rune</t>
  </si>
  <si>
    <t>Dream Realm (Multi-Discipline)</t>
  </si>
  <si>
    <t>3/2</t>
  </si>
  <si>
    <t>17/25</t>
  </si>
  <si>
    <t>Dark Sword</t>
  </si>
  <si>
    <t>C 81</t>
  </si>
  <si>
    <t>15/19</t>
  </si>
  <si>
    <t>Channel Raw Magic</t>
  </si>
  <si>
    <t>AMB 50</t>
  </si>
  <si>
    <t>12/25</t>
  </si>
  <si>
    <t>Call Forth the Army of Decay</t>
  </si>
  <si>
    <t>Channels astral energy through target</t>
  </si>
  <si>
    <t>Cold Embers</t>
  </si>
  <si>
    <t>18/25</t>
  </si>
  <si>
    <t>Extinguishes open flames</t>
  </si>
  <si>
    <t>Lao Curses the Emperor</t>
  </si>
  <si>
    <t>21/36</t>
  </si>
  <si>
    <t>Makes second spell permanent</t>
  </si>
  <si>
    <t>Call Forth the Maelstrom</t>
  </si>
  <si>
    <t>25/33</t>
  </si>
  <si>
    <t>Unlimited</t>
  </si>
  <si>
    <t>Creates a natural disaster</t>
  </si>
  <si>
    <t>Giant Stomps His Feet</t>
  </si>
  <si>
    <t>16/28</t>
  </si>
  <si>
    <t>Earth shakes Willforce + 11</t>
  </si>
  <si>
    <t>City in a Bottle</t>
  </si>
  <si>
    <t>18/33</t>
  </si>
  <si>
    <t>25 miles</t>
  </si>
  <si>
    <t>Captures terrain</t>
  </si>
  <si>
    <t>Purify Forest</t>
  </si>
  <si>
    <t>28/33</t>
  </si>
  <si>
    <t>Nethermancer, Shaman, Sorceror</t>
  </si>
  <si>
    <t>2/Target's Spell Defense (see text)</t>
  </si>
  <si>
    <t>Lightning Eyes</t>
  </si>
  <si>
    <t>+ 4 missiles</t>
  </si>
  <si>
    <t>Caster's Spell Defense</t>
  </si>
  <si>
    <t>Touch of Winter</t>
  </si>
  <si>
    <t>Wound dressing, +2 steps to recovery tests for healing cuts and open wounds.</t>
  </si>
  <si>
    <t>Target’s Spell Defense (9)</t>
  </si>
  <si>
    <t>Astral Sensitive Eye</t>
  </si>
  <si>
    <t>+1 spell def, +1 mystic, quill takes dication, answers questions</t>
  </si>
  <si>
    <t>Amulet of Dirac Tol Amarra</t>
  </si>
  <si>
    <t>Mist 98</t>
  </si>
  <si>
    <t>+3 armor</t>
  </si>
  <si>
    <t>+3 armor, +2 mystic</t>
  </si>
  <si>
    <t>+3 armor, +2 mystic, healing, see text</t>
  </si>
  <si>
    <t>Bog Moss</t>
  </si>
  <si>
    <t>Gain answer from object</t>
  </si>
  <si>
    <t>Talent Shredder</t>
  </si>
  <si>
    <t>C 82</t>
  </si>
  <si>
    <t>17/19</t>
  </si>
  <si>
    <t>Spirit Bolt</t>
  </si>
  <si>
    <t>Paper Masters the River</t>
  </si>
  <si>
    <t>Creates riverboat from paper</t>
  </si>
  <si>
    <t>Spell Cage</t>
  </si>
  <si>
    <t>ED 189</t>
  </si>
  <si>
    <t>–5 steps to all Spellcasting Tests</t>
  </si>
  <si>
    <t>Storm Manacles</t>
  </si>
  <si>
    <t>ED 165</t>
  </si>
  <si>
    <t>Spirit Portal</t>
  </si>
  <si>
    <t>14/19</t>
  </si>
  <si>
    <t>Target’s Spell Defense (see text)</t>
  </si>
  <si>
    <t>Whisper Through the Night</t>
  </si>
  <si>
    <t>Blood Lost</t>
  </si>
  <si>
    <t>12/22</t>
  </si>
  <si>
    <t>Target cannot heal Wounds</t>
  </si>
  <si>
    <t>Giant Takes One Step</t>
  </si>
  <si>
    <t>Transports mage 80yards</t>
  </si>
  <si>
    <t>Bone Shatter</t>
  </si>
  <si>
    <t>Drastic Temperature</t>
  </si>
  <si>
    <t>Bouncing Blaster</t>
  </si>
  <si>
    <t>ED 172</t>
  </si>
  <si>
    <t>9/20</t>
  </si>
  <si>
    <t>Bone Puppet</t>
  </si>
  <si>
    <t>AMB 35</t>
  </si>
  <si>
    <t>Displace Self</t>
  </si>
  <si>
    <t>ED 188</t>
  </si>
  <si>
    <t>Mai-Lo Becomes a Teacup</t>
  </si>
  <si>
    <t>Rank + 6 hours</t>
  </si>
  <si>
    <t>Transforms caster into mundane object</t>
  </si>
  <si>
    <t>Bone Walker</t>
  </si>
  <si>
    <t>12/18</t>
  </si>
  <si>
    <t>2 + Rank days</t>
  </si>
  <si>
    <t>Creates bone walker</t>
  </si>
  <si>
    <t>Ease Passage</t>
  </si>
  <si>
    <t>Demon Sees Its Face</t>
  </si>
  <si>
    <t>14/26</t>
  </si>
  <si>
    <t>Enchants mirror to create hostile doppelganger of 1st person to look in it</t>
  </si>
  <si>
    <t>Globe of Silence</t>
  </si>
  <si>
    <t>C 83</t>
  </si>
  <si>
    <t>5,000 miles</t>
  </si>
  <si>
    <t>Prince Wears New Face</t>
  </si>
  <si>
    <t>Turns caster into animal</t>
  </si>
  <si>
    <t>Haunted Forest (Multi-Discipline)</t>
  </si>
  <si>
    <t>2/2</t>
  </si>
  <si>
    <t>15/24</t>
  </si>
  <si>
    <t>Negates a hostile spell Willforce + 10</t>
  </si>
  <si>
    <t>Frozen Harbor</t>
  </si>
  <si>
    <t>16/29</t>
  </si>
  <si>
    <t>Freezes an expanse of water</t>
  </si>
  <si>
    <t>Restore Pattern</t>
  </si>
  <si>
    <t>Haunted Forest(Multi-Discipline)</t>
  </si>
  <si>
    <t>Delay Blow</t>
  </si>
  <si>
    <t>10 + Rank rounds (until used)</t>
  </si>
  <si>
    <t>Creates a barrier of ice</t>
  </si>
  <si>
    <t>Shadow Palace</t>
  </si>
  <si>
    <t>21/32</t>
  </si>
  <si>
    <t>Soul Trap</t>
  </si>
  <si>
    <t>Traps the soul of a deceased target in his or her body</t>
  </si>
  <si>
    <t>Spirit Tempest</t>
  </si>
  <si>
    <t>Weather Change</t>
  </si>
  <si>
    <t>10 miles</t>
  </si>
  <si>
    <t>10 + Rank hours</t>
  </si>
  <si>
    <t>Strong Pattern</t>
  </si>
  <si>
    <t>18/23</t>
  </si>
  <si>
    <t>Tap Horror Karma</t>
  </si>
  <si>
    <t>18/20</t>
  </si>
  <si>
    <t>Thread Rank Bonus to Avoid Blow, Great Leap</t>
  </si>
  <si>
    <t>Shatter Pattern</t>
  </si>
  <si>
    <t>MMMS 135</t>
  </si>
  <si>
    <t>Crossbow and charm are bound together; take 4 damage and add 6 steps to damage; must be recharged after use.</t>
  </si>
  <si>
    <t>Clingor Rope 9'</t>
  </si>
  <si>
    <t>Air Wings (Mount)</t>
  </si>
  <si>
    <t>MOL1 24</t>
  </si>
  <si>
    <t>Increase a flying mount's Strength and Dexterity by 1 for lifting and movement; mount flies 10% faster.</t>
  </si>
  <si>
    <t>Tiger Pounces Mightily</t>
  </si>
  <si>
    <t>Rank + 4 rounds</t>
  </si>
  <si>
    <t>Tree Merge</t>
  </si>
  <si>
    <t>AMB 14</t>
  </si>
  <si>
    <t>16/23</t>
  </si>
  <si>
    <t>Wall of Darkness</t>
  </si>
  <si>
    <t>Beastform</t>
  </si>
  <si>
    <t>Transforms caster into an animal</t>
  </si>
  <si>
    <t>Cloak</t>
  </si>
  <si>
    <t>Hides a person from all forms of location</t>
  </si>
  <si>
    <t>Astral Beacon</t>
  </si>
  <si>
    <t>13/23</t>
  </si>
  <si>
    <t>Astral Gift</t>
  </si>
  <si>
    <t>AMB 48</t>
  </si>
  <si>
    <t>Metal Scream</t>
  </si>
  <si>
    <t>Incessant Talking</t>
  </si>
  <si>
    <t>14/18</t>
  </si>
  <si>
    <t>Forces target to babble</t>
  </si>
  <si>
    <t>Makeshift Missile</t>
  </si>
  <si>
    <t>Nutritious Earth</t>
  </si>
  <si>
    <t>AMB 13</t>
  </si>
  <si>
    <t>1 year and 1 day</t>
  </si>
  <si>
    <t>Makes land fertile</t>
  </si>
  <si>
    <t>Metal Wings</t>
  </si>
  <si>
    <t>Flight, + 5 steps to lifting Strength</t>
  </si>
  <si>
    <t>Illusion</t>
  </si>
  <si>
    <t>MMMS 134</t>
  </si>
  <si>
    <t>Creates illusion</t>
  </si>
  <si>
    <t>Pan Seals the Lips</t>
  </si>
  <si>
    <t>15/27</t>
  </si>
  <si>
    <t>Target's mouth is sewn shut Willforce +2 damage</t>
  </si>
  <si>
    <t>Mystic Shock</t>
  </si>
  <si>
    <t>10 yards (see text)</t>
  </si>
  <si>
    <t>Pleasant Visions</t>
  </si>
  <si>
    <t>Cold Storage</t>
  </si>
  <si>
    <t>Rank months</t>
  </si>
  <si>
    <t>Preserves organic matter</t>
  </si>
  <si>
    <t>Damage Shift</t>
  </si>
  <si>
    <t>Allows the nethermancer to shift damage taken to another person</t>
  </si>
  <si>
    <t>3 rounds</t>
  </si>
  <si>
    <t>Rebel Limb</t>
  </si>
  <si>
    <t>Confusing Weave</t>
  </si>
  <si>
    <t>Infant Takes First Step</t>
  </si>
  <si>
    <t>Transform everyday item into small animal</t>
  </si>
  <si>
    <t>Earth Surfing</t>
  </si>
  <si>
    <t>10/22</t>
  </si>
  <si>
    <t>Creates earth wave</t>
  </si>
  <si>
    <t>Grim Reaper</t>
  </si>
  <si>
    <t>C 78</t>
  </si>
  <si>
    <t>Willforce + 13</t>
  </si>
  <si>
    <t>Disrupt Magic</t>
  </si>
  <si>
    <t>Draining Eye</t>
  </si>
  <si>
    <t>14/15</t>
  </si>
  <si>
    <t>Reversal of Passion</t>
  </si>
  <si>
    <t>Dislodge Spell</t>
  </si>
  <si>
    <t>Reverse Withering</t>
  </si>
  <si>
    <t xml:space="preserve">Target’s Spell Defense (see text) </t>
  </si>
  <si>
    <t>Dragon’s Breath</t>
  </si>
  <si>
    <t>Mistaken Identity</t>
  </si>
  <si>
    <t>15/23</t>
  </si>
  <si>
    <t>Rank weeks</t>
  </si>
  <si>
    <t>Obscures perceptions of the target's true identity</t>
  </si>
  <si>
    <t>Glowing Swarm</t>
  </si>
  <si>
    <t>Creates a swarm of glowing insects</t>
  </si>
  <si>
    <t>Reattach Limb</t>
  </si>
  <si>
    <t>C 85</t>
  </si>
  <si>
    <t>15/15</t>
  </si>
  <si>
    <t>Fire Wall</t>
  </si>
  <si>
    <t>Freezes target Willforce + 2</t>
  </si>
  <si>
    <t>EDC 76</t>
  </si>
  <si>
    <t>Willforce +10</t>
  </si>
  <si>
    <t>Target’s Spell Defense (12)</t>
  </si>
  <si>
    <t>Giu shapes the Clay</t>
  </si>
  <si>
    <t>Astral sight, 1 point of strain per use of perception or spellcasting.</t>
  </si>
  <si>
    <t>Book of Scales</t>
  </si>
  <si>
    <t>LED 88</t>
  </si>
  <si>
    <t>History of Horrors</t>
  </si>
  <si>
    <t>Rampage</t>
  </si>
  <si>
    <t>25 Yards</t>
  </si>
  <si>
    <t>Sets off gahad in 100 sq ft area</t>
  </si>
  <si>
    <t>See Matrix</t>
  </si>
  <si>
    <t>Spell defense of astral space (6)</t>
  </si>
  <si>
    <t>Snake Strikes Swiftly</t>
  </si>
  <si>
    <t>Cancels up to D10 Action dice</t>
  </si>
  <si>
    <t>Mystic Net</t>
  </si>
  <si>
    <t>Creates two duplicates of target who mimic him, even fighting Willforce + 2</t>
  </si>
  <si>
    <t>Star Shower</t>
  </si>
  <si>
    <t>Switch</t>
  </si>
  <si>
    <t>NA/18</t>
  </si>
  <si>
    <t>Switches appearance of illusionist and target</t>
  </si>
  <si>
    <t>Target Portal</t>
  </si>
  <si>
    <t>1,000 yards</t>
  </si>
  <si>
    <t>Wall of Unfire</t>
  </si>
  <si>
    <t>Tears of the Scourge</t>
  </si>
  <si>
    <t>Bridge of Light</t>
  </si>
  <si>
    <t>EJ9 37</t>
  </si>
  <si>
    <t>Ocean Floor</t>
  </si>
  <si>
    <t>Reduces knockdown threshold</t>
  </si>
  <si>
    <t>Visions of Death</t>
  </si>
  <si>
    <t>Immobilizes character in horror and fear</t>
  </si>
  <si>
    <t>Panther Stalks Silently</t>
  </si>
  <si>
    <t>Rank + 4 minutes</t>
  </si>
  <si>
    <t>Target is +3 to tracking, attack, and damage tests</t>
  </si>
  <si>
    <t>Spear (Element)</t>
  </si>
  <si>
    <t>Stop Right There</t>
  </si>
  <si>
    <t>ED 171</t>
  </si>
  <si>
    <t>Spirits of Death's Sea</t>
  </si>
  <si>
    <t>Unmask</t>
  </si>
  <si>
    <t>Thorny Retreat</t>
  </si>
  <si>
    <t>ED 187</t>
  </si>
  <si>
    <t>11/13</t>
  </si>
  <si>
    <t>Suffocating Paste</t>
  </si>
  <si>
    <t>6 + Rank hours</t>
  </si>
  <si>
    <t>Chosen Path</t>
  </si>
  <si>
    <t>Doom Missile</t>
  </si>
  <si>
    <t>10/21</t>
  </si>
  <si>
    <t>Makeshift Weapon</t>
  </si>
  <si>
    <t>Fireweave</t>
  </si>
  <si>
    <t>12/19</t>
  </si>
  <si>
    <t>Dancing Disks</t>
  </si>
  <si>
    <t>75 yards</t>
  </si>
  <si>
    <t>Compression Bubble</t>
  </si>
  <si>
    <t>Princess Dreams of Serpents</t>
  </si>
  <si>
    <t>Prolongs target's sleep, trapping him within his nightmares Willforce +5</t>
  </si>
  <si>
    <t>Foul Vapors</t>
  </si>
  <si>
    <t>ED 181</t>
  </si>
  <si>
    <t>Flameshaw</t>
  </si>
  <si>
    <t>Foreseeing</t>
  </si>
  <si>
    <t>Circle of Astral Protection</t>
  </si>
  <si>
    <t>Transforms a woodland</t>
  </si>
  <si>
    <t>Dreamsend</t>
  </si>
  <si>
    <t>AMB 27</t>
  </si>
  <si>
    <t>11/24</t>
  </si>
  <si>
    <t>Dust to Dust</t>
  </si>
  <si>
    <t>AMB 36</t>
  </si>
  <si>
    <t>Willforce + 11</t>
  </si>
  <si>
    <t>Prevents Karma use</t>
  </si>
  <si>
    <t>Sleep</t>
  </si>
  <si>
    <t>Princess Trapped in Mirror</t>
  </si>
  <si>
    <t>Mirror captivates any who view Willforce + 9</t>
  </si>
  <si>
    <t>Horror Call</t>
  </si>
  <si>
    <t>13/22</t>
  </si>
  <si>
    <t>Willforce + 16</t>
  </si>
  <si>
    <t>Ironskin</t>
  </si>
  <si>
    <t>EJ7 32</t>
  </si>
  <si>
    <t>11/16</t>
  </si>
  <si>
    <t>Ephemeral Magic (Multi-Discipline)</t>
  </si>
  <si>
    <t>16/24</t>
  </si>
  <si>
    <t>Silence Metal</t>
  </si>
  <si>
    <t>Perimeter Alarm</t>
  </si>
  <si>
    <t>Rank yards</t>
  </si>
  <si>
    <t>ED 164</t>
  </si>
  <si>
    <t>Form Exchange</t>
  </si>
  <si>
    <t>Netherblade</t>
  </si>
  <si>
    <t>Target's Spell Defense/23</t>
  </si>
  <si>
    <t>Wood Blade</t>
  </si>
  <si>
    <t>22/28</t>
  </si>
  <si>
    <t>Thread Rank Bonus to Avoid Blow, Great Leap, Wind Catcher, Swift Kick and damage</t>
  </si>
  <si>
    <t>Thread Max Exceeded</t>
  </si>
  <si>
    <t>Aloe</t>
  </si>
  <si>
    <t>ESG 80</t>
  </si>
  <si>
    <t>Good for burns, rashes, insect bites.</t>
  </si>
  <si>
    <t>16/25</t>
  </si>
  <si>
    <t>–10 steps to magic-based tests</t>
  </si>
  <si>
    <t>75 Yards</t>
  </si>
  <si>
    <t>Willforce +15</t>
  </si>
  <si>
    <t>Mao Tends the Herd</t>
  </si>
  <si>
    <t>4 yards</t>
  </si>
  <si>
    <t>Transforms willing targets into animals</t>
  </si>
  <si>
    <t>+D8 to Mystic Armor</t>
  </si>
  <si>
    <t>Rank + 4 hours</t>
  </si>
  <si>
    <t>Transforms object into another</t>
  </si>
  <si>
    <t>Inflame Self</t>
  </si>
  <si>
    <t>AMB 12</t>
  </si>
  <si>
    <t>1 + Rank rounds</t>
  </si>
  <si>
    <t>Kaer Pictographs</t>
  </si>
  <si>
    <t>10 Minutes</t>
  </si>
  <si>
    <t>Creates Pictograph</t>
  </si>
  <si>
    <t>Heat Metal Armor</t>
  </si>
  <si>
    <t>Flesh Eater</t>
  </si>
  <si>
    <t>14/21</t>
  </si>
  <si>
    <t>–2 steps to target's step numbers</t>
  </si>
  <si>
    <t>7 + Rank minutes</t>
  </si>
  <si>
    <t>+4 to Physical Armor Rating</t>
  </si>
  <si>
    <t>Conceal Tracks</t>
  </si>
  <si>
    <t>Conceals tracks</t>
  </si>
  <si>
    <t>Great Sticky Vines</t>
  </si>
  <si>
    <t>11/20</t>
  </si>
  <si>
    <t>Enigmatic Eye</t>
  </si>
  <si>
    <t>Rank + 3 days</t>
  </si>
  <si>
    <t>Dust Devil</t>
  </si>
  <si>
    <t>–2 steps to actions requiring sight, hearing, or smell</t>
  </si>
  <si>
    <t>Fatal Food</t>
  </si>
  <si>
    <t>ED 179</t>
  </si>
  <si>
    <t>Lighten Load</t>
  </si>
  <si>
    <t>7 + Rank hours</t>
  </si>
  <si>
    <t>Eyes Have It</t>
  </si>
  <si>
    <t>Evil Eye</t>
  </si>
  <si>
    <t>–5 steps to all tests</t>
  </si>
  <si>
    <t>Hair Frenzy</t>
  </si>
  <si>
    <t>NA/20</t>
  </si>
  <si>
    <t>Pleasant visions prevent action</t>
  </si>
  <si>
    <t>Illusory Corpse</t>
  </si>
  <si>
    <t>POD 104</t>
  </si>
  <si>
    <t>Creates illusion that the illusionist has died and turns him invisible, similar to Switch</t>
  </si>
  <si>
    <t>Earth Q'wril</t>
  </si>
  <si>
    <t>16/18</t>
  </si>
  <si>
    <t>Rank weeks (up to Rank years)</t>
  </si>
  <si>
    <t>Willforce + 12</t>
  </si>
  <si>
    <t>Sanctuary</t>
  </si>
  <si>
    <t>Passion's Eyes See Below</t>
  </si>
  <si>
    <t>Scrying spell</t>
  </si>
  <si>
    <t>Resist Poison</t>
  </si>
  <si>
    <t>Causes or diminishes hunger in a single target</t>
  </si>
  <si>
    <t>+8 steps to resist poison</t>
  </si>
  <si>
    <t>Improve Karma</t>
  </si>
  <si>
    <t>+5 steps to Karma dice</t>
  </si>
  <si>
    <t>Sculpt Darkness</t>
  </si>
  <si>
    <t>4 + Rank minutes</t>
  </si>
  <si>
    <t>ED 182</t>
  </si>
  <si>
    <t>Engulf (Element)</t>
  </si>
  <si>
    <t>Stampede</t>
  </si>
  <si>
    <t>–2 step penalty</t>
  </si>
  <si>
    <t>Lightning Cloud</t>
  </si>
  <si>
    <t>Teacup Becomes Dagger</t>
  </si>
  <si>
    <t>Transforms two objects into each other's form</t>
  </si>
  <si>
    <t>Grasping Hand of Earth</t>
  </si>
  <si>
    <t>AMB 15</t>
  </si>
  <si>
    <t>Fire Hounds</t>
  </si>
  <si>
    <t>2+ (see text)</t>
  </si>
  <si>
    <t>Summons fire hounds</t>
  </si>
  <si>
    <t>Time Flies</t>
  </si>
  <si>
    <t>10/23</t>
  </si>
  <si>
    <t>Marathon Run</t>
  </si>
  <si>
    <t>One of the Crowd</t>
  </si>
  <si>
    <t>C 79</t>
  </si>
  <si>
    <t xml:space="preserve">15 yards </t>
  </si>
  <si>
    <t>Mystic Vessel</t>
  </si>
  <si>
    <t>Impeding Spirits</t>
  </si>
  <si>
    <t>+ 4 to Physical Armor Rating</t>
  </si>
  <si>
    <t>+ 4 steps to stealth and related abilities</t>
  </si>
  <si>
    <t>/9/16</t>
  </si>
  <si>
    <t>+ 4 steps to rank characters</t>
  </si>
  <si>
    <t>Personal Firebal</t>
  </si>
  <si>
    <t>15/21</t>
  </si>
  <si>
    <t xml:space="preserve">Touch </t>
  </si>
  <si>
    <t>Shift Skin</t>
  </si>
  <si>
    <t>17/18</t>
  </si>
  <si>
    <t>Thundering Walls</t>
  </si>
  <si>
    <t>Water Wall</t>
  </si>
  <si>
    <t>Shift Walls</t>
  </si>
  <si>
    <t>Silent Darkness</t>
  </si>
  <si>
    <t>AMB 40</t>
  </si>
  <si>
    <t>Tell Tale</t>
  </si>
  <si>
    <t>Samurai Calls for Reinforcements</t>
  </si>
  <si>
    <t>Kaer Knocking</t>
  </si>
  <si>
    <t>ESG 105</t>
  </si>
  <si>
    <t>1 Minute</t>
  </si>
  <si>
    <t>Tiger Dines on Bark</t>
  </si>
  <si>
    <t>Changes appearance of any digestible material</t>
  </si>
  <si>
    <t>Shield of Warping</t>
  </si>
  <si>
    <t>Nightmare of Foreboding</t>
  </si>
  <si>
    <t>–8 to Wound Threshold</t>
  </si>
  <si>
    <t>Viewpoint</t>
  </si>
  <si>
    <t>Willpower + 9</t>
  </si>
  <si>
    <t>Elementalist. Sorceror</t>
  </si>
  <si>
    <t>Blessed Light</t>
  </si>
  <si>
    <t>Rank + 8 minutes</t>
  </si>
  <si>
    <t>Summons carnivorous plant</t>
  </si>
  <si>
    <t>+3 to tests for stealthy actions</t>
  </si>
  <si>
    <t>The Fog of Con-Sha</t>
  </si>
  <si>
    <t>Creates dense fog 6 yard radius sphere</t>
  </si>
  <si>
    <t>See the Unseen</t>
  </si>
  <si>
    <t>+8 steps for Perception Tests</t>
  </si>
  <si>
    <t>Sky Lattice</t>
  </si>
  <si>
    <t>Spirit Blade</t>
  </si>
  <si>
    <t>EJ9 40</t>
  </si>
  <si>
    <t>Summons a spirit to wield a sword</t>
  </si>
  <si>
    <t>Smoke Cloud</t>
  </si>
  <si>
    <t>–5 rank penalty to actions</t>
  </si>
  <si>
    <t>Scryshift</t>
  </si>
  <si>
    <t>Willforce rounds</t>
  </si>
  <si>
    <t>Suffocates and blinds target</t>
  </si>
  <si>
    <t>Trust</t>
  </si>
  <si>
    <t>Uneven Ground</t>
  </si>
  <si>
    <t>11/18</t>
  </si>
  <si>
    <t>Penalty to enemy character actions</t>
  </si>
  <si>
    <t>Wizard's Cloak</t>
  </si>
  <si>
    <t>AMB 46</t>
  </si>
  <si>
    <t>Eagles Tear the Flesh</t>
  </si>
  <si>
    <t>AMB 32</t>
  </si>
  <si>
    <t>Balloons of Mist</t>
  </si>
  <si>
    <t>Awaken</t>
  </si>
  <si>
    <t>Animate Spirit Object</t>
  </si>
  <si>
    <t>10/19</t>
  </si>
  <si>
    <t>Counterspell</t>
  </si>
  <si>
    <t>Hypnotizes a single animal</t>
  </si>
  <si>
    <t>Water Wings</t>
  </si>
  <si>
    <t>Waterproofs windling wings</t>
  </si>
  <si>
    <t>Thrive</t>
  </si>
  <si>
    <t>AMB 9</t>
  </si>
  <si>
    <t>1 yard</t>
  </si>
  <si>
    <t>ED 180</t>
  </si>
  <si>
    <t>MMMS 133</t>
  </si>
  <si>
    <t>Bond of Silence</t>
  </si>
  <si>
    <t>Astral Horror</t>
  </si>
  <si>
    <t>9/19</t>
  </si>
  <si>
    <t>Giant Size</t>
  </si>
  <si>
    <t>+5 steps to Strength and Toughness</t>
  </si>
  <si>
    <t>Puts rank characters asleep</t>
  </si>
  <si>
    <t>Friendly Darkness</t>
  </si>
  <si>
    <t>+4 steps to rank characters</t>
  </si>
  <si>
    <t>Living Wall</t>
  </si>
  <si>
    <t>Illusory Missiles</t>
  </si>
  <si>
    <t>12/15</t>
  </si>
  <si>
    <t>Loan Spell</t>
  </si>
  <si>
    <t>Loans spell</t>
  </si>
  <si>
    <t>Spellstore</t>
  </si>
  <si>
    <t>Personal Fireball</t>
  </si>
  <si>
    <t>BOT4 18</t>
  </si>
  <si>
    <t>Memory Scribe</t>
  </si>
  <si>
    <t>14/17</t>
  </si>
  <si>
    <t>Peace Bond</t>
  </si>
  <si>
    <t>Teacup Finds New Friends</t>
  </si>
  <si>
    <t>Rank + 5 hours</t>
  </si>
  <si>
    <t>8 + Rank hours</t>
  </si>
  <si>
    <t>Feng Builds a Maze</t>
  </si>
  <si>
    <t>Creates a maze of mirrors</t>
  </si>
  <si>
    <t>Alter Life</t>
  </si>
  <si>
    <t>MMMS 131</t>
  </si>
  <si>
    <t>Alters a life form's pattern</t>
  </si>
  <si>
    <t>Block Magic</t>
  </si>
  <si>
    <t>16/19</t>
  </si>
  <si>
    <t>Silver Shadow</t>
  </si>
  <si>
    <t>Leaping Lizards</t>
  </si>
  <si>
    <t>9/21</t>
  </si>
  <si>
    <t>150 yards</t>
  </si>
  <si>
    <t>Spell Snatcher</t>
  </si>
  <si>
    <t>1 round (see text)</t>
  </si>
  <si>
    <t>Translator Spirit</t>
  </si>
  <si>
    <t>Soul Armor</t>
  </si>
  <si>
    <t>AMB 26</t>
  </si>
  <si>
    <t>Makes the target loquacious or silent at the mage's choice</t>
  </si>
  <si>
    <t>Giu Shapes the Clay</t>
  </si>
  <si>
    <t>Turns caster into a falcon</t>
  </si>
  <si>
    <t>Circle of Well Being</t>
  </si>
  <si>
    <t xml:space="preserve">Willforce </t>
  </si>
  <si>
    <t>Blood Servitor</t>
  </si>
  <si>
    <t>AMB 31</t>
  </si>
  <si>
    <t>Creates blood servitor</t>
  </si>
  <si>
    <t>Dragon's Tongue Licks Palm</t>
  </si>
  <si>
    <t>13/25</t>
  </si>
  <si>
    <t>Willforce+ 7</t>
  </si>
  <si>
    <t>Fire Whip</t>
  </si>
  <si>
    <t>3 yards</t>
  </si>
  <si>
    <t>Ironwood</t>
  </si>
  <si>
    <t>Transforms wood</t>
  </si>
  <si>
    <t>Mage Armor</t>
  </si>
  <si>
    <t>12/16</t>
  </si>
  <si>
    <t>Emperor Eats Rotten Shellfish</t>
  </si>
  <si>
    <t>Cathay PL 107</t>
  </si>
  <si>
    <t>80 yards</t>
  </si>
  <si>
    <t>Target becomes harried</t>
  </si>
  <si>
    <t>Death’s Head</t>
  </si>
  <si>
    <t>Fuel Flame</t>
  </si>
  <si>
    <t>Calm</t>
  </si>
  <si>
    <t>10/18</t>
  </si>
  <si>
    <t>Calms the target</t>
  </si>
  <si>
    <t>False Aura</t>
  </si>
  <si>
    <t>AMB 44</t>
  </si>
  <si>
    <t>Levitate</t>
  </si>
  <si>
    <t>ED 186</t>
  </si>
  <si>
    <t>8/18</t>
  </si>
  <si>
    <t>5 + Wizard’s Rank minutes</t>
  </si>
  <si>
    <t>Levitate up to 2,000 pounds</t>
  </si>
  <si>
    <t>–2 step penalty to target's actions</t>
  </si>
  <si>
    <t>Infant Opens and Closes Its Eyes</t>
  </si>
  <si>
    <t>Imbues plant or animal with intelligence and speaking</t>
  </si>
  <si>
    <t>Lightning Shield</t>
  </si>
  <si>
    <t>Great Weapon</t>
  </si>
  <si>
    <t>Pass Ward</t>
  </si>
  <si>
    <t>5 (6,7)</t>
  </si>
  <si>
    <t>13/21</t>
  </si>
  <si>
    <t>–2 step penalty to Attack Tests</t>
  </si>
  <si>
    <t>Icy Fingers</t>
  </si>
  <si>
    <t>Reduces fire damage</t>
  </si>
  <si>
    <t>Liquid Arrow</t>
  </si>
  <si>
    <t>AMB 10</t>
  </si>
  <si>
    <t>Lightning Step</t>
  </si>
  <si>
    <t>Hunger</t>
  </si>
  <si>
    <t>Healing Sleep</t>
  </si>
  <si>
    <t>8 hours</t>
  </si>
  <si>
    <t>Doubles Recovery Tests and adds 4 steps</t>
  </si>
  <si>
    <t>Old Man Wears Shoe on Hand</t>
  </si>
  <si>
    <t>9/18</t>
  </si>
  <si>
    <t>Friend or Foe</t>
  </si>
  <si>
    <t>Identify Magic</t>
  </si>
  <si>
    <t>Princess Dreams of Lotus Flowers</t>
  </si>
  <si>
    <t>Cathay PL 112</t>
  </si>
  <si>
    <t>+4 steps to stealth and related abilities</t>
  </si>
  <si>
    <t>Slow</t>
  </si>
  <si>
    <t>Movement halved, –5 steps to Dexterity Tests</t>
  </si>
  <si>
    <t>Shattering Stone</t>
  </si>
  <si>
    <t>Sense Horror</t>
  </si>
  <si>
    <t>AMB 33</t>
  </si>
  <si>
    <t>Noble Manner</t>
  </si>
  <si>
    <t>+5 steps to Charisma Tests</t>
  </si>
  <si>
    <t>Solo Flight</t>
  </si>
  <si>
    <t>Improved Alarm</t>
  </si>
  <si>
    <t>8/19</t>
  </si>
  <si>
    <t>15 + Rank minutes</t>
  </si>
  <si>
    <t>Walk Through</t>
  </si>
  <si>
    <t>Forces target to flee</t>
  </si>
  <si>
    <t>Liquid Eyes</t>
  </si>
  <si>
    <t>Observe Event</t>
  </si>
  <si>
    <t>Spider Spins Its Web</t>
  </si>
  <si>
    <t>Warps Astral Space -6 to spellcasting</t>
  </si>
  <si>
    <t>C 76</t>
  </si>
  <si>
    <t>Moon Shadow</t>
  </si>
  <si>
    <t>16/22</t>
  </si>
  <si>
    <t>1 month</t>
  </si>
  <si>
    <t>Revulsion</t>
  </si>
  <si>
    <t>Restrain Entity</t>
  </si>
  <si>
    <t>14/20</t>
  </si>
  <si>
    <t>Move On Through</t>
  </si>
  <si>
    <t>NA/17</t>
  </si>
  <si>
    <t>+ 4 steps to Attack and Damage Tests</t>
  </si>
  <si>
    <t>Flame Darts</t>
  </si>
  <si>
    <t>Vertigo</t>
  </si>
  <si>
    <t>Multi-Missile</t>
  </si>
  <si>
    <t>Rank rounds (1 missile)</t>
  </si>
  <si>
    <t>+4 missiles</t>
  </si>
  <si>
    <t>Spirit Servant</t>
  </si>
  <si>
    <t>8/20</t>
  </si>
  <si>
    <t>3 + Rank days</t>
  </si>
  <si>
    <t>Summons spirit servant</t>
  </si>
  <si>
    <t>Prevents the subject from decaying or spoiling</t>
  </si>
  <si>
    <t>Rust</t>
  </si>
  <si>
    <t>–5 steps</t>
  </si>
  <si>
    <t>Mind Fog</t>
  </si>
  <si>
    <t>8/15</t>
  </si>
  <si>
    <t>Preserve Food</t>
  </si>
  <si>
    <t>MMMS 127</t>
  </si>
  <si>
    <t>7/18</t>
  </si>
  <si>
    <t>Prevents food from spoiling</t>
  </si>
  <si>
    <t>Mind Blast</t>
  </si>
  <si>
    <t>Karmic Connection</t>
  </si>
  <si>
    <t>Willforce + 10</t>
  </si>
  <si>
    <t>Relax</t>
  </si>
  <si>
    <t>Shosa Feeds His Plants</t>
  </si>
  <si>
    <t>6 yards</t>
  </si>
  <si>
    <t>Path Home</t>
  </si>
  <si>
    <t>20 + Rank minutes</t>
  </si>
  <si>
    <t>Shows a path home</t>
  </si>
  <si>
    <t>Ice Spear</t>
  </si>
  <si>
    <t>Zhong Smacks the Hand</t>
  </si>
  <si>
    <t>Cathay PL 117</t>
  </si>
  <si>
    <t>Wizard Ties a Knot</t>
  </si>
  <si>
    <t>Target is -2 on all threadweaving tests</t>
  </si>
  <si>
    <t>Remove Shadow</t>
  </si>
  <si>
    <t>Removes the subject's shadow and reflection</t>
  </si>
  <si>
    <t>Icy Surface</t>
  </si>
  <si>
    <t>PTW 102</t>
  </si>
  <si>
    <t>15 Yards</t>
  </si>
  <si>
    <t>10 + Rank Minutes</t>
  </si>
  <si>
    <t>Spirit Double</t>
  </si>
  <si>
    <t>11/19</t>
  </si>
  <si>
    <t>Creates spirit double of nethermancer</t>
  </si>
  <si>
    <t>Seeking Sight</t>
  </si>
  <si>
    <t>Weapon Back</t>
  </si>
  <si>
    <t>5/16</t>
  </si>
  <si>
    <t>Astral Whisper</t>
  </si>
  <si>
    <t>Snuff</t>
  </si>
  <si>
    <t>Instant</t>
  </si>
  <si>
    <t>Summon Bone Ghost</t>
  </si>
  <si>
    <t>Summons a bone spirit</t>
  </si>
  <si>
    <t>Sunlight</t>
  </si>
  <si>
    <t>Creates bright light</t>
  </si>
  <si>
    <t>Soothe the Savage Beast</t>
  </si>
  <si>
    <t>+6 to Shatter Threshold, +1 to Armor/Mystic Armor Ratings</t>
  </si>
  <si>
    <t>Tailor</t>
  </si>
  <si>
    <t>ED 169</t>
  </si>
  <si>
    <t>Rank x 10 minutes</t>
  </si>
  <si>
    <t>Slow Metal Weapon</t>
  </si>
  <si>
    <t>9/13</t>
  </si>
  <si>
    <t>Accelerates plant growth</t>
  </si>
  <si>
    <t>Sparrow Sings to the Sky</t>
  </si>
  <si>
    <t>Rank + 7 minutes</t>
  </si>
  <si>
    <t>Dragon Walks on Air</t>
  </si>
  <si>
    <t>12/23</t>
  </si>
  <si>
    <t>Summons a bridge of smoke</t>
  </si>
  <si>
    <t>Clothing Gone</t>
  </si>
  <si>
    <t>11/21</t>
  </si>
  <si>
    <t>5 rounds</t>
  </si>
  <si>
    <t>–4 step penalty to all actions</t>
  </si>
  <si>
    <t>Astral Mount</t>
  </si>
  <si>
    <t>2 or 4</t>
  </si>
  <si>
    <t>11/17</t>
  </si>
  <si>
    <t>Heat Metal</t>
  </si>
  <si>
    <t>Flying Carpet</t>
  </si>
  <si>
    <t>Earth Staff</t>
  </si>
  <si>
    <t>Ping Switches the Treasures</t>
  </si>
  <si>
    <t>13/24</t>
  </si>
  <si>
    <t>Ricochet Attack</t>
  </si>
  <si>
    <t>Transforms target into non-magical object</t>
  </si>
  <si>
    <t>Restrain Horror</t>
  </si>
  <si>
    <t>13/19</t>
  </si>
  <si>
    <t>Illusory Spell</t>
  </si>
  <si>
    <t>14+/24 (see text)</t>
  </si>
  <si>
    <t>Safe Opening</t>
  </si>
  <si>
    <t>Waterspout</t>
  </si>
  <si>
    <t>Shadow Tether</t>
  </si>
  <si>
    <t>Willforce + 15</t>
  </si>
  <si>
    <t>Stone Rain</t>
  </si>
  <si>
    <t>15/22</t>
  </si>
  <si>
    <t>Spotlight</t>
  </si>
  <si>
    <t>Multi-Mind Dagger</t>
  </si>
  <si>
    <t>9/22</t>
  </si>
  <si>
    <t>Tossing Earth</t>
  </si>
  <si>
    <t>Willforce + 1</t>
  </si>
  <si>
    <t>Stench</t>
  </si>
  <si>
    <t>Binding Threads</t>
  </si>
  <si>
    <t>2 + Rank minutes</t>
  </si>
  <si>
    <t>Dragon Brings Pain</t>
  </si>
  <si>
    <t>70 yards</t>
  </si>
  <si>
    <t>Summons rain cloud Rank yards across</t>
  </si>
  <si>
    <t>Falcon's Cloak</t>
  </si>
  <si>
    <t>Dragon Returns to His Lair</t>
  </si>
  <si>
    <t>Dispels tranformative sorcery spells Willforce + 5</t>
  </si>
  <si>
    <t>2 or higher (see text)</t>
  </si>
  <si>
    <t>Fingers of Wind</t>
  </si>
  <si>
    <t>Death Trance</t>
  </si>
  <si>
    <t>AMB 30</t>
  </si>
  <si>
    <t>Clarion Call</t>
  </si>
  <si>
    <t>Dark Spy</t>
  </si>
  <si>
    <t>Caster can see through a nightflyer's eyes</t>
  </si>
  <si>
    <t>Cricket Spies for the Moon</t>
  </si>
  <si>
    <t>1 mile</t>
  </si>
  <si>
    <t>Summons cricket spy</t>
  </si>
  <si>
    <t>7 + Rank rounds</t>
  </si>
  <si>
    <t>+3 to Spell Defense</t>
  </si>
  <si>
    <t>Air Mattress</t>
  </si>
  <si>
    <t>7/17</t>
  </si>
  <si>
    <t>10 hours</t>
  </si>
  <si>
    <t>Creates air cushion</t>
  </si>
  <si>
    <t>Blindness</t>
  </si>
  <si>
    <t>8/14</t>
  </si>
  <si>
    <t>Bone Circle</t>
  </si>
  <si>
    <t>ED 176</t>
  </si>
  <si>
    <t>6/17</t>
  </si>
  <si>
    <t xml:space="preserve">3 + Rank months </t>
  </si>
  <si>
    <t>And His Money</t>
  </si>
  <si>
    <t>7/16</t>
  </si>
  <si>
    <t>3 + Rank in minutes</t>
  </si>
  <si>
    <t>–4 to target's Social Defense</t>
  </si>
  <si>
    <t>Fog of Fear</t>
  </si>
  <si>
    <t>6 + Rank rounds</t>
  </si>
  <si>
    <t>Grounding</t>
  </si>
  <si>
    <t>4/12</t>
  </si>
  <si>
    <t>+12 to armor against electrical attacks, anchors elementalist</t>
  </si>
  <si>
    <t>Dampen Karma</t>
  </si>
  <si>
    <t>2 + Rank rounds</t>
  </si>
  <si>
    <t>Grant Astral Sight</t>
  </si>
  <si>
    <t>EJ9 43</t>
  </si>
  <si>
    <t>Monk Slaps the Water</t>
  </si>
  <si>
    <t>Cathay PL 110</t>
  </si>
  <si>
    <t>Attacks fragile objects Willforce + 6</t>
  </si>
  <si>
    <t>Ice Mace and Chain</t>
  </si>
  <si>
    <t>2 rounds</t>
  </si>
  <si>
    <t>Empties target's mind Willforce + 6</t>
  </si>
  <si>
    <t>Lightning Bolt</t>
  </si>
  <si>
    <t>AMB 8</t>
  </si>
  <si>
    <t>Grave Message</t>
  </si>
  <si>
    <t>ED 178</t>
  </si>
  <si>
    <t>7/19</t>
  </si>
  <si>
    <t>100 miles</t>
  </si>
  <si>
    <t>NA/8</t>
  </si>
  <si>
    <t>36 yards</t>
  </si>
  <si>
    <t>Rank + 1 minutes</t>
  </si>
  <si>
    <t>Enchants container of liquid or small body of water; anyone who drinks falls asleep Willpower + 3</t>
  </si>
  <si>
    <t>6 (see Astral Sense spell, p. 183, ED)</t>
  </si>
  <si>
    <t>Rank days</t>
  </si>
  <si>
    <t>Last Chance</t>
  </si>
  <si>
    <t>+8 steps to Recovery Test</t>
  </si>
  <si>
    <t>Inventory</t>
  </si>
  <si>
    <t>The Grip of Chi</t>
  </si>
  <si>
    <t>NA/13</t>
  </si>
  <si>
    <t>Holds target immobile</t>
  </si>
  <si>
    <t>ED 173</t>
  </si>
  <si>
    <t>Creates temporary pathway</t>
  </si>
  <si>
    <t>Flameboat</t>
  </si>
  <si>
    <t>RBL-503 12</t>
  </si>
  <si>
    <t>14/24</t>
  </si>
  <si>
    <t>1 day</t>
  </si>
  <si>
    <t>Creates a drakkar of flame</t>
  </si>
  <si>
    <t>Twisted Tongues</t>
  </si>
  <si>
    <t>Jumbles speech</t>
  </si>
  <si>
    <t>Yen Meets His Yang</t>
  </si>
  <si>
    <t>Flings two targets together Willforce + 7 and sticks them together</t>
  </si>
  <si>
    <t>Spiritual Guidance</t>
  </si>
  <si>
    <t>AMB 34</t>
  </si>
  <si>
    <t>30 minutes</t>
  </si>
  <si>
    <t>Summons spirit guide</t>
  </si>
  <si>
    <t>Target’s Willforce + 7</t>
  </si>
  <si>
    <t>Repair</t>
  </si>
  <si>
    <t>3 + Rank months</t>
  </si>
  <si>
    <t>Lizong Lights up the Sky</t>
  </si>
  <si>
    <t>Cathay PL 109</t>
  </si>
  <si>
    <t>Fireworks display Willforce + 3</t>
  </si>
  <si>
    <t>Preserve</t>
  </si>
  <si>
    <t>Changes appearance of the target</t>
  </si>
  <si>
    <t>Monstrous Mantle</t>
  </si>
  <si>
    <t>8/13</t>
  </si>
  <si>
    <t>Willforce Test + 5 rounds</t>
  </si>
  <si>
    <t>Increases combat prowess</t>
  </si>
  <si>
    <t>Ja's Hunting Blowgun</t>
  </si>
  <si>
    <t>EJ7 31</t>
  </si>
  <si>
    <t>50 Yards</t>
  </si>
  <si>
    <t>Shatter Lock</t>
  </si>
  <si>
    <t>Quicken Pace</t>
  </si>
  <si>
    <t>10/13</t>
  </si>
  <si>
    <t>4 + Rank hours</t>
  </si>
  <si>
    <t>Nobody Here</t>
  </si>
  <si>
    <t>ED 170</t>
  </si>
  <si>
    <t>Shadow Meld</t>
  </si>
  <si>
    <t>Notice Not</t>
  </si>
  <si>
    <t>Sets alarm to go off at specified time</t>
  </si>
  <si>
    <t>Fun With Doors</t>
  </si>
  <si>
    <t>1 + Rank minutes</t>
  </si>
  <si>
    <t>Creates/alters illusions involving doors</t>
  </si>
  <si>
    <t>Gadfly</t>
  </si>
  <si>
    <t>–3 steps to target's actions</t>
  </si>
  <si>
    <t>Ignite</t>
  </si>
  <si>
    <t>NA/11</t>
  </si>
  <si>
    <t>5 yards</t>
  </si>
  <si>
    <t>Ignites flammable objects</t>
  </si>
  <si>
    <t>Plant Talk</t>
  </si>
  <si>
    <t>ED159</t>
  </si>
  <si>
    <t>Converse with plant spirits</t>
  </si>
  <si>
    <t xml:space="preserve">None </t>
  </si>
  <si>
    <t>Creates a slippery, icy surface</t>
  </si>
  <si>
    <t>Write Afar</t>
  </si>
  <si>
    <t>Rank X10 yards</t>
  </si>
  <si>
    <t>Increases target's karma step by 3</t>
  </si>
  <si>
    <t>Send Message</t>
  </si>
  <si>
    <t>Par Ad 57</t>
  </si>
  <si>
    <t>Sight</t>
  </si>
  <si>
    <t>+3 steps to missile weapon attacks</t>
  </si>
  <si>
    <t>8 yards</t>
  </si>
  <si>
    <t>Willforce + 3</t>
  </si>
  <si>
    <t>Putrefy</t>
  </si>
  <si>
    <t>8 + Rank rounds</t>
  </si>
  <si>
    <t>–3 steps to damage</t>
  </si>
  <si>
    <t>Tiger Roars at Its Prey</t>
  </si>
  <si>
    <t>Monkey Pretends to be Tiger</t>
  </si>
  <si>
    <t>Cathay PL 111</t>
  </si>
  <si>
    <t>Rank + 2 hours</t>
  </si>
  <si>
    <t>Illusion of approaching monster Willforce + 4</t>
  </si>
  <si>
    <t>Weather Cloak</t>
  </si>
  <si>
    <t>6/9</t>
  </si>
  <si>
    <t>True Ephemeral Bolt</t>
  </si>
  <si>
    <t>Summons motes of light that carry message</t>
  </si>
  <si>
    <t>Wizard Mark</t>
  </si>
  <si>
    <t>Throne of Air</t>
  </si>
  <si>
    <t>Suffocation</t>
  </si>
  <si>
    <t>Winds of Deflection</t>
  </si>
  <si>
    <t>Cathay PL 116</t>
  </si>
  <si>
    <t>Who's the Fairest of Them All?</t>
  </si>
  <si>
    <t>EJ9 39</t>
  </si>
  <si>
    <t>Creates air cushion with healing properties</t>
  </si>
  <si>
    <t>Angry Man Stamps His Feet</t>
  </si>
  <si>
    <t>Animate Skeleton</t>
  </si>
  <si>
    <t>Switches location and appearance of two objects</t>
  </si>
  <si>
    <t>Little Girl Plays with Puppets</t>
  </si>
  <si>
    <t>Mental Library</t>
  </si>
  <si>
    <t>+10 ranks to Book Memory talent</t>
  </si>
  <si>
    <t>Razor Orb</t>
  </si>
  <si>
    <t>12/20</t>
  </si>
  <si>
    <t>Egress and Exit</t>
  </si>
  <si>
    <t>Shows the most direct entrance and exit to a place</t>
  </si>
  <si>
    <t>Blind</t>
  </si>
  <si>
    <t>11/15</t>
  </si>
  <si>
    <t>Jong Captures His Words</t>
  </si>
  <si>
    <t>+5 steps to weapon damage</t>
  </si>
  <si>
    <t>Astral Flare</t>
  </si>
  <si>
    <t>5 or higher (see text)</t>
  </si>
  <si>
    <t>Blinding Glare</t>
  </si>
  <si>
    <t>10/20</t>
  </si>
  <si>
    <t>Dark Messenger</t>
  </si>
  <si>
    <t>Conveys a message</t>
  </si>
  <si>
    <t>Combat Fury</t>
  </si>
  <si>
    <t>9/16</t>
  </si>
  <si>
    <t>+4 steps to Attack and Damage Tests</t>
  </si>
  <si>
    <t>Target’s Willforce + 5</t>
  </si>
  <si>
    <t>Rope Guide</t>
  </si>
  <si>
    <t>Undead Struggle</t>
  </si>
  <si>
    <t>Elementalist, Shaman</t>
  </si>
  <si>
    <t>True Blazing Fists of Rage</t>
  </si>
  <si>
    <t>Elementalist, Shaman, Sorceror</t>
  </si>
  <si>
    <t>3 + Rank hours</t>
  </si>
  <si>
    <t>Makes subject hibernate</t>
  </si>
  <si>
    <t>Crane Glides Loftily</t>
  </si>
  <si>
    <t>+3 to physical defense</t>
  </si>
  <si>
    <t>ED 168</t>
  </si>
  <si>
    <t>15 + Rank rounds</t>
  </si>
  <si>
    <t>Creates up to rank illusory voices</t>
  </si>
  <si>
    <t>Astral Shield</t>
  </si>
  <si>
    <t>ED 185</t>
  </si>
  <si>
    <t>Bedazzling Display of Logical Analysis</t>
  </si>
  <si>
    <t>Self</t>
  </si>
  <si>
    <t>Charisma + 6</t>
  </si>
  <si>
    <t>Rank minutes</t>
  </si>
  <si>
    <t>AMB 43</t>
  </si>
  <si>
    <t>Bellow of the Thundras</t>
  </si>
  <si>
    <t>NA/15</t>
  </si>
  <si>
    <t>Allows the subject's voice to be heard within the spell's range</t>
  </si>
  <si>
    <t>AMB 19</t>
  </si>
  <si>
    <t>Best Face</t>
  </si>
  <si>
    <t>5/14</t>
  </si>
  <si>
    <t>Charisma + 5</t>
  </si>
  <si>
    <t>Spell Defense of targeted door</t>
  </si>
  <si>
    <t>Angry Man Stomps His Feet</t>
  </si>
  <si>
    <t>10 Yards</t>
  </si>
  <si>
    <t>Crafty Thought</t>
  </si>
  <si>
    <t>2 yards</t>
  </si>
  <si>
    <t>MMMS 132</t>
  </si>
  <si>
    <t>Boil Water</t>
  </si>
  <si>
    <t>7/13</t>
  </si>
  <si>
    <t>Boils 1 quart of water</t>
  </si>
  <si>
    <t>–4 to target's Karma dice</t>
  </si>
  <si>
    <t>6/14</t>
  </si>
  <si>
    <t>Rank + 10 minutes</t>
  </si>
  <si>
    <t>Detect enchanted objects/creatures in 30 yard radius Willforce +6</t>
  </si>
  <si>
    <t>Horse Call</t>
  </si>
  <si>
    <t>50 yards</t>
  </si>
  <si>
    <t>Scares mounts</t>
  </si>
  <si>
    <t>Rank + 5 rounds</t>
  </si>
  <si>
    <t>CF 118</t>
  </si>
  <si>
    <t>Ephemeral Bolt</t>
  </si>
  <si>
    <t>Life Circle of One</t>
  </si>
  <si>
    <t>Rope Ladder</t>
  </si>
  <si>
    <t>Create ladder from rope</t>
  </si>
  <si>
    <t>+3 steps to Avoid Blow</t>
  </si>
  <si>
    <t>Dragon's Nose Smells Magic</t>
  </si>
  <si>
    <t>Cathay PL 106</t>
  </si>
  <si>
    <t>Sends message to nethermancer</t>
  </si>
  <si>
    <t>Hide Magic</t>
  </si>
  <si>
    <t>+5 spell def vs astral sight</t>
  </si>
  <si>
    <t>Plant Feast</t>
  </si>
  <si>
    <t>ED 161</t>
  </si>
  <si>
    <t>Target's Spell Defense (usually 2)</t>
  </si>
  <si>
    <t>Illusionist, Shaman</t>
  </si>
  <si>
    <t>Pain</t>
  </si>
  <si>
    <t>Grants power of flight</t>
  </si>
  <si>
    <t>Wither Limb</t>
  </si>
  <si>
    <t>Shadow Hunter</t>
  </si>
  <si>
    <t>Summons shadow hunter</t>
  </si>
  <si>
    <t>Stone Cage</t>
  </si>
  <si>
    <t>Phantom Fireball</t>
  </si>
  <si>
    <t>AMB 25</t>
  </si>
  <si>
    <t>Study Thread</t>
  </si>
  <si>
    <t>AMB 47</t>
  </si>
  <si>
    <t>The Hand of Chi</t>
  </si>
  <si>
    <t>48 yards</t>
  </si>
  <si>
    <t>Telekinetically hurls targets Willforce + 6</t>
  </si>
  <si>
    <t>Root Trap</t>
  </si>
  <si>
    <t>AMB 11</t>
  </si>
  <si>
    <t>=+D6 to Sensing Difficulty</t>
  </si>
  <si>
    <t>Leaps and Bounds</t>
  </si>
  <si>
    <t>Allows breathing underwater</t>
  </si>
  <si>
    <t>Innocent Activity</t>
  </si>
  <si>
    <t>Covers up true activity</t>
  </si>
  <si>
    <t>Repel Animal</t>
  </si>
  <si>
    <t>1 + Rank hours</t>
  </si>
  <si>
    <t>Vines</t>
  </si>
  <si>
    <t>The Thousand Faces of Cheung</t>
  </si>
  <si>
    <t>Cathay PL 115</t>
  </si>
  <si>
    <t>Rank + 1 hours</t>
  </si>
  <si>
    <t>7/8</t>
  </si>
  <si>
    <t>15 yards</t>
  </si>
  <si>
    <t>Divine Aura</t>
  </si>
  <si>
    <t>ED 184</t>
  </si>
  <si>
    <t>Heat Food</t>
  </si>
  <si>
    <t>ED 159</t>
  </si>
  <si>
    <t>5/7</t>
  </si>
  <si>
    <t>Heat rejuvenating food</t>
  </si>
  <si>
    <t>Displace Image</t>
  </si>
  <si>
    <t>7 + Rank in rounds</t>
  </si>
  <si>
    <t>Shield Mist</t>
  </si>
  <si>
    <t>Wake-Up Call</t>
  </si>
  <si>
    <t>Up to 24 hours</t>
  </si>
  <si>
    <t>Experience Death</t>
  </si>
  <si>
    <t>Flame Flash</t>
  </si>
  <si>
    <t>Blinds the target</t>
  </si>
  <si>
    <t>Target weapon’s Spell Defense</t>
  </si>
  <si>
    <t>Moon Glow</t>
  </si>
  <si>
    <t>5 + Rank months</t>
  </si>
  <si>
    <t>Creates light</t>
  </si>
  <si>
    <t>Temper Self</t>
  </si>
  <si>
    <t>Temperature</t>
  </si>
  <si>
    <t>Thought Link</t>
  </si>
  <si>
    <t>Thoughtful Expression</t>
  </si>
  <si>
    <t>Thread Weaving</t>
  </si>
  <si>
    <t>ED 119</t>
  </si>
  <si>
    <t>Thunder Axe</t>
  </si>
  <si>
    <t>EDC 41</t>
  </si>
  <si>
    <t>Tiger Spring</t>
  </si>
  <si>
    <t>Touch of the Phoenix</t>
  </si>
  <si>
    <t>Trace Missile</t>
  </si>
  <si>
    <t>Ignore the Call of Nature</t>
  </si>
  <si>
    <t>EJ9 38</t>
  </si>
  <si>
    <t>9/17</t>
  </si>
  <si>
    <t>Rank hours</t>
  </si>
  <si>
    <t>Ignore bodily functions</t>
  </si>
  <si>
    <t>Insect Repellent</t>
  </si>
  <si>
    <t>6/7</t>
  </si>
  <si>
    <t>Iron Hand</t>
  </si>
  <si>
    <t>Passes a paper message to target</t>
  </si>
  <si>
    <t>2 (see text)</t>
  </si>
  <si>
    <t>Illusionist, Shaman, Sorceror</t>
  </si>
  <si>
    <t>Small Slayer</t>
  </si>
  <si>
    <t>Summons a poisonous creature</t>
  </si>
  <si>
    <t>Shield Willow</t>
  </si>
  <si>
    <t>Behind Eye</t>
  </si>
  <si>
    <t>6/16</t>
  </si>
  <si>
    <t>30 + Rank minutes</t>
  </si>
  <si>
    <t>Step 4 Perception to rear</t>
  </si>
  <si>
    <t>AMB 21</t>
  </si>
  <si>
    <t>10/15</t>
  </si>
  <si>
    <t>Shanjo Writes with Air</t>
  </si>
  <si>
    <t>Cathay PL 113</t>
  </si>
  <si>
    <t>Rank + 3 hours</t>
  </si>
  <si>
    <t>Causes writing to disappear</t>
  </si>
  <si>
    <t>Wizard Spells</t>
  </si>
  <si>
    <t>Sorceror Spells</t>
  </si>
  <si>
    <t>Weaving</t>
  </si>
  <si>
    <t>Stick Together</t>
  </si>
  <si>
    <t>You Got Me</t>
  </si>
  <si>
    <t>+6 steps to Charisma</t>
  </si>
  <si>
    <t>1 hour</t>
  </si>
  <si>
    <t>Arrow of Night</t>
  </si>
  <si>
    <t>+8 steps to Damage Test</t>
  </si>
  <si>
    <t>Alarm</t>
  </si>
  <si>
    <t>8/17</t>
  </si>
  <si>
    <t>Animates skeletons</t>
  </si>
  <si>
    <t>Air Blast</t>
  </si>
  <si>
    <t>ED 162</t>
  </si>
  <si>
    <t>10/16</t>
  </si>
  <si>
    <t>Willforce + 9</t>
  </si>
  <si>
    <t>Aura</t>
  </si>
  <si>
    <t>AMB 22</t>
  </si>
  <si>
    <t>Ball of String</t>
  </si>
  <si>
    <t>ED 163</t>
  </si>
  <si>
    <t xml:space="preserve">Strength + 10 </t>
  </si>
  <si>
    <t>Invigorate</t>
  </si>
  <si>
    <t>+5 steps to Recovery Tests</t>
  </si>
  <si>
    <t>Eye of Truth</t>
  </si>
  <si>
    <t>AMB 24</t>
  </si>
  <si>
    <t>+10 steps to Perception Tests</t>
  </si>
  <si>
    <t>Fireball</t>
  </si>
  <si>
    <t>+2 step bonus to target's Swimming Tests</t>
  </si>
  <si>
    <t>Blizzard Sphere</t>
  </si>
  <si>
    <t>10/17</t>
  </si>
  <si>
    <t>Bleeding Edge</t>
  </si>
  <si>
    <t>+6 steps to Climbing and Balance Tests</t>
  </si>
  <si>
    <t>Astral Strike</t>
  </si>
  <si>
    <t>500 yards</t>
  </si>
  <si>
    <t>See text</t>
  </si>
  <si>
    <t>Sun Shrinks the Petal</t>
  </si>
  <si>
    <t>Cathay PL 114</t>
  </si>
  <si>
    <t>Reduces object to half normal size</t>
  </si>
  <si>
    <t>Pitch Bender</t>
  </si>
  <si>
    <t>1 Hour</t>
  </si>
  <si>
    <t>Spirit Grip</t>
  </si>
  <si>
    <t>Wall Walker</t>
  </si>
  <si>
    <t>10 + Rank in rounds</t>
  </si>
  <si>
    <t>5/15</t>
  </si>
  <si>
    <t>60 yards</t>
  </si>
  <si>
    <t>Purge Pattern</t>
  </si>
  <si>
    <t>Purify Trait</t>
  </si>
  <si>
    <t>MOL1 21</t>
  </si>
  <si>
    <t>Elves only</t>
  </si>
  <si>
    <t>Quick Shot</t>
  </si>
  <si>
    <t>Raise Ship</t>
  </si>
  <si>
    <t>EDC2 37</t>
  </si>
  <si>
    <t>Rally</t>
  </si>
  <si>
    <t>EDC2 35</t>
  </si>
  <si>
    <t>Range Pattern</t>
  </si>
  <si>
    <t>Unseen Voices</t>
  </si>
  <si>
    <t>Willforce + 6</t>
  </si>
  <si>
    <t>6 (see text)</t>
  </si>
  <si>
    <t>10 + Rank minutes</t>
  </si>
  <si>
    <t>ED 183</t>
  </si>
  <si>
    <t>Shaman, Sorceror, Wizard</t>
  </si>
  <si>
    <t>Astral Spear</t>
  </si>
  <si>
    <t>6/12</t>
  </si>
  <si>
    <t>120 yards</t>
  </si>
  <si>
    <t>1 round</t>
  </si>
  <si>
    <t>AMB 29</t>
  </si>
  <si>
    <t>Reshape Object</t>
  </si>
  <si>
    <t>Elementalist, Sorceror</t>
  </si>
  <si>
    <t>Resist Pain</t>
  </si>
  <si>
    <t>TE 170</t>
  </si>
  <si>
    <t>Scholars, Maracan Troubadours and Wizards only</t>
  </si>
  <si>
    <t>8 + Rank minutes</t>
  </si>
  <si>
    <t>Blazing Fists of Rage</t>
  </si>
  <si>
    <t>NA/16</t>
  </si>
  <si>
    <t>Willforce + 5</t>
  </si>
  <si>
    <t>4 + Rank rounds</t>
  </si>
  <si>
    <t>Blessing of the Giant</t>
  </si>
  <si>
    <t>7/15</t>
  </si>
  <si>
    <t>Billowing Cloak</t>
  </si>
  <si>
    <t>Disaster</t>
  </si>
  <si>
    <t>AMB 20</t>
  </si>
  <si>
    <t>5 + Rank rounds</t>
  </si>
  <si>
    <t>Ethereal Darkness</t>
  </si>
  <si>
    <t>Willpower + D10 rounds</t>
  </si>
  <si>
    <t>Darkness, Spell Defense 12</t>
  </si>
  <si>
    <t>Clean</t>
  </si>
  <si>
    <t>1 minute</t>
  </si>
  <si>
    <t>3 + Rank rounds</t>
  </si>
  <si>
    <t>Encrypt</t>
  </si>
  <si>
    <t>Fog Ghost</t>
  </si>
  <si>
    <t>Summons fog ghost</t>
  </si>
  <si>
    <t>Dodge Boost</t>
  </si>
  <si>
    <t>ED185</t>
  </si>
  <si>
    <t>3 + Rank minutes</t>
  </si>
  <si>
    <t>Crunch Climb</t>
  </si>
  <si>
    <t>ED 158</t>
  </si>
  <si>
    <t>Karma Cancel</t>
  </si>
  <si>
    <t>Kip</t>
  </si>
  <si>
    <t>Arcane Curses</t>
  </si>
  <si>
    <t>Target of arcane mutterings believes he is cursed and -2 steps on all actions</t>
  </si>
  <si>
    <t>Knockout</t>
  </si>
  <si>
    <t>Cathay PL 88</t>
  </si>
  <si>
    <t>Penetrating Stare</t>
  </si>
  <si>
    <t>Step 4 damage, immobilization</t>
  </si>
  <si>
    <t>False Floor</t>
  </si>
  <si>
    <t>Pack Bags</t>
  </si>
  <si>
    <t>7/11</t>
  </si>
  <si>
    <t>Willforce – 1</t>
  </si>
  <si>
    <t>Identify Spell</t>
  </si>
  <si>
    <t>NA/12</t>
  </si>
  <si>
    <t>Puddle Deep</t>
  </si>
  <si>
    <t>Phantom Warrior</t>
  </si>
  <si>
    <t>Pocket Guardian</t>
  </si>
  <si>
    <t>ED 177</t>
  </si>
  <si>
    <t>Summons pocket guardian</t>
  </si>
  <si>
    <t>Seal</t>
  </si>
  <si>
    <t>Sterilize Object</t>
  </si>
  <si>
    <t>Blinds target</t>
  </si>
  <si>
    <t>Target's Spell Defense (see text)</t>
  </si>
  <si>
    <t>Lodestone's Touch</t>
  </si>
  <si>
    <t>13/17</t>
  </si>
  <si>
    <t>Memory Blank</t>
  </si>
  <si>
    <t>AMB 23</t>
  </si>
  <si>
    <t>Nightflyer's Cloak</t>
  </si>
  <si>
    <t>Transforms the caster</t>
  </si>
  <si>
    <t>Juggler's Touch</t>
  </si>
  <si>
    <t>;7/15</t>
  </si>
  <si>
    <t>Creates 3 images of target</t>
  </si>
  <si>
    <t>Porter</t>
  </si>
  <si>
    <t>9/15</t>
  </si>
  <si>
    <t>Impossible Lock</t>
  </si>
  <si>
    <t>ED 160</t>
  </si>
  <si>
    <t>Allows the subject to ignore bodily needs</t>
  </si>
  <si>
    <t>Gills</t>
  </si>
  <si>
    <t>4/13</t>
  </si>
  <si>
    <t>6/13</t>
  </si>
  <si>
    <t>Flameweapon</t>
  </si>
  <si>
    <t>10 + Rank rounds</t>
  </si>
  <si>
    <t>+1D4 to weapon’s Damage step</t>
  </si>
  <si>
    <t>Disguise Metal</t>
  </si>
  <si>
    <t>7/14</t>
  </si>
  <si>
    <t>Willforce Test + 7 minutes</t>
  </si>
  <si>
    <t>Changes appearance of metal</t>
  </si>
  <si>
    <t>Dry and Wet</t>
  </si>
  <si>
    <t>Sow Confusion</t>
  </si>
  <si>
    <t>On successful arcane mutterings test against opponent within 10 yards, target cannot attack that round</t>
  </si>
  <si>
    <t>EDC 45</t>
  </si>
  <si>
    <t>Hold Multiple Threads</t>
  </si>
  <si>
    <t>Tread Wind</t>
  </si>
  <si>
    <t>EDC2 42</t>
  </si>
  <si>
    <t>Projects image 3 yards away</t>
  </si>
  <si>
    <t>Swing Attack</t>
  </si>
  <si>
    <t>AW 112</t>
  </si>
  <si>
    <t>Tale of the Elements</t>
  </si>
  <si>
    <t>Task Kin</t>
  </si>
  <si>
    <t>Cathay PL 92</t>
  </si>
  <si>
    <t>Telepathy</t>
  </si>
  <si>
    <t>Temper Other</t>
  </si>
  <si>
    <t>True Sight</t>
  </si>
  <si>
    <t>ED 120</t>
  </si>
  <si>
    <t>Truth Skit</t>
  </si>
  <si>
    <t>+3 steps to Melee Weapons damage</t>
  </si>
  <si>
    <t>Light</t>
  </si>
  <si>
    <t>Willpower Test + 5 minutes</t>
  </si>
  <si>
    <t>Summons light</t>
  </si>
  <si>
    <t>Purify Earth</t>
  </si>
  <si>
    <t>Purifies earth and soil</t>
  </si>
  <si>
    <t>Ja's Blowgun</t>
  </si>
  <si>
    <t>Cathay PL 108</t>
  </si>
  <si>
    <t>NA/9</t>
  </si>
  <si>
    <t>Karma Boost</t>
  </si>
  <si>
    <t>Rank rounds</t>
  </si>
  <si>
    <t>Adds 3 to target's karma step</t>
  </si>
  <si>
    <t>Void</t>
  </si>
  <si>
    <t>EDC2 43</t>
  </si>
  <si>
    <t>Changes appearance of the caster</t>
  </si>
  <si>
    <t>Purify Water</t>
  </si>
  <si>
    <t>Purifies Willforce + 8 quarts of liquid</t>
  </si>
  <si>
    <t>Qing Speaks with Ancestors</t>
  </si>
  <si>
    <t>12 yards</t>
  </si>
  <si>
    <t>Target sees illusory ancestor</t>
  </si>
  <si>
    <t>Mind Dagger</t>
  </si>
  <si>
    <t>40 yards</t>
  </si>
  <si>
    <t>Resist Cold</t>
  </si>
  <si>
    <t>+3 Armor Points against cold damage</t>
  </si>
  <si>
    <t>Aura Strike</t>
  </si>
  <si>
    <t>7/12</t>
  </si>
  <si>
    <t>Willforce + 8</t>
  </si>
  <si>
    <t>On successful pin, opponents are dazzled and cannot attack in the next round</t>
  </si>
  <si>
    <t>The Glow</t>
  </si>
  <si>
    <t>May increase accuracy of weapon instead of damage</t>
  </si>
  <si>
    <t>Improvised Poultice</t>
  </si>
  <si>
    <t>Whittle Weapons</t>
  </si>
  <si>
    <t>Casting</t>
  </si>
  <si>
    <t>Spell Fetishes</t>
  </si>
  <si>
    <t>Name</t>
  </si>
  <si>
    <t>Difficulty</t>
  </si>
  <si>
    <t>Type</t>
  </si>
  <si>
    <t>Otherworldly Control</t>
  </si>
  <si>
    <t>EDC2 36</t>
  </si>
  <si>
    <t>Past Tongues</t>
  </si>
  <si>
    <t>Phantom Strike</t>
  </si>
  <si>
    <t>Cathay PL 90</t>
  </si>
  <si>
    <t>D1 115</t>
  </si>
  <si>
    <t>Plant Shelter</t>
  </si>
  <si>
    <t>EDC 35</t>
  </si>
  <si>
    <t>Power Mask</t>
  </si>
  <si>
    <t>Preserve Life</t>
  </si>
  <si>
    <t>POD 111</t>
  </si>
  <si>
    <t>Bodyguard</t>
  </si>
  <si>
    <t>Prison Call</t>
  </si>
  <si>
    <t>D2 118</t>
  </si>
  <si>
    <t>Variable</t>
  </si>
  <si>
    <t>Buoyancy</t>
  </si>
  <si>
    <t>AMB 45</t>
  </si>
  <si>
    <t>13/20</t>
  </si>
  <si>
    <t>+8 steps to Perception</t>
  </si>
  <si>
    <t>Catwalk</t>
  </si>
  <si>
    <t>Shaman, Wizard</t>
  </si>
  <si>
    <t>Resist Fire</t>
  </si>
  <si>
    <t>+3 Armor Points against fire damage</t>
  </si>
  <si>
    <t>Phantasmal Dancer</t>
  </si>
  <si>
    <t>Spirit Dart</t>
  </si>
  <si>
    <t>Triangulate</t>
  </si>
  <si>
    <t>Air Armor</t>
  </si>
  <si>
    <t>NA/10</t>
  </si>
  <si>
    <t>Touch</t>
  </si>
  <si>
    <t>+3 armor, +3 steps for heat exhaustion</t>
  </si>
  <si>
    <t>Target's Spell Defense</t>
  </si>
  <si>
    <t>5 + Rank minutes</t>
  </si>
  <si>
    <t>AMB 6</t>
  </si>
  <si>
    <t>Assuring Touch</t>
  </si>
  <si>
    <t>NA/7</t>
  </si>
  <si>
    <t>+3 steps against fear-causing attacks</t>
  </si>
  <si>
    <t>12 + Rank rounds</t>
  </si>
  <si>
    <t>ED 167</t>
  </si>
  <si>
    <t>Illusionist, Sorceror</t>
  </si>
  <si>
    <t>Astral Sense</t>
  </si>
  <si>
    <t>Enlarges non-living object of 80 lbs or less to up to +100% of size</t>
  </si>
  <si>
    <t>Rank + 2 rounds</t>
  </si>
  <si>
    <t>Cathay PL 104</t>
  </si>
  <si>
    <t>Bone Dance</t>
  </si>
  <si>
    <t>25 yards</t>
  </si>
  <si>
    <t>Willforce + 4</t>
  </si>
  <si>
    <t>Target’s Spell Defense</t>
  </si>
  <si>
    <t>EDC 37</t>
  </si>
  <si>
    <t>EDC 36</t>
  </si>
  <si>
    <t>ED 114</t>
  </si>
  <si>
    <t>D1 116</t>
  </si>
  <si>
    <t>Regeneration</t>
  </si>
  <si>
    <t>ED 132</t>
  </si>
  <si>
    <t>+3 steps to Climbing Tests</t>
  </si>
  <si>
    <t>Chilling Circle</t>
  </si>
  <si>
    <t>6/15</t>
  </si>
  <si>
    <t>Step 4 Damage when in circle</t>
  </si>
  <si>
    <t>6 + Rank minutes</t>
  </si>
  <si>
    <t>Dragon Blows Out Flame</t>
  </si>
  <si>
    <t>Cathay PL 105</t>
  </si>
  <si>
    <t>NA/6</t>
  </si>
  <si>
    <t>20 yards</t>
  </si>
  <si>
    <t>Blowing air harries target</t>
  </si>
  <si>
    <t>Crushing Will</t>
  </si>
  <si>
    <t>8/16</t>
  </si>
  <si>
    <t>Cobra Charms the Weasel</t>
  </si>
  <si>
    <t>24 Yards</t>
  </si>
  <si>
    <t>Rank + 5 minutes</t>
  </si>
  <si>
    <t>Earth Blend</t>
  </si>
  <si>
    <t>Hunter's Sense</t>
  </si>
  <si>
    <t>AMB 7</t>
  </si>
  <si>
    <t>NA/14</t>
  </si>
  <si>
    <t>Flame Strike</t>
  </si>
  <si>
    <t>MMMS 125</t>
  </si>
  <si>
    <t>Impossible Knot</t>
  </si>
  <si>
    <t>1 + Rank days</t>
  </si>
  <si>
    <t>NA/4</t>
  </si>
  <si>
    <t>10 yards</t>
  </si>
  <si>
    <t>Rank + 3 rounds</t>
  </si>
  <si>
    <t>Soften Blade</t>
  </si>
  <si>
    <t>Song of Deflection</t>
  </si>
  <si>
    <t>Soul Shatter</t>
  </si>
  <si>
    <t>EDC 39</t>
  </si>
  <si>
    <t>Spell Crystal Lock</t>
  </si>
  <si>
    <t>Item History</t>
  </si>
  <si>
    <t>ED 110</t>
  </si>
  <si>
    <t>Jab</t>
  </si>
  <si>
    <t>Allows use of emotion song on an audience who does not understand the words</t>
  </si>
  <si>
    <t>Mimic Music</t>
  </si>
  <si>
    <t>Allows mimicking of instruments</t>
  </si>
  <si>
    <t>Memorize Image</t>
  </si>
  <si>
    <t>ED 112</t>
  </si>
  <si>
    <t>Mental Shield</t>
  </si>
  <si>
    <t>Metal Ward</t>
  </si>
  <si>
    <t>Mind Armor</t>
  </si>
  <si>
    <t>Mind Blade</t>
  </si>
  <si>
    <t>May determine if a person has been in an area where evidence analysis was performed in prior 24 hours</t>
  </si>
  <si>
    <t>Lasting Impression</t>
  </si>
  <si>
    <t>Learn Spell Pattern</t>
  </si>
  <si>
    <t>Disarm Thread</t>
  </si>
  <si>
    <t>Cathay PL 86</t>
  </si>
  <si>
    <t>Thief can spot use of fast hand; also, pickpockets must get one higher success level againt him</t>
  </si>
  <si>
    <t>Improvised Missiles</t>
  </si>
  <si>
    <t>Allows use of small items as throwing weapons</t>
  </si>
  <si>
    <t>EJ6 24</t>
  </si>
  <si>
    <t>Detect Undead</t>
  </si>
  <si>
    <t>ED 175</t>
  </si>
  <si>
    <t>Earth Darts</t>
  </si>
  <si>
    <t>5/12</t>
  </si>
  <si>
    <t>30 yards</t>
  </si>
  <si>
    <t>Dispel Magic</t>
  </si>
  <si>
    <t>Spell Fetish</t>
  </si>
  <si>
    <t>Spell Matrix</t>
  </si>
  <si>
    <t>ED 116</t>
  </si>
  <si>
    <t>Spirit Blend</t>
  </si>
  <si>
    <t>ED 117</t>
  </si>
  <si>
    <t>Spirit Weapon</t>
  </si>
  <si>
    <t>EDC2 40</t>
  </si>
  <si>
    <t>Spot Armor Flaw</t>
  </si>
  <si>
    <t>Stone Skin</t>
  </si>
  <si>
    <t>Stopping Aim</t>
  </si>
  <si>
    <t>Storm Shield</t>
  </si>
  <si>
    <t>Summon</t>
  </si>
  <si>
    <t>Summoning Circle</t>
  </si>
  <si>
    <t>EDC 40</t>
  </si>
  <si>
    <t>Allows the wizard to unweave a thread to spell being held; target = weaving difficulty +1 per thread</t>
  </si>
  <si>
    <t>Remember Conversation</t>
  </si>
  <si>
    <t>Allows memorization of conversation at 1 hour per rank of talent</t>
  </si>
  <si>
    <t>Shadow's Whisper</t>
  </si>
  <si>
    <t>6/11</t>
  </si>
  <si>
    <t>100 yards</t>
  </si>
  <si>
    <t>Silent Converse</t>
  </si>
  <si>
    <t>Elementalist Spells</t>
  </si>
  <si>
    <t>Illusionist Spells</t>
  </si>
  <si>
    <t>Nethermancer Spells</t>
  </si>
  <si>
    <t>Multi-Tongue</t>
  </si>
  <si>
    <t>Multiweaving</t>
  </si>
  <si>
    <t>EDC 34</t>
  </si>
  <si>
    <t>ED 113</t>
  </si>
  <si>
    <t>Improvised Weapons</t>
  </si>
  <si>
    <t>Allows use of any item lifted to be used as a weapon</t>
  </si>
  <si>
    <t>Impossible Hide</t>
  </si>
  <si>
    <t>D2 117</t>
  </si>
  <si>
    <t>Siege Blow</t>
  </si>
  <si>
    <t>Siege Fury</t>
  </si>
  <si>
    <t>Shock wave from warrior's siege blow allows warrior to make intimidation test on any within structure</t>
  </si>
  <si>
    <t>Head Butt</t>
  </si>
  <si>
    <t>On a grappled opponent, stuns him.  See AM Page 58</t>
  </si>
  <si>
    <t>EDC 32</t>
  </si>
  <si>
    <t>On a good or better success, the swordmaster may make a taunt against the original taunter; free action</t>
  </si>
  <si>
    <t>Feign Retreat</t>
  </si>
  <si>
    <t>Sword Rattler</t>
  </si>
  <si>
    <t>Intimidates opponent in up to a 4 step penalty by dramatically unsheathing sword</t>
  </si>
  <si>
    <t>Dizzying Display</t>
  </si>
  <si>
    <t>Infuse Weapon</t>
  </si>
  <si>
    <t>Faulty Goods</t>
  </si>
  <si>
    <t>Convinces target that he is selling goods of an inferior quality</t>
  </si>
  <si>
    <t>Cathay PL 87</t>
  </si>
  <si>
    <t>Here's The Deal</t>
  </si>
  <si>
    <t>Allows Weaponsmith to assess value of an item within 25% margin of error</t>
  </si>
  <si>
    <t>Warp Missile</t>
  </si>
  <si>
    <t>Faulty Bowyer</t>
  </si>
  <si>
    <t>Allows weaponsmith to make wooden weapons in one-third time to make metal ones</t>
  </si>
  <si>
    <t>Safe Thought</t>
  </si>
  <si>
    <t>Scent Identifier</t>
  </si>
  <si>
    <t>Screaming Arrow</t>
  </si>
  <si>
    <t>ED 174</t>
  </si>
  <si>
    <t>Nethermancer, Shaman</t>
  </si>
  <si>
    <t>Catseyes</t>
  </si>
  <si>
    <t>5/10</t>
  </si>
  <si>
    <t>Grants low-light vision</t>
  </si>
  <si>
    <t>Allows weaponsmith to sense cursed weapons and armor without touching them</t>
  </si>
  <si>
    <t>Infuse Armor</t>
  </si>
  <si>
    <t>Sense Animals</t>
  </si>
  <si>
    <t>Cathay PL 91</t>
  </si>
  <si>
    <t>Psychokinesis</t>
  </si>
  <si>
    <t>Psychoportation</t>
  </si>
  <si>
    <t>Pulse of Battle</t>
  </si>
  <si>
    <t>Puppeteer</t>
  </si>
  <si>
    <t>Puppet Master</t>
  </si>
  <si>
    <t>Impressive Strike</t>
  </si>
  <si>
    <t>EDC2 34</t>
  </si>
  <si>
    <t>[See Impressive Shot]</t>
  </si>
  <si>
    <t>Mighty Throw</t>
  </si>
  <si>
    <t>Allows opponent to be grabbed and thrown, damage is str + unarmed rank</t>
  </si>
  <si>
    <t>Improve Armor</t>
  </si>
  <si>
    <t>Improve Blade</t>
  </si>
  <si>
    <t>ED 109</t>
  </si>
  <si>
    <t>Forge Arrow</t>
  </si>
  <si>
    <t>Allows forging of rank arrowheads per forge test</t>
  </si>
  <si>
    <t>Improve Weapon</t>
  </si>
  <si>
    <t>Increase Accuracy</t>
  </si>
  <si>
    <t>Ritual of Atonement</t>
  </si>
  <si>
    <t>Ritual of the Ghost Master</t>
  </si>
  <si>
    <t>ED 226</t>
  </si>
  <si>
    <t>Rundown</t>
  </si>
  <si>
    <t>16 Yards</t>
  </si>
  <si>
    <t>Create Mech Trap</t>
  </si>
  <si>
    <t>Allows building of traps</t>
  </si>
  <si>
    <t>Gain Surprise</t>
  </si>
  <si>
    <t>Lightning Throw</t>
  </si>
  <si>
    <t>Allows up to rank weapons to be thrown in a round</t>
  </si>
  <si>
    <t>Ghost Speak</t>
  </si>
  <si>
    <t>EDC2 33</t>
  </si>
  <si>
    <t>Second Charge</t>
  </si>
  <si>
    <t>Adds surprise strike rank steps to the damage test</t>
  </si>
  <si>
    <t>Gift of the Phoenix</t>
  </si>
  <si>
    <t>Heals a wound instead of damage points.  Must be used the round after wounded</t>
  </si>
  <si>
    <t>Engaging Dance</t>
  </si>
  <si>
    <t>Cathay PL 85</t>
  </si>
  <si>
    <t>Trading</t>
  </si>
  <si>
    <t>Armor Beater</t>
  </si>
  <si>
    <t>Reduces success level for armor defeating hit by one level</t>
  </si>
  <si>
    <t>Enhanced Fetish</t>
  </si>
  <si>
    <t>Trample</t>
  </si>
  <si>
    <t>Boarding Action</t>
  </si>
  <si>
    <t>Allows +2 steps to maneuverability of an airship attempting a boarding maneuver</t>
  </si>
  <si>
    <t>Enhanced Matrix</t>
  </si>
  <si>
    <t>Trap Initiative</t>
  </si>
  <si>
    <t>Shiver Ship</t>
  </si>
  <si>
    <t>Allows troubadour to reverse taunt effect on someone sufferning from taunt, battleshout, etc.</t>
  </si>
  <si>
    <t>ED 108</t>
  </si>
  <si>
    <t>Epic</t>
  </si>
  <si>
    <t>1/hr</t>
  </si>
  <si>
    <t>Manifest Beast</t>
  </si>
  <si>
    <t>Cathay PL 89</t>
  </si>
  <si>
    <t>Versatility</t>
  </si>
  <si>
    <t>Vital Strike</t>
  </si>
  <si>
    <t>Use engaging banter on multiple targets at +1 target number and +1 strain per additional target</t>
  </si>
  <si>
    <t>Incite Mob</t>
  </si>
  <si>
    <t>Defuse Mob</t>
  </si>
  <si>
    <t>Allows the calming and dispersal of a mob</t>
  </si>
  <si>
    <t>Heal Slave</t>
  </si>
  <si>
    <t>Rapier Wit</t>
  </si>
  <si>
    <t>Mind Hand</t>
  </si>
  <si>
    <t>Missile Twister</t>
  </si>
  <si>
    <t>Missile's Path</t>
  </si>
  <si>
    <t>BW 121</t>
  </si>
  <si>
    <t>Elves</t>
  </si>
  <si>
    <t>Moon Shield</t>
  </si>
  <si>
    <t>Morphism</t>
  </si>
  <si>
    <t>Mount's Strength</t>
  </si>
  <si>
    <t>Mount Durability</t>
  </si>
  <si>
    <t>Woodwalk</t>
  </si>
  <si>
    <t>Wound Transfer</t>
  </si>
  <si>
    <t>EDC2 44</t>
  </si>
  <si>
    <t>Spells</t>
  </si>
  <si>
    <t>Healing</t>
  </si>
  <si>
    <t>Disassociate</t>
  </si>
  <si>
    <t>Dampens a target's negative emotions</t>
  </si>
  <si>
    <t>Heart of Freedom</t>
  </si>
  <si>
    <t>D2 116</t>
  </si>
  <si>
    <t>K'stulaami</t>
  </si>
  <si>
    <t>Telling The Tale</t>
  </si>
  <si>
    <t>Allows troubadour to tell stories with emotion song talent</t>
  </si>
  <si>
    <t>Gold Sense</t>
  </si>
  <si>
    <t>Salve</t>
  </si>
  <si>
    <t>+2/thread</t>
  </si>
  <si>
    <t>Allows a Wizard to hold multiple threads</t>
  </si>
  <si>
    <t>ED 111</t>
  </si>
  <si>
    <t>Location Lore</t>
  </si>
  <si>
    <t>Lock Sense</t>
  </si>
  <si>
    <t>Long Shot</t>
  </si>
  <si>
    <t>Unshakable Earth</t>
  </si>
  <si>
    <t>Uppercut</t>
  </si>
  <si>
    <t>EDC 42</t>
  </si>
  <si>
    <t>Putrefies food</t>
  </si>
  <si>
    <t>Warning Shot</t>
  </si>
  <si>
    <t>Water Dancing</t>
  </si>
  <si>
    <t>Weapon History</t>
  </si>
  <si>
    <t>Weapon Ward</t>
  </si>
  <si>
    <t>EDC 43</t>
  </si>
  <si>
    <t>ED 121</t>
  </si>
  <si>
    <t>Whirlwind</t>
  </si>
  <si>
    <t>Wind Bow</t>
  </si>
  <si>
    <t>Wind Slash</t>
  </si>
  <si>
    <t>Winning Smile</t>
  </si>
  <si>
    <t>Wood Skin</t>
  </si>
  <si>
    <t>Woodspeak</t>
  </si>
  <si>
    <t>Pauper’s Purse</t>
  </si>
  <si>
    <t>NA/ 7</t>
  </si>
  <si>
    <t>Feather Light</t>
  </si>
  <si>
    <t>Witty Comeback</t>
  </si>
  <si>
    <t>Scout may evaluate health and condition of a place, including horror taint</t>
  </si>
  <si>
    <t>Mystic Sense</t>
  </si>
  <si>
    <t>1 or 2</t>
  </si>
  <si>
    <t>Netherwalk</t>
  </si>
  <si>
    <t>Impressive Shot</t>
  </si>
  <si>
    <t>Conceal Objects</t>
  </si>
  <si>
    <t>Stash Object</t>
  </si>
  <si>
    <t>Adept hides an object on another person</t>
  </si>
  <si>
    <t>EDC 30</t>
  </si>
  <si>
    <t>Slough Blame</t>
  </si>
  <si>
    <t>By The Fingernails</t>
  </si>
  <si>
    <t>Allows a saving grab when a climbing roll is missed</t>
  </si>
  <si>
    <t>Effect Pattern</t>
  </si>
  <si>
    <t>Speak Language</t>
  </si>
  <si>
    <t>Elemental Anvil</t>
  </si>
  <si>
    <t>Shadow Hide</t>
  </si>
  <si>
    <t>Allows visual concealment</t>
  </si>
  <si>
    <t>Elemental Hammer</t>
  </si>
  <si>
    <t>Spinning Defense</t>
  </si>
  <si>
    <t>MOL1 44</t>
  </si>
  <si>
    <t>Adept's Best Friend</t>
  </si>
  <si>
    <t>+3</t>
  </si>
  <si>
    <t>On successful maneuver, swordmaster glows and can use for illumination; gains +1 social for rank rounds</t>
  </si>
  <si>
    <t>Setup</t>
  </si>
  <si>
    <t>Detect Sniper</t>
  </si>
  <si>
    <t>Allows weaponsmith to detect missile weapons; success means no surprise attack possible</t>
  </si>
  <si>
    <t>Sense Curse</t>
  </si>
  <si>
    <t>ED 115</t>
  </si>
  <si>
    <t>Dumfounds opponent by flashy swordplay, see AM  Page 57</t>
  </si>
  <si>
    <t>Smooth Armor</t>
  </si>
  <si>
    <t>Allows weaponsmith to reduce initiative penalty of armor</t>
  </si>
  <si>
    <t>May use tail attacks as second weapon without normal tail penalties</t>
  </si>
  <si>
    <t>Snag Weapon</t>
  </si>
  <si>
    <t>Forge Armor</t>
  </si>
  <si>
    <t>EDC 31</t>
  </si>
  <si>
    <t>On Warp Missile tests, excellent success breaks bowstring, extraordinary the bow</t>
  </si>
  <si>
    <t>BW 122</t>
  </si>
  <si>
    <t>Arrow Cutting</t>
  </si>
  <si>
    <t>Allows deflection of missiles such as arrows or knives</t>
  </si>
  <si>
    <t>Spell Riposte</t>
  </si>
  <si>
    <t>Allows reflection of attack type spells back on the caster</t>
  </si>
  <si>
    <t>Free Mind</t>
  </si>
  <si>
    <t>Freedom Search</t>
  </si>
  <si>
    <t>D2 115</t>
  </si>
  <si>
    <t>Insect Communication</t>
  </si>
  <si>
    <t>Remove Curse</t>
  </si>
  <si>
    <t>Covet Item</t>
  </si>
  <si>
    <t>Sense Danger</t>
  </si>
  <si>
    <t>Sense Magic Item</t>
  </si>
  <si>
    <t>Sense Magic Weapon</t>
  </si>
  <si>
    <t>Sense Metal</t>
  </si>
  <si>
    <t>EDC2 38</t>
  </si>
  <si>
    <t>Shadow Step</t>
  </si>
  <si>
    <t>Share Fetish</t>
  </si>
  <si>
    <t>Share Matrix</t>
  </si>
  <si>
    <t>Shield Beast</t>
  </si>
  <si>
    <t>Willforce + 7</t>
  </si>
  <si>
    <t>Command Nightflyer</t>
  </si>
  <si>
    <t>5/13</t>
  </si>
  <si>
    <t>Willforce + 2</t>
  </si>
  <si>
    <t>Dazzling Cloud</t>
  </si>
  <si>
    <t>EJ9 42</t>
  </si>
  <si>
    <t>EDC2 39</t>
  </si>
  <si>
    <t>D2 119</t>
  </si>
  <si>
    <t>Show Armor Flaw</t>
  </si>
  <si>
    <t>EDC 38</t>
  </si>
  <si>
    <t>Allows weaponsmith to permanently remove curses from weapons and armor</t>
  </si>
  <si>
    <t>Inspire Others</t>
  </si>
  <si>
    <t>Diagnose</t>
  </si>
  <si>
    <t>Allows a wizard to determine a subject's health, revealing injuries, disease, etc.</t>
  </si>
  <si>
    <t>Disarm Mech Trap</t>
  </si>
  <si>
    <t>Allows the nethermancer to dodge a spell or magical ability</t>
  </si>
  <si>
    <t>Disguise Chest</t>
  </si>
  <si>
    <t>Surprise strike</t>
  </si>
  <si>
    <t>Flaming Wounds</t>
  </si>
  <si>
    <t>Spirit Dodge</t>
  </si>
  <si>
    <t>Spirit Shield</t>
  </si>
  <si>
    <t>Rapid Strike</t>
  </si>
  <si>
    <t>Mystic Warrior</t>
  </si>
  <si>
    <t>Iron Fist</t>
  </si>
  <si>
    <t>Fiery Hand Strike</t>
  </si>
  <si>
    <t>Adds 3 to Iron Fist damage step</t>
  </si>
  <si>
    <t>Disguise Self</t>
  </si>
  <si>
    <t>Steel Thought</t>
  </si>
  <si>
    <t>Focus Mind</t>
  </si>
  <si>
    <t>Make steel thought test; this the character's spell defense for rank rounds</t>
  </si>
  <si>
    <t>Dragon Strike</t>
  </si>
  <si>
    <t>Does buckle deck step damage/5 to ship or structure the skyraider stands on</t>
  </si>
  <si>
    <t>Escape Divination</t>
  </si>
  <si>
    <t>Nova Blood</t>
  </si>
  <si>
    <t>Allows use of emotion song talent over longer periods of time than normal</t>
  </si>
  <si>
    <t>Great Kick</t>
  </si>
  <si>
    <t>Songs of Inspiration</t>
  </si>
  <si>
    <t>Allows troubadour to boost comrades tests</t>
  </si>
  <si>
    <t>More Than Words</t>
  </si>
  <si>
    <t>Beacon in the Storm</t>
  </si>
  <si>
    <t>Understudy</t>
  </si>
  <si>
    <t>Allows the troubadour to quickly memorize and be able to perform songs &amp; dances</t>
  </si>
  <si>
    <t>Hypnotic Banter</t>
  </si>
  <si>
    <t xml:space="preserve">No </t>
  </si>
  <si>
    <t>Dragonfire</t>
  </si>
  <si>
    <t>Secure Footing</t>
  </si>
  <si>
    <t>Use guard stance for knockdown tests</t>
  </si>
  <si>
    <t>Dragonscales</t>
  </si>
  <si>
    <t>Second Shot</t>
  </si>
  <si>
    <t>Great Strike</t>
  </si>
  <si>
    <t>Delayed Strike</t>
  </si>
  <si>
    <t>Storm Visits Your Home</t>
  </si>
  <si>
    <t>Casts the Thundering Walls spell</t>
  </si>
  <si>
    <t>Allows the taunt to "riposted" back on the taunter</t>
  </si>
  <si>
    <t>Wheeling Defense</t>
  </si>
  <si>
    <t>Gift of the Tempest</t>
  </si>
  <si>
    <t>Casts the Dragon's Tongue Licks Palms spell</t>
  </si>
  <si>
    <t>Exit Portal</t>
  </si>
  <si>
    <t>Wilderness Survival</t>
  </si>
  <si>
    <t>Storms Roar</t>
  </si>
  <si>
    <t>Casts the Thunderclap pell</t>
  </si>
  <si>
    <t>False Potion</t>
  </si>
  <si>
    <t>MOL2 63</t>
  </si>
  <si>
    <t>Wind Dance</t>
  </si>
  <si>
    <t>Lightning Leap</t>
  </si>
  <si>
    <t>Casts the Jao Travels to the Sky spell</t>
  </si>
  <si>
    <t>False Sight</t>
  </si>
  <si>
    <t>Come to Terms</t>
  </si>
  <si>
    <t>Moving Earth</t>
  </si>
  <si>
    <t>Multi-Charge</t>
  </si>
  <si>
    <t>EDC 33</t>
  </si>
  <si>
    <t>Multi-Shot</t>
  </si>
  <si>
    <t>Multi-Strike</t>
  </si>
  <si>
    <t>Heart of Rebellion</t>
  </si>
  <si>
    <t>Hide Warband</t>
  </si>
  <si>
    <t>Adept conceals targets other than self</t>
  </si>
  <si>
    <t>Heat</t>
  </si>
  <si>
    <t>Hoard Blows</t>
  </si>
  <si>
    <t>Warrior</t>
  </si>
  <si>
    <t>Pin Down</t>
  </si>
  <si>
    <t>Allows warrior to pin someone who has been knocked down</t>
  </si>
  <si>
    <t>Hold Thread</t>
  </si>
  <si>
    <t>Hook</t>
  </si>
  <si>
    <t>Legendary Blades</t>
  </si>
  <si>
    <t>Change Protaganist</t>
  </si>
  <si>
    <t>1+</t>
  </si>
  <si>
    <t>Allows the adept to bestow the benefits of Legendary Blades on another character</t>
  </si>
  <si>
    <t>ED 106</t>
  </si>
  <si>
    <t>Fearsome Charge</t>
  </si>
  <si>
    <t>Allows +1 phys def per -1 step on melee weapons attack per round</t>
  </si>
  <si>
    <t>Conceals wagon tracks and guard tracks</t>
  </si>
  <si>
    <t>Joint Lock</t>
  </si>
  <si>
    <t>Monk</t>
  </si>
  <si>
    <t>Weapon Block</t>
  </si>
  <si>
    <t>Allows use of block and counter against weapons as well as unarmed combat</t>
  </si>
  <si>
    <t>Cross</t>
  </si>
  <si>
    <t>Kiai</t>
  </si>
  <si>
    <t>Takedown</t>
  </si>
  <si>
    <t>Committed Throw</t>
  </si>
  <si>
    <t>To track an adept's animal companion by touching the adept</t>
  </si>
  <si>
    <t>ED 104</t>
  </si>
  <si>
    <t>Gliding Stride</t>
  </si>
  <si>
    <t>Uphill Glide</t>
  </si>
  <si>
    <t>1/30 degrees</t>
  </si>
  <si>
    <t>Allows the swordmaster to "give" his maneuver bonus to another character</t>
  </si>
  <si>
    <t>Fires of the Forge</t>
  </si>
  <si>
    <t>EDC2 32</t>
  </si>
  <si>
    <t>ED 107</t>
  </si>
  <si>
    <t>Swordcrash</t>
  </si>
  <si>
    <t>Allows free interaction test on good or better success</t>
  </si>
  <si>
    <t>First Ring of Perfection</t>
  </si>
  <si>
    <t>Flourish</t>
  </si>
  <si>
    <t>Astral Tracking</t>
  </si>
  <si>
    <t>Fist Frenzy</t>
  </si>
  <si>
    <t>EJ2 19</t>
  </si>
  <si>
    <t>Claw Riposte</t>
  </si>
  <si>
    <t>Allows riposting of natural attacks</t>
  </si>
  <si>
    <t>Second Riposte</t>
  </si>
  <si>
    <t>Allows a second riposte when using second weapon</t>
  </si>
  <si>
    <t>Second Tail</t>
  </si>
  <si>
    <t>Navigation</t>
  </si>
  <si>
    <t>EDC2 31</t>
  </si>
  <si>
    <t>Parry</t>
  </si>
  <si>
    <t>Direction Arrow</t>
  </si>
  <si>
    <t>Performance</t>
  </si>
  <si>
    <t>Direction Sense</t>
  </si>
  <si>
    <t>Empathic Sense</t>
  </si>
  <si>
    <t>Swimming, T'skrang</t>
  </si>
  <si>
    <t>Flying Kick</t>
  </si>
  <si>
    <t>Physician</t>
  </si>
  <si>
    <t>Spirit Hold</t>
  </si>
  <si>
    <t>Costs 1 karma; skyraider takes on fiery aura and initiates battle shout even if already used in round</t>
  </si>
  <si>
    <t>Empathic Command</t>
  </si>
  <si>
    <t>Swimming</t>
  </si>
  <si>
    <t>Buckle Surface</t>
  </si>
  <si>
    <t>The sky raider may use buckle deck on any surface</t>
  </si>
  <si>
    <t>Use great leap to make a flying kick attack str+3 steps damage</t>
  </si>
  <si>
    <t>Encore</t>
  </si>
  <si>
    <t>Tactics</t>
  </si>
  <si>
    <t>ED 105</t>
  </si>
  <si>
    <t>Wrath of the Sky</t>
  </si>
  <si>
    <t>Storm's Wrath</t>
  </si>
  <si>
    <t>Cost 1 karma; Sky Raider may at 10 steps electrical damage</t>
  </si>
  <si>
    <t>AW 116</t>
  </si>
  <si>
    <t>Weapon Scream</t>
  </si>
  <si>
    <t>Aura of Fear</t>
  </si>
  <si>
    <t>3/hour</t>
  </si>
  <si>
    <t>Allows thief to get better price for item</t>
  </si>
  <si>
    <t>Freedom Song</t>
  </si>
  <si>
    <t>Offguard</t>
  </si>
  <si>
    <t>Allows reduced chance of detection on picking pockets</t>
  </si>
  <si>
    <t>Frenzy</t>
  </si>
  <si>
    <t>On good success, the target is pinned to the wall by the sleeve, etc</t>
  </si>
  <si>
    <t>Excellent success on an attack causes weapon to scream, free battle bellow test</t>
  </si>
  <si>
    <t>Energy Blade</t>
  </si>
  <si>
    <t>Ment</t>
  </si>
  <si>
    <t>Mentalist</t>
  </si>
  <si>
    <t>Steely Stare</t>
  </si>
  <si>
    <t>Glint</t>
  </si>
  <si>
    <t>Target cannot take any action against the Sky Raider unless attacked by him</t>
  </si>
  <si>
    <t>Illusionist</t>
  </si>
  <si>
    <t>Cobra Strike</t>
  </si>
  <si>
    <t>Ridicule</t>
  </si>
  <si>
    <t>Allows the adept to make a fool fo a target using a social attack</t>
  </si>
  <si>
    <t>Dive Attack</t>
  </si>
  <si>
    <t>Research</t>
  </si>
  <si>
    <t>ED 101</t>
  </si>
  <si>
    <t>First Impression</t>
  </si>
  <si>
    <t>Fishing</t>
  </si>
  <si>
    <t>Combo</t>
  </si>
  <si>
    <t>Flirting</t>
  </si>
  <si>
    <t>Allows unarmed attacks at range of rank X2 yards</t>
  </si>
  <si>
    <t>Distraction</t>
  </si>
  <si>
    <t>Read River</t>
  </si>
  <si>
    <t>Costs 1 karma; explosive blast doing the fireblood step damage to all within 10'; -4 pts healed</t>
  </si>
  <si>
    <t>ESP</t>
  </si>
  <si>
    <t>Hard Glare</t>
  </si>
  <si>
    <t>Breaks fragile objects such as glass, pottery, ceramic, thin wood by glaring</t>
  </si>
  <si>
    <t>Ethereal Weapon</t>
  </si>
  <si>
    <t>Unmount</t>
  </si>
  <si>
    <t>Rhetoric</t>
  </si>
  <si>
    <t>Clinch</t>
  </si>
  <si>
    <t>Adept may grapple and opponent, preventing any combat</t>
  </si>
  <si>
    <t>Casts a light spell</t>
  </si>
  <si>
    <t>ED 130</t>
  </si>
  <si>
    <t>Birth and Burial</t>
  </si>
  <si>
    <t>Casts a lightning bolt spell</t>
  </si>
  <si>
    <t>Wheeling Attack</t>
  </si>
  <si>
    <t>Winds of the Dragons Spine</t>
  </si>
  <si>
    <t>Casts the Air Blast spell</t>
  </si>
  <si>
    <t>Samurai</t>
  </si>
  <si>
    <t>ED 103</t>
  </si>
  <si>
    <t>Search</t>
  </si>
  <si>
    <t>May delay leaving guard stance</t>
  </si>
  <si>
    <t>Duel</t>
  </si>
  <si>
    <t>Create Arrow</t>
  </si>
  <si>
    <t>EDC 28</t>
  </si>
  <si>
    <t>Hunting</t>
  </si>
  <si>
    <t>Mind Wave</t>
  </si>
  <si>
    <t>Forgetful Stare</t>
  </si>
  <si>
    <t>Send Them Running</t>
  </si>
  <si>
    <t>Causes opponents to retreat and defend only</t>
  </si>
  <si>
    <t>Seduction</t>
  </si>
  <si>
    <t>Durability (Mount)</t>
  </si>
  <si>
    <t>Shackle Shrug</t>
  </si>
  <si>
    <t>Send Knowledge</t>
  </si>
  <si>
    <t>1 wound</t>
  </si>
  <si>
    <t>Sends the books stored in the moon staff</t>
  </si>
  <si>
    <t>Shield Charge</t>
  </si>
  <si>
    <t>Use mind wave on multiple targets, difficulty +2 per target, all targets must be within 1 yard</t>
  </si>
  <si>
    <t>Create Moon Staff</t>
  </si>
  <si>
    <t>Impress</t>
  </si>
  <si>
    <t>Traceless Wagon</t>
  </si>
  <si>
    <t>Required by magicians to design spells</t>
  </si>
  <si>
    <t>Detect Weapon</t>
  </si>
  <si>
    <t>Temerature</t>
  </si>
  <si>
    <t>Adept may propose different stakes in a duel</t>
  </si>
  <si>
    <t>Familiar Durability</t>
  </si>
  <si>
    <t>Defang the Snake</t>
  </si>
  <si>
    <t>Allows the swordmaster to disarm opponent and catch the opponents weapon</t>
  </si>
  <si>
    <t>Fast Grab</t>
  </si>
  <si>
    <t>D1 114</t>
  </si>
  <si>
    <t>Store Knowledge</t>
  </si>
  <si>
    <t>Encrypt Staff</t>
  </si>
  <si>
    <t>Encrypts one of the books stored in the scholar's moon staff</t>
  </si>
  <si>
    <t>Earth Armor</t>
  </si>
  <si>
    <t>Shout of Justice</t>
  </si>
  <si>
    <t>Moon Ray</t>
  </si>
  <si>
    <t>Moon Blast</t>
  </si>
  <si>
    <t>Turns moon ray into a blast striking multiple opponents</t>
  </si>
  <si>
    <t>Earth Skin</t>
  </si>
  <si>
    <t>Silent Walk</t>
  </si>
  <si>
    <t>Lay Of The Land</t>
  </si>
  <si>
    <t>If opponent is knocked down, he is automatically grappled</t>
  </si>
  <si>
    <t>Meditate</t>
  </si>
  <si>
    <t>Deep Trance</t>
  </si>
  <si>
    <t>Swordmaster</t>
  </si>
  <si>
    <t>Lip Reading</t>
  </si>
  <si>
    <t>Nethermancer</t>
  </si>
  <si>
    <t>Dangerous Shot</t>
  </si>
  <si>
    <t>EDC2 30</t>
  </si>
  <si>
    <t>Steer Wagon</t>
  </si>
  <si>
    <t>Spirit Talk</t>
  </si>
  <si>
    <t>Spirit Conversations</t>
  </si>
  <si>
    <t>On second or subsequent round of using gliding stride, may take full move up inclines up to 90 degrees</t>
  </si>
  <si>
    <t>Elemental Walk</t>
  </si>
  <si>
    <t>Streetwise</t>
  </si>
  <si>
    <t>The scout may choose what type of elemental provides safe path information</t>
  </si>
  <si>
    <t>Elementalweaving</t>
  </si>
  <si>
    <t>ED 118</t>
  </si>
  <si>
    <t>Sure Mount</t>
  </si>
  <si>
    <t>Nethermancers who know spirit talk can converse with each other unnoticed; range = test X 4 yards</t>
  </si>
  <si>
    <t>Orbiting Spy</t>
  </si>
  <si>
    <t>Astral Spy</t>
  </si>
  <si>
    <t>Allows the scout to track astral targets</t>
  </si>
  <si>
    <t>Embrace of the Phoenix</t>
  </si>
  <si>
    <t>Surprise Strike</t>
  </si>
  <si>
    <t>Allows the scout to dodge directed spells</t>
  </si>
  <si>
    <t>Swift Kick</t>
  </si>
  <si>
    <t>Fireblood</t>
  </si>
  <si>
    <t>Bloody Aura</t>
  </si>
  <si>
    <t>Detect Influence</t>
  </si>
  <si>
    <t>EDC 29</t>
  </si>
  <si>
    <t>Scout</t>
  </si>
  <si>
    <t>ED 102</t>
  </si>
  <si>
    <t>Mount Attack</t>
  </si>
  <si>
    <t>Develop Animal Sense</t>
  </si>
  <si>
    <t>Entertainer</t>
  </si>
  <si>
    <t>Safe Path</t>
  </si>
  <si>
    <t>Safer Path</t>
  </si>
  <si>
    <t>Tortured Hold</t>
  </si>
  <si>
    <t>Nethermance causes discomfort to a spirit while using spirit hold, +1 to control and banishing tests</t>
  </si>
  <si>
    <t>Picking Pockets</t>
  </si>
  <si>
    <t>Allows multiple spells to be cast in a single spellcasting test</t>
  </si>
  <si>
    <t>Evidence Analysis</t>
  </si>
  <si>
    <t>Fiery Blade</t>
  </si>
  <si>
    <t>Summon Blade</t>
  </si>
  <si>
    <t>Adept creates blade from fire</t>
  </si>
  <si>
    <t>Feinting Lunge</t>
  </si>
  <si>
    <t>Adds 3 to next attack test (see text)</t>
  </si>
  <si>
    <t>Blade Blur</t>
  </si>
  <si>
    <t>Sword Dancer</t>
  </si>
  <si>
    <t>Champion Challenge</t>
  </si>
  <si>
    <t>Mount Leap</t>
  </si>
  <si>
    <t>Characters within 1 yard attempting social interaction step reduced by Frighten rank and feel unwelcome</t>
  </si>
  <si>
    <t>Disarm Magical Trap</t>
  </si>
  <si>
    <t>Pilot Boat</t>
  </si>
  <si>
    <t>Lifesight</t>
  </si>
  <si>
    <t>Deathsight</t>
  </si>
  <si>
    <t>Allows sight of the strength and composition of undead and horror constructs</t>
  </si>
  <si>
    <t>Clay Skin</t>
  </si>
  <si>
    <t>False Shackles</t>
  </si>
  <si>
    <t>Orks</t>
  </si>
  <si>
    <t>Liquid Prison</t>
  </si>
  <si>
    <t>Liquid Shelter</t>
  </si>
  <si>
    <t>Makes a shelter instead of a prison</t>
  </si>
  <si>
    <t>Fast Hand</t>
  </si>
  <si>
    <t>Flowing Blow</t>
  </si>
  <si>
    <t>Wound Blow</t>
  </si>
  <si>
    <t>May use flowing blow to cause wounds instead of additional damage</t>
  </si>
  <si>
    <t>Fence</t>
  </si>
  <si>
    <t>Company of One</t>
  </si>
  <si>
    <t>Forgery</t>
  </si>
  <si>
    <t>Read &amp;  Write Magic</t>
  </si>
  <si>
    <t>+2 see text</t>
  </si>
  <si>
    <t>Conceal Caravan</t>
  </si>
  <si>
    <t>Frighten</t>
  </si>
  <si>
    <t>Increases the read magic success level by one to read writing</t>
  </si>
  <si>
    <t>Spider-walk Mount</t>
  </si>
  <si>
    <t>Lightning Combo</t>
  </si>
  <si>
    <t>Pick Up</t>
  </si>
  <si>
    <t>Prevents the opponent from being knocked down in order to continue the combo attack</t>
  </si>
  <si>
    <t>Dominate Arrow</t>
  </si>
  <si>
    <t>Confront Horror</t>
  </si>
  <si>
    <t>Guard Stance</t>
  </si>
  <si>
    <t>Deadfall</t>
  </si>
  <si>
    <t>Reduced Threat</t>
  </si>
  <si>
    <t>Charioteer</t>
  </si>
  <si>
    <t>Unequal Fight</t>
  </si>
  <si>
    <t>Prevents blows from melee and missile attacks from causing wounds</t>
  </si>
  <si>
    <t>Double-Charge</t>
  </si>
  <si>
    <t>Rushing Attack</t>
  </si>
  <si>
    <t>Body Armor</t>
  </si>
  <si>
    <t>Adds up to rank points in physical armor</t>
  </si>
  <si>
    <t>Douse</t>
  </si>
  <si>
    <t>Sailing</t>
  </si>
  <si>
    <t>Spot Fast Hand</t>
  </si>
  <si>
    <t>1/minute</t>
  </si>
  <si>
    <t>Illusionist can spot use of fast hand; also, pickpockets must get one higher success level againt him</t>
  </si>
  <si>
    <t>Counter Missile</t>
  </si>
  <si>
    <t>EDC2 29</t>
  </si>
  <si>
    <t>Haggle</t>
  </si>
  <si>
    <t>Cathay PL 83</t>
  </si>
  <si>
    <t>Heartening Laugh</t>
  </si>
  <si>
    <t>Engaging Conversation</t>
  </si>
  <si>
    <t>Wound Heal</t>
  </si>
  <si>
    <t>Allows elementalist to heal wounds instead of damage points</t>
  </si>
  <si>
    <t>Bone Compass</t>
  </si>
  <si>
    <t>Use mind wave on 1 target within 100 yards; requires eye contact to be made and maintained</t>
  </si>
  <si>
    <t>Create Fetish</t>
  </si>
  <si>
    <t>MMMS 104</t>
  </si>
  <si>
    <t>Hypnotize</t>
  </si>
  <si>
    <t>Multiple Mindwave</t>
  </si>
  <si>
    <t>2/target</t>
  </si>
  <si>
    <t>Range of Air Speaking equals test times 10 in yards</t>
  </si>
  <si>
    <t>Book Memory</t>
  </si>
  <si>
    <t>Wizard</t>
  </si>
  <si>
    <t>Halt Disease</t>
  </si>
  <si>
    <t>Affect diseases and poisons</t>
  </si>
  <si>
    <t>Book Recall</t>
  </si>
  <si>
    <t>Dead Fall</t>
  </si>
  <si>
    <t>Heal Others</t>
  </si>
  <si>
    <t>varies</t>
  </si>
  <si>
    <t>Gives others additional recovery tests</t>
  </si>
  <si>
    <t>Detect Trap</t>
  </si>
  <si>
    <t>Spell Design</t>
  </si>
  <si>
    <t>Artisan Skill, Singing</t>
  </si>
  <si>
    <t>Hibernate</t>
  </si>
  <si>
    <t>Temerature Attack</t>
  </si>
  <si>
    <t>May use temperature as an attack against cold or fire based creatures; does damage for 2 rounds</t>
  </si>
  <si>
    <t>Buckle Deck</t>
  </si>
  <si>
    <t>EDC2 28</t>
  </si>
  <si>
    <t>Diplomacy</t>
  </si>
  <si>
    <t>Elemental Tongues</t>
  </si>
  <si>
    <t>Air Whisper</t>
  </si>
  <si>
    <t>Speak to another elementalist using the speech of air elementals</t>
  </si>
  <si>
    <t>Call Animal Companion</t>
  </si>
  <si>
    <t>Disarm</t>
  </si>
  <si>
    <t>ED 100</t>
  </si>
  <si>
    <t>Disarm Mechanical Trap</t>
  </si>
  <si>
    <t>Unshakeable Earth</t>
  </si>
  <si>
    <t>Solid Footing</t>
  </si>
  <si>
    <t>Lock Pick</t>
  </si>
  <si>
    <t>Death Strike</t>
  </si>
  <si>
    <t>Spec</t>
  </si>
  <si>
    <t>Mapmaking</t>
  </si>
  <si>
    <t>May heal wounds instead of damage</t>
  </si>
  <si>
    <t>Cyclone</t>
  </si>
  <si>
    <t>Bardic Lore</t>
  </si>
  <si>
    <t>EDC2 27</t>
  </si>
  <si>
    <t>Bardic Voice</t>
  </si>
  <si>
    <t>Cathay PL 84</t>
  </si>
  <si>
    <t>Forced Spellcasting</t>
  </si>
  <si>
    <t>3 per thread</t>
  </si>
  <si>
    <t>Allows all threads of a spell to be woven and the casting test in one round</t>
  </si>
  <si>
    <t>Allows the orbiting spy to be hidden in astral space and thus invisible</t>
  </si>
  <si>
    <t>Detect Falsehood</t>
  </si>
  <si>
    <t>Mimic Voice</t>
  </si>
  <si>
    <t>Orbiting Watcher</t>
  </si>
  <si>
    <t>Keeps spy watching a particular place, item, or being for duration of talent</t>
  </si>
  <si>
    <t>Increases the dispel difficulty to the caster's circle instead of the spell's</t>
  </si>
  <si>
    <t>Casting Pattern</t>
  </si>
  <si>
    <t>Emotion Song</t>
  </si>
  <si>
    <t>Maintain Spell Threads</t>
  </si>
  <si>
    <t>Allows the magician to hold woven threads and delay spellcasting</t>
  </si>
  <si>
    <t>Signature Spells</t>
  </si>
  <si>
    <t>Allows a magician to alter but not eliminate the cosmetic effects of his spells</t>
  </si>
  <si>
    <t>Spirit Strike</t>
  </si>
  <si>
    <t>Venom</t>
  </si>
  <si>
    <t>Web Astral</t>
  </si>
  <si>
    <t>Karma on a recovery test</t>
  </si>
  <si>
    <t xml:space="preserve">  </t>
  </si>
  <si>
    <t>Karma on strength tests</t>
  </si>
  <si>
    <t>Karma on willpower tests</t>
  </si>
  <si>
    <t>The elementalist may choose what type of elemental provides safe path information</t>
  </si>
  <si>
    <t>Etiquette</t>
  </si>
  <si>
    <t>Anchored Spell</t>
  </si>
  <si>
    <t>Creates a spell ward</t>
  </si>
  <si>
    <t>Evaluate</t>
  </si>
  <si>
    <t>Spell Stacking</t>
  </si>
  <si>
    <t>Allows the cavalryman to dismount and attack in same round</t>
  </si>
  <si>
    <t>EDC 25</t>
  </si>
  <si>
    <t>Called Shot</t>
  </si>
  <si>
    <t>Feinting Retreat</t>
  </si>
  <si>
    <t>Adds Trick Riding rank to next attack</t>
  </si>
  <si>
    <t>Cast Net</t>
  </si>
  <si>
    <t>T'Skrang</t>
  </si>
  <si>
    <t>Charge</t>
  </si>
  <si>
    <t>Artisan Skill, Cooking</t>
  </si>
  <si>
    <t>Archer</t>
  </si>
  <si>
    <t>Flame Arrow</t>
  </si>
  <si>
    <t>Fire Arrow</t>
  </si>
  <si>
    <t>+2 Steps damage</t>
  </si>
  <si>
    <t>Animal Slumber</t>
  </si>
  <si>
    <t>Cathay PL 80</t>
  </si>
  <si>
    <t>Beastlord</t>
  </si>
  <si>
    <t>Artisan Skill, Craftsman</t>
  </si>
  <si>
    <t>Call Arrow</t>
  </si>
  <si>
    <t>Allows the adept to spur his mount to make a great leap over an obstacle</t>
  </si>
  <si>
    <t>Blade Dance</t>
  </si>
  <si>
    <t>Cathay PL 81</t>
  </si>
  <si>
    <t>Mountain Hoof</t>
  </si>
  <si>
    <t>2/rd</t>
  </si>
  <si>
    <t>Allows riding up 60 degree slopes</t>
  </si>
  <si>
    <t>Troubadour</t>
  </si>
  <si>
    <t>Climbing</t>
  </si>
  <si>
    <t>Ride-by Shot</t>
  </si>
  <si>
    <t>Commune</t>
  </si>
  <si>
    <t>Cathay PL 82</t>
  </si>
  <si>
    <t>1 Wound</t>
  </si>
  <si>
    <t>Forge Blade</t>
  </si>
  <si>
    <t>Glamour</t>
  </si>
  <si>
    <t>Sustained Glamour</t>
  </si>
  <si>
    <t>2/minute</t>
  </si>
  <si>
    <t>Sustain glamour without concentrating</t>
  </si>
  <si>
    <t>Creates illusion of gaping wound if spell attack causes a wound</t>
  </si>
  <si>
    <t>Thief</t>
  </si>
  <si>
    <t>Graceful Exit</t>
  </si>
  <si>
    <t>Mark is only seen astrally</t>
  </si>
  <si>
    <t>Purifier</t>
  </si>
  <si>
    <t>Adept's mount may walk along walls or ceilings for 1 round</t>
  </si>
  <si>
    <t>ED 99</t>
  </si>
  <si>
    <t>Conversation</t>
  </si>
  <si>
    <t>Daughter of Heaven</t>
  </si>
  <si>
    <t>Counteract</t>
  </si>
  <si>
    <t>Snake Milking</t>
  </si>
  <si>
    <t>Illusionist gets 2nd deadfall at 2 strain/target to convince any disbelief that he is incapacitated</t>
  </si>
  <si>
    <t>Convincing Speech</t>
  </si>
  <si>
    <t>MOL2 62</t>
  </si>
  <si>
    <t>Guhvuul</t>
  </si>
  <si>
    <t>Barrier of the Righteous</t>
  </si>
  <si>
    <t>Changes path to circle Talent rank X 4 yards diameter circle</t>
  </si>
  <si>
    <t>Body Control</t>
  </si>
  <si>
    <t>D2 114</t>
  </si>
  <si>
    <t>Affects two targets, on good+ result, the illusionist may leave the banter to the targets</t>
  </si>
  <si>
    <t>Counterstrike</t>
  </si>
  <si>
    <t>Hiding</t>
  </si>
  <si>
    <t>Uses talent to shield a location rather than a group of people</t>
  </si>
  <si>
    <t>Bold Speech</t>
  </si>
  <si>
    <t>MOL2 15</t>
  </si>
  <si>
    <t>Craftsman</t>
  </si>
  <si>
    <t>Fire Heal</t>
  </si>
  <si>
    <t>Horrors</t>
  </si>
  <si>
    <t>4 Torches</t>
  </si>
  <si>
    <t>Den 1</t>
  </si>
  <si>
    <t>Denizens 1</t>
  </si>
  <si>
    <t>Lantern</t>
  </si>
  <si>
    <t>Den 2</t>
  </si>
  <si>
    <t>Denizens 2</t>
  </si>
  <si>
    <t>Week of Trail Rations</t>
  </si>
  <si>
    <t>AW</t>
  </si>
  <si>
    <t>Adept's Way</t>
  </si>
  <si>
    <t>Grappling Hook</t>
  </si>
  <si>
    <t>SSB</t>
  </si>
  <si>
    <t>Far Speaking</t>
  </si>
  <si>
    <t>Doubles range of bow for one attack (may not use with eagle eye)</t>
  </si>
  <si>
    <t>Assess Community</t>
  </si>
  <si>
    <t>Merchant</t>
  </si>
  <si>
    <t>Karma on charisma or willpower only actions</t>
  </si>
  <si>
    <t>Strength of Sky power</t>
  </si>
  <si>
    <t>Air Legs</t>
  </si>
  <si>
    <t>Use instead of knockdown tests while on airships</t>
  </si>
  <si>
    <t>Vertical Jump</t>
  </si>
  <si>
    <t>Allows vertical jump of one-half the test result in feet</t>
  </si>
  <si>
    <t>Matched Weapons</t>
  </si>
  <si>
    <t>Allows two weapons of equal size to be wielded with the second weapon talent</t>
  </si>
  <si>
    <t>Assault</t>
  </si>
  <si>
    <t>Adept replaces one physical attribute step with that of the animal instead of gaining a power</t>
  </si>
  <si>
    <t>The adept deepens and the adept heals a wound instead of damage</t>
  </si>
  <si>
    <t>Astral Pocket</t>
  </si>
  <si>
    <t>Nethermancer, Sorceror</t>
  </si>
  <si>
    <t>Artisan Skill, Storytelling</t>
  </si>
  <si>
    <t>Inherited Powers</t>
  </si>
  <si>
    <t>Inherited Strength</t>
  </si>
  <si>
    <t>Allows the elementalist to give ground while using the unshakeable earth talent</t>
  </si>
  <si>
    <t>Call Mount</t>
  </si>
  <si>
    <t>EDC 27</t>
  </si>
  <si>
    <t>Disguise</t>
  </si>
  <si>
    <t>May use air speaking with any character</t>
  </si>
  <si>
    <t>[See Called Shot]</t>
  </si>
  <si>
    <t>Allows the beastmaster to transfer a wound from an animal to himself</t>
  </si>
  <si>
    <t>Cathay PL 101</t>
  </si>
  <si>
    <t>Artisan Skill, Acting</t>
  </si>
  <si>
    <t>Second Weapon Parry</t>
  </si>
  <si>
    <t>Down Strike</t>
  </si>
  <si>
    <t>Increased Dispel Difficulty</t>
  </si>
  <si>
    <t>Blade Juggle</t>
  </si>
  <si>
    <t>Cavalryman</t>
  </si>
  <si>
    <t>Trick Riding</t>
  </si>
  <si>
    <t>Swift Hoof</t>
  </si>
  <si>
    <t>1/rd</t>
  </si>
  <si>
    <t>+5/+10 to movement</t>
  </si>
  <si>
    <t>Bear Mark</t>
  </si>
  <si>
    <t>Enduring Art</t>
  </si>
  <si>
    <t>Name Spell</t>
  </si>
  <si>
    <t>Allows magicians to cast Named Spells (i.e. permanent)</t>
  </si>
  <si>
    <t>Engaging Banter</t>
  </si>
  <si>
    <t>Allows cavalryman to locate mount; good success =  direction; excellent success = distance</t>
  </si>
  <si>
    <t>Beast Summons</t>
  </si>
  <si>
    <t>Block and Counter</t>
  </si>
  <si>
    <t>Blood Share</t>
  </si>
  <si>
    <t>Allows cavalryman to transfer wounds from mount to self</t>
  </si>
  <si>
    <t>Berserker</t>
  </si>
  <si>
    <t>Custom</t>
  </si>
  <si>
    <t>Special</t>
  </si>
  <si>
    <t>Bribery</t>
  </si>
  <si>
    <t>Dismount</t>
  </si>
  <si>
    <t>Conceal Bow</t>
  </si>
  <si>
    <t>May conceal a bow no larger than the adept's one-hand weapon size</t>
  </si>
  <si>
    <t>ED 97</t>
  </si>
  <si>
    <t>Read &amp; Write Language</t>
  </si>
  <si>
    <t>Circle Bonuses</t>
  </si>
  <si>
    <t>Initiative</t>
  </si>
  <si>
    <t xml:space="preserve">Recovery </t>
  </si>
  <si>
    <t>Phys Def</t>
  </si>
  <si>
    <t>Spell Def</t>
  </si>
  <si>
    <t>May use to cut ropes, carve wood, etc.  +2 Steps to climbing tests</t>
  </si>
  <si>
    <t>Karma on dexterity and charisma tests</t>
  </si>
  <si>
    <t>Death Claw power</t>
  </si>
  <si>
    <t>Thread Sight</t>
  </si>
  <si>
    <t>All Disciplines</t>
  </si>
  <si>
    <t>Allows study of an object's true pattern including key knowledges</t>
  </si>
  <si>
    <t>Claw Tool</t>
  </si>
  <si>
    <t>+2</t>
  </si>
  <si>
    <t>Animal Talk</t>
  </si>
  <si>
    <t>Artisan Skill, Craft Armor</t>
  </si>
  <si>
    <t>Sprint</t>
  </si>
  <si>
    <t>Hurdle</t>
  </si>
  <si>
    <t>Make leaps vertical yards one half of sprint rank, lose those yards off horizontal movement</t>
  </si>
  <si>
    <t>Artisan Skill, Craft Weapon</t>
  </si>
  <si>
    <t>Bank Shot</t>
  </si>
  <si>
    <t>Back Biter</t>
  </si>
  <si>
    <t>Allows richochet into back</t>
  </si>
  <si>
    <t>Animate Object</t>
  </si>
  <si>
    <t>Sorceror</t>
  </si>
  <si>
    <t>Direction Arror</t>
  </si>
  <si>
    <t>Send Arrow</t>
  </si>
  <si>
    <t>Using call arrow at -2, send the called arrows where the archer chooses</t>
  </si>
  <si>
    <t>Allows adept to split movement when using missle weapons from a mount</t>
  </si>
  <si>
    <t>Blind Fire</t>
  </si>
  <si>
    <t>EDC 26</t>
  </si>
  <si>
    <t>Close In</t>
  </si>
  <si>
    <t>Air Lance</t>
  </si>
  <si>
    <t>Creates lance of air or adds +3 to lance damage</t>
  </si>
  <si>
    <t>Cold Purify</t>
  </si>
  <si>
    <t>Spirit Mount</t>
  </si>
  <si>
    <t>Water Mount</t>
  </si>
  <si>
    <t>Spirit Mount runs on water</t>
  </si>
  <si>
    <t>Confuse Writings</t>
  </si>
  <si>
    <t>Gliding</t>
  </si>
  <si>
    <t>Gaping Wound</t>
  </si>
  <si>
    <t>Craft Armor</t>
  </si>
  <si>
    <t>Path of the Righteous</t>
  </si>
  <si>
    <t>Artisan Skill, Mapmaking</t>
  </si>
  <si>
    <t>Mystic Aim</t>
  </si>
  <si>
    <t>Invisible Mark</t>
  </si>
  <si>
    <t>Armored Fetish</t>
  </si>
  <si>
    <t>Great Leap</t>
  </si>
  <si>
    <t>Maneuver</t>
  </si>
  <si>
    <t>Riposte</t>
  </si>
  <si>
    <t>Wind Catcher</t>
  </si>
  <si>
    <t>Craft Weapon</t>
  </si>
  <si>
    <t>Shield of the Innocent</t>
  </si>
  <si>
    <t>Shield Location</t>
  </si>
  <si>
    <t>Shaman</t>
  </si>
  <si>
    <t>Artisan Skill, Poetry</t>
  </si>
  <si>
    <t>Eagle Eye</t>
  </si>
  <si>
    <t>Eagle Vision</t>
  </si>
  <si>
    <t>Allows distance perception test with bonus equal to half the Eagle Eye rank</t>
  </si>
  <si>
    <t>Armored Matrix</t>
  </si>
  <si>
    <t>EDC 24</t>
  </si>
  <si>
    <t>Artisan Skill, Runic Carving</t>
  </si>
  <si>
    <t>Explosive Flame Arrow</t>
  </si>
  <si>
    <t>+4</t>
  </si>
  <si>
    <t>Fireball in Flame Arrow rank X yards</t>
  </si>
  <si>
    <t>Arrow Catcher</t>
  </si>
  <si>
    <t>Artisan Skill, Sculpting</t>
  </si>
  <si>
    <t>Extend Range</t>
  </si>
  <si>
    <t>Vitality</t>
  </si>
  <si>
    <t>Matrix Strike</t>
  </si>
  <si>
    <t>Second Chance</t>
  </si>
  <si>
    <t>Quickblade</t>
  </si>
  <si>
    <t>Second Attack</t>
  </si>
  <si>
    <t>Life Check</t>
  </si>
  <si>
    <t>True Shot</t>
  </si>
  <si>
    <t>Karma on dexterity only actions</t>
  </si>
  <si>
    <t>Karma on melee weapon damage</t>
  </si>
  <si>
    <t>1080/540</t>
  </si>
  <si>
    <t>21500/43000</t>
  </si>
  <si>
    <t>3D20+3D10+3D8+2D6</t>
  </si>
  <si>
    <t>Threadweaving</t>
  </si>
  <si>
    <t>1100/550</t>
  </si>
  <si>
    <t>22000/44000</t>
  </si>
  <si>
    <t>3D20+3D10+4D8+D6</t>
  </si>
  <si>
    <t>Mid-size Light Quartz</t>
  </si>
  <si>
    <t>ESG</t>
  </si>
  <si>
    <t>ED Survival Guide</t>
  </si>
  <si>
    <t>Secret Societies</t>
  </si>
  <si>
    <t>Hooded Lantern</t>
  </si>
  <si>
    <t>LED</t>
  </si>
  <si>
    <t>Legends of ED</t>
  </si>
  <si>
    <t>Granlin Horse</t>
  </si>
  <si>
    <t>BOE</t>
  </si>
  <si>
    <t>Book of Exploration</t>
  </si>
  <si>
    <t>Allows 2 step increase to firepower of airship</t>
  </si>
  <si>
    <t>Bounce</t>
  </si>
  <si>
    <t>Reduces falling damage by his avoid blow rank</t>
  </si>
  <si>
    <t>Glide</t>
  </si>
  <si>
    <t>Allows gliding as the k'stulaami gliding skill</t>
  </si>
  <si>
    <t>Avoid Spell</t>
  </si>
  <si>
    <t>Allows dodging of visible combat spells</t>
  </si>
  <si>
    <t>Step Modifier</t>
  </si>
  <si>
    <t>Skill Use</t>
  </si>
  <si>
    <t>Barsaive Box Set</t>
  </si>
  <si>
    <t>Restrictions</t>
  </si>
  <si>
    <t xml:space="preserve"> All Disciplines</t>
  </si>
  <si>
    <t>Absorb Blow</t>
  </si>
  <si>
    <t>ED 98</t>
  </si>
  <si>
    <t>Artisan Skill, Tattooing</t>
  </si>
  <si>
    <t>EDC 44</t>
  </si>
  <si>
    <t>Artisan Skill, Wardrobe and Style</t>
  </si>
  <si>
    <t>Find Animal Companion</t>
  </si>
  <si>
    <t>Allows the beastmaster to locate any animal that is is bonded with</t>
  </si>
  <si>
    <t>Aura Armor</t>
  </si>
  <si>
    <t>Artist, Painting</t>
  </si>
  <si>
    <t>Allows the elementalist to cause discomfort to an elemental while using elemental hold</t>
  </si>
  <si>
    <t>Calm Beast</t>
  </si>
  <si>
    <t>Doom Circle</t>
  </si>
  <si>
    <t>Distract</t>
  </si>
  <si>
    <t>Elemental Hold</t>
  </si>
  <si>
    <t>Compelling Hold</t>
  </si>
  <si>
    <t>Artist, Sculpting</t>
  </si>
  <si>
    <t>Heal Animal Servant</t>
  </si>
  <si>
    <t>Wound Share</t>
  </si>
  <si>
    <t>Blind Fighting</t>
  </si>
  <si>
    <t>MOL1 13</t>
  </si>
  <si>
    <t>Locate Mount</t>
  </si>
  <si>
    <t>Guardian of Cathay</t>
  </si>
  <si>
    <t>Arcane Mutterings</t>
  </si>
  <si>
    <t>Ambush</t>
  </si>
  <si>
    <t>War Rider</t>
  </si>
  <si>
    <t>Claw Frenzy</t>
  </si>
  <si>
    <t>Sense Poison</t>
  </si>
  <si>
    <t>Skills:</t>
  </si>
  <si>
    <t>Lion Heart</t>
  </si>
  <si>
    <t>Allows a second parry when wielding two weapons</t>
  </si>
  <si>
    <t>Artisan Skill, Artist</t>
  </si>
  <si>
    <t>Animal Companion Durability</t>
  </si>
  <si>
    <t>Artisan Skill, Basket Weaving</t>
  </si>
  <si>
    <t>EDC 23</t>
  </si>
  <si>
    <t>Artisan Skill, Carving</t>
  </si>
  <si>
    <t>Any</t>
  </si>
  <si>
    <t>Conceal Object</t>
  </si>
  <si>
    <t>Bestial Toughness</t>
  </si>
  <si>
    <t>Howl</t>
  </si>
  <si>
    <t>Animal Leadership</t>
  </si>
  <si>
    <t>Lion Spirit</t>
  </si>
  <si>
    <t>Develop Anim Sense</t>
  </si>
  <si>
    <t>Tame Mount</t>
  </si>
  <si>
    <t>Bestial Resilience</t>
  </si>
  <si>
    <t>Chameleon</t>
  </si>
  <si>
    <t>Pin</t>
  </si>
  <si>
    <t>Shield Beater</t>
  </si>
  <si>
    <t>Echo Location</t>
  </si>
  <si>
    <t>4D20+6D10+4D8</t>
  </si>
  <si>
    <t>1620/810</t>
  </si>
  <si>
    <t>35000/70000</t>
  </si>
  <si>
    <t>Skills</t>
  </si>
  <si>
    <t>Skill Step</t>
  </si>
  <si>
    <t xml:space="preserve">Speak Language </t>
  </si>
  <si>
    <t>Pick one!</t>
  </si>
  <si>
    <t>Knowledge Skill</t>
  </si>
  <si>
    <t>Creature Lore</t>
  </si>
  <si>
    <t>Plant Lore</t>
  </si>
  <si>
    <t>Artisan, Body Painting</t>
  </si>
  <si>
    <t>Other</t>
  </si>
  <si>
    <t>1st Discipline Combat Summary</t>
  </si>
  <si>
    <t>Combined Discipline Combat Summary</t>
  </si>
  <si>
    <t xml:space="preserve"> #Attacks</t>
  </si>
  <si>
    <t xml:space="preserve"> Attack Step</t>
  </si>
  <si>
    <t xml:space="preserve"> Damage</t>
  </si>
  <si>
    <t xml:space="preserve"> #Spells</t>
  </si>
  <si>
    <t xml:space="preserve"> Spellcasting</t>
  </si>
  <si>
    <t>Unarmed</t>
  </si>
  <si>
    <t>Karma On Attacks</t>
  </si>
  <si>
    <t>Creature Remains</t>
  </si>
  <si>
    <t>Allows identification of creatures by trace evidence such as their lairs or victims</t>
  </si>
  <si>
    <t>Braiding Threads</t>
  </si>
  <si>
    <t>Allows multiple threads to be attached to a magic item</t>
  </si>
  <si>
    <t>Talent Linking</t>
  </si>
  <si>
    <t>Arrow moves towards the direction of the target at the archer's combat movement</t>
  </si>
  <si>
    <t>Cat's Skill</t>
  </si>
  <si>
    <t>+1</t>
  </si>
  <si>
    <t>Use Cat's Paw step in place of dexterity step when climbing, jumping, balancing</t>
  </si>
  <si>
    <t>Unraveling</t>
  </si>
  <si>
    <t>2+</t>
  </si>
  <si>
    <t>Allows 'dispelling' by unraveling a spell's threads</t>
  </si>
  <si>
    <t>Tracking Direction Arrow</t>
  </si>
  <si>
    <t>Artisan Skill, Dance</t>
  </si>
  <si>
    <t>Block Spell</t>
  </si>
  <si>
    <t>Air Mount</t>
  </si>
  <si>
    <t>Spirit Mount may fly while carrying the Cavalryman</t>
  </si>
  <si>
    <t>Blood Guilt Weapon</t>
  </si>
  <si>
    <t>Conceal Weapon</t>
  </si>
  <si>
    <t>Artisan Skill, Embroidery/Needlepoint</t>
  </si>
  <si>
    <t>Spirit Flame</t>
  </si>
  <si>
    <t>On Good or better attack, target resists with Mystic Armor only</t>
  </si>
  <si>
    <t>Sorceror, Wizard</t>
  </si>
  <si>
    <t>Prevents a target from spreading disease or poison that is part of its normal biological functions</t>
  </si>
  <si>
    <t>Body Blade</t>
  </si>
  <si>
    <t>Armor Piercer</t>
  </si>
  <si>
    <t>EDC2 26</t>
  </si>
  <si>
    <t>Artisan Skill, Music</t>
  </si>
  <si>
    <t>Mystic True Shot</t>
  </si>
  <si>
    <t>Allows mystic aim to be used with true shot</t>
  </si>
  <si>
    <t>Obsidian Ring from Obsidiman Brotherhood of Sandstone Rock of Tylon Mountains</t>
  </si>
  <si>
    <t>ED</t>
  </si>
  <si>
    <t>Throwing Weapons</t>
  </si>
  <si>
    <t>Air Dance</t>
  </si>
  <si>
    <t>Second Weapon</t>
  </si>
  <si>
    <t>Momentum Attack</t>
  </si>
  <si>
    <t>Taunt</t>
  </si>
  <si>
    <t>Missile Weapons</t>
  </si>
  <si>
    <t>Speak Lanquage</t>
  </si>
  <si>
    <t>Anticipate Blow</t>
  </si>
  <si>
    <t>Crushing Blow</t>
  </si>
  <si>
    <t>Critical Hit</t>
  </si>
  <si>
    <t>Wound Balance</t>
  </si>
  <si>
    <t>Weapon Breaker</t>
  </si>
  <si>
    <t>Resist Taunt</t>
  </si>
  <si>
    <t>Journal (group thread item)</t>
  </si>
  <si>
    <t>MMMS</t>
  </si>
  <si>
    <t>Mystic Secrets</t>
  </si>
  <si>
    <t>Death Cheat</t>
  </si>
  <si>
    <t>AMB</t>
  </si>
  <si>
    <t>Arcane Mysteries</t>
  </si>
  <si>
    <t>Utility Knife</t>
  </si>
  <si>
    <t>CB</t>
  </si>
  <si>
    <t>Creatures</t>
  </si>
  <si>
    <t>Rope 50'</t>
  </si>
  <si>
    <t>H</t>
  </si>
  <si>
    <t>You are able to go up a circle!</t>
  </si>
  <si>
    <t>Missile Attack Test</t>
  </si>
  <si>
    <t>1060/530</t>
  </si>
  <si>
    <t>21000/42000</t>
  </si>
  <si>
    <t>3D20+D12+3D10+3D8</t>
  </si>
  <si>
    <t>Mage</t>
  </si>
  <si>
    <t>Circle Advancement Resuts Non-Mage</t>
  </si>
  <si>
    <t>Damage Test</t>
  </si>
  <si>
    <t>3D20+4D10+4D8</t>
  </si>
  <si>
    <t>Notes:</t>
  </si>
  <si>
    <t>1160/580</t>
  </si>
  <si>
    <t>23500/47000</t>
  </si>
  <si>
    <t>3D20+5D10+3D8</t>
  </si>
  <si>
    <t>Darksword Medallion To hit or damage: Step 34.</t>
  </si>
  <si>
    <t>1180/590</t>
  </si>
  <si>
    <t>24000/48000</t>
  </si>
  <si>
    <t>Par</t>
  </si>
  <si>
    <t>Parlainth</t>
  </si>
  <si>
    <t>Large Light Quartz</t>
  </si>
  <si>
    <t>SR</t>
  </si>
  <si>
    <t>Serpent River</t>
  </si>
  <si>
    <t>BW</t>
  </si>
  <si>
    <t>Blood Wood</t>
  </si>
  <si>
    <t>THR</t>
  </si>
  <si>
    <t>Throal</t>
  </si>
  <si>
    <t>The</t>
  </si>
  <si>
    <t>Theran Empire</t>
  </si>
  <si>
    <t>CF</t>
  </si>
  <si>
    <t>Cara Fahd</t>
  </si>
  <si>
    <t>CR</t>
  </si>
  <si>
    <t>Crystal Raiders</t>
  </si>
  <si>
    <t>EJ (number)</t>
  </si>
  <si>
    <t>ED Journal vol x</t>
  </si>
  <si>
    <t>Bar</t>
  </si>
  <si>
    <t>Knack</t>
  </si>
  <si>
    <t>Abate Curse</t>
  </si>
  <si>
    <t>ED 96</t>
  </si>
  <si>
    <t>Weaponsmith</t>
  </si>
  <si>
    <t>In Matrix #</t>
  </si>
  <si>
    <t>Threads</t>
  </si>
  <si>
    <t>Weaving Diff</t>
  </si>
  <si>
    <t>Range</t>
  </si>
  <si>
    <t>Duration</t>
  </si>
  <si>
    <t>Spells, Circle 2</t>
  </si>
  <si>
    <t>Spells, Circle 3</t>
  </si>
  <si>
    <t>Spells, Circle 4</t>
  </si>
  <si>
    <t>Spells, Circle 5</t>
  </si>
  <si>
    <t>Spells, Circle 6</t>
  </si>
  <si>
    <t>Cathay PL 79</t>
  </si>
  <si>
    <t>Pugilist</t>
  </si>
  <si>
    <t>Acrobatics</t>
  </si>
  <si>
    <t>Absorb Spell</t>
  </si>
  <si>
    <t>Scholar</t>
  </si>
  <si>
    <t>Acting</t>
  </si>
  <si>
    <t>Accept Blow</t>
  </si>
  <si>
    <t>MOL1 62</t>
  </si>
  <si>
    <t>None</t>
  </si>
  <si>
    <t>Aid of Ages</t>
  </si>
  <si>
    <t>Bargain With Summoned Creature</t>
  </si>
  <si>
    <t>Battle Bellow</t>
  </si>
  <si>
    <t>Battle Shout</t>
  </si>
  <si>
    <t>Calm Stampede</t>
  </si>
  <si>
    <t>Calm and disperse a stampede</t>
  </si>
  <si>
    <t>Sky Raider</t>
  </si>
  <si>
    <t>Animal Handling</t>
  </si>
  <si>
    <t>Weapon Toss</t>
  </si>
  <si>
    <t>Target 11; may toss weapon in the air to free hands for an action and then catch the weapon next round</t>
  </si>
  <si>
    <t>H 109</t>
  </si>
  <si>
    <t>Cat's Paw</t>
  </si>
  <si>
    <t>Frighten Animal Servants</t>
  </si>
  <si>
    <t>Heal Animal Serv</t>
  </si>
  <si>
    <t>Incite Stampede</t>
  </si>
  <si>
    <t>Endure Cold</t>
  </si>
  <si>
    <t>Lizard Leap</t>
  </si>
  <si>
    <t>1500/750</t>
  </si>
  <si>
    <t>32000/64000</t>
  </si>
  <si>
    <t>4D20+D12+4D10+4D8</t>
  </si>
  <si>
    <t>1520/760</t>
  </si>
  <si>
    <t>Poison Resistance</t>
  </si>
  <si>
    <t>Artisan, Sculpture</t>
  </si>
  <si>
    <t>Animal Possession</t>
  </si>
  <si>
    <t>Artisan, Wood Carving</t>
  </si>
  <si>
    <t>1560/780</t>
  </si>
  <si>
    <t>33500/67000</t>
  </si>
  <si>
    <t>4D20+5D10+4D8+D6</t>
  </si>
  <si>
    <t>1580/790</t>
  </si>
  <si>
    <t>34000/68000</t>
  </si>
  <si>
    <t>4D20+5D10+5D8</t>
  </si>
  <si>
    <t>1600/800</t>
  </si>
  <si>
    <t>34500/69000</t>
  </si>
  <si>
    <t>2D20+2D10+3D8</t>
  </si>
  <si>
    <t>Circle 13</t>
  </si>
  <si>
    <t>600/300</t>
  </si>
  <si>
    <t>9500/19000</t>
  </si>
  <si>
    <t>2D20+3D10+2D8</t>
  </si>
  <si>
    <t>Circle 14</t>
  </si>
  <si>
    <t>620/310</t>
  </si>
  <si>
    <t>10000/20000</t>
  </si>
  <si>
    <t>2D20+D12+2D10+2D8</t>
  </si>
  <si>
    <t>Circle 15</t>
  </si>
  <si>
    <t>640/320</t>
  </si>
  <si>
    <t>10500/21000</t>
  </si>
  <si>
    <t>2D20+2D10+2D8+2D6</t>
  </si>
  <si>
    <t>660/330</t>
  </si>
  <si>
    <t>11000/22000</t>
  </si>
  <si>
    <t>2D20+2D10+3D8+D6</t>
  </si>
  <si>
    <t>1st Disclipline</t>
  </si>
  <si>
    <t>Soc Def</t>
  </si>
  <si>
    <t>Air Sailor</t>
  </si>
  <si>
    <t xml:space="preserve"> 2nd Discipline</t>
  </si>
  <si>
    <t>2nd Disc Talents</t>
  </si>
  <si>
    <t>12000/24000</t>
  </si>
  <si>
    <t>2D20+3D10+3D8</t>
  </si>
  <si>
    <t>New Circle</t>
  </si>
  <si>
    <t>Talent # Min</t>
  </si>
  <si>
    <t>Min Rank</t>
  </si>
  <si>
    <t>Single Talent Circle</t>
  </si>
  <si>
    <t>Current Circle</t>
  </si>
  <si>
    <t>Talents Req</t>
  </si>
  <si>
    <t>Karma On Damage</t>
  </si>
  <si>
    <t>2nd Discipline Combat Summary</t>
  </si>
  <si>
    <t>2D20+4D10+2D8</t>
  </si>
  <si>
    <t>Karma On Spellcasting</t>
  </si>
  <si>
    <t>Thread Armor</t>
  </si>
  <si>
    <t>Thread Rank</t>
  </si>
  <si>
    <t>Max Rank</t>
  </si>
  <si>
    <t>Allows adepts to boost anothers talent step</t>
  </si>
  <si>
    <t>Thread Masking</t>
  </si>
  <si>
    <t>Increases difficulty of detecting the adepts threads</t>
  </si>
  <si>
    <t>Thread Cost</t>
  </si>
  <si>
    <t>Source Ref</t>
  </si>
  <si>
    <t>Phys Armor</t>
  </si>
  <si>
    <t>Myst Armor</t>
  </si>
  <si>
    <t>Other Powers</t>
  </si>
  <si>
    <t>Faerie Chainmail</t>
  </si>
  <si>
    <t>Thread Shield</t>
  </si>
  <si>
    <t>Thread Melee Weapon</t>
  </si>
  <si>
    <t>Damage</t>
  </si>
  <si>
    <t>Attack</t>
  </si>
  <si>
    <t>Thread Missile Weapon</t>
  </si>
  <si>
    <t>On a good or better success vs spell defense, works vs horrors</t>
  </si>
  <si>
    <t>Horror Analysis</t>
  </si>
  <si>
    <t>Artisan Skill, Entertainer</t>
  </si>
  <si>
    <t>Arrow Stop</t>
  </si>
  <si>
    <t>(2)</t>
  </si>
  <si>
    <t>Stops arrow just as hits target</t>
  </si>
  <si>
    <t>Armor Bypass</t>
  </si>
  <si>
    <t>Artisan Skill, Juggling</t>
  </si>
  <si>
    <t>Placed Shot</t>
  </si>
  <si>
    <t>Gives +3 steps to attack and damage, but phys def is also -3</t>
  </si>
  <si>
    <t>Armor Mount</t>
  </si>
  <si>
    <t>Allows tracking by scent</t>
  </si>
  <si>
    <t>Obsidimen may not be Air Sailors</t>
  </si>
  <si>
    <t>Acrobatic Strike</t>
  </si>
  <si>
    <t>Leafers may not be Air Sailors</t>
  </si>
  <si>
    <t>Air Sailing</t>
  </si>
  <si>
    <t>Ulk-men may not be Air Sailors</t>
  </si>
  <si>
    <t>Avoid Blow</t>
  </si>
  <si>
    <t>Equipment &amp; Possessions (List Item and Location)</t>
  </si>
  <si>
    <t>Source Key</t>
  </si>
  <si>
    <t>Espagra Cloak</t>
  </si>
  <si>
    <t>1000/500</t>
  </si>
  <si>
    <t>19500/39000</t>
  </si>
  <si>
    <t>3D20+3D10+3D8+D6</t>
  </si>
  <si>
    <t>ED Manual</t>
  </si>
  <si>
    <t>Red Tusk from White Rock Ork Tribe</t>
  </si>
  <si>
    <t>EDC</t>
  </si>
  <si>
    <t>ED Companion</t>
  </si>
  <si>
    <t>Melee Attack Test</t>
  </si>
  <si>
    <t>Ring of Accuracy</t>
  </si>
  <si>
    <t>1040/520</t>
  </si>
  <si>
    <t>20500/41000</t>
  </si>
  <si>
    <t>3D20+4D10+3D8</t>
  </si>
  <si>
    <t>Strain</t>
  </si>
  <si>
    <t>To Convert Step to Attribute</t>
  </si>
  <si>
    <t>90/45</t>
  </si>
  <si>
    <t>270/540</t>
  </si>
  <si>
    <t>D20+D8+D6</t>
  </si>
  <si>
    <t xml:space="preserve"> Armor </t>
  </si>
  <si>
    <t>Talent Rank Cost Table</t>
  </si>
  <si>
    <t>100/50</t>
  </si>
  <si>
    <t>315/630</t>
  </si>
  <si>
    <t>D20+D10+D6</t>
  </si>
  <si>
    <t>Defense Rating</t>
  </si>
  <si>
    <t>Damage Step</t>
  </si>
  <si>
    <t>Legendary Status Table</t>
  </si>
  <si>
    <t>Talent Rank</t>
  </si>
  <si>
    <t>Circle 1-4</t>
  </si>
  <si>
    <t>Total Cost</t>
  </si>
  <si>
    <t>Circle 5-8</t>
  </si>
  <si>
    <t>Spellcasting</t>
  </si>
  <si>
    <t>1120/560</t>
  </si>
  <si>
    <t>22500/45000</t>
  </si>
  <si>
    <t>3D20+4D10+3D8+D6</t>
  </si>
  <si>
    <t>LP Value w/Karma</t>
  </si>
  <si>
    <t>1140/570</t>
  </si>
  <si>
    <t>23000/46000</t>
  </si>
  <si>
    <t>500/1000</t>
  </si>
  <si>
    <t>D20+D12+D10</t>
  </si>
  <si>
    <t>140/70</t>
  </si>
  <si>
    <t>580/1160</t>
  </si>
  <si>
    <t>D20+D10+D8+D4</t>
  </si>
  <si>
    <t>150/75</t>
  </si>
  <si>
    <t>675/1350</t>
  </si>
  <si>
    <t>D20+D10+D8+D6</t>
  </si>
  <si>
    <t>160/80</t>
  </si>
  <si>
    <t>790/1580</t>
  </si>
  <si>
    <t>3D20+D12+4D10+3D8</t>
  </si>
  <si>
    <t>Woodblade damage: Step 43</t>
  </si>
  <si>
    <t>D20+2D10+D8</t>
  </si>
  <si>
    <t>180/90</t>
  </si>
  <si>
    <t>1075/2150</t>
  </si>
  <si>
    <t>Value</t>
  </si>
  <si>
    <t>Par Ad</t>
  </si>
  <si>
    <t>Not Available</t>
  </si>
  <si>
    <t>1200/600</t>
  </si>
  <si>
    <t>D20+D12+D10+D8</t>
  </si>
  <si>
    <t>Parlainth Adventures</t>
  </si>
  <si>
    <t>Spell Matrices</t>
  </si>
  <si>
    <t>Spells, Circle 1</t>
  </si>
  <si>
    <t>24500/49000</t>
  </si>
  <si>
    <t>4D20+3D10+3D8+D4</t>
  </si>
  <si>
    <t>Bladefury: Step 37</t>
  </si>
  <si>
    <t>1220/610</t>
  </si>
  <si>
    <t>25000/50000</t>
  </si>
  <si>
    <t>4D20+3D10+3D8+D6</t>
  </si>
  <si>
    <t>1240/620</t>
  </si>
  <si>
    <t>25500/51000</t>
  </si>
  <si>
    <t>4D20+3D10+4D8</t>
  </si>
  <si>
    <t>Other Talents</t>
  </si>
  <si>
    <t>1260/630</t>
  </si>
  <si>
    <t>26000/52000</t>
  </si>
  <si>
    <t>Spells, Circle 8</t>
  </si>
  <si>
    <t>Spells, Circle 9</t>
  </si>
  <si>
    <t>Spells, Circle 10</t>
  </si>
  <si>
    <t>Spells, Circle 11</t>
  </si>
  <si>
    <t>Spells, Circle 12</t>
  </si>
  <si>
    <t>Spells, Circle 7</t>
  </si>
  <si>
    <t>EDC2 25</t>
  </si>
  <si>
    <t>Alchemy</t>
  </si>
  <si>
    <t>Actrobatic Swing</t>
  </si>
  <si>
    <t>May make attacks while swinging from ropes, etc.</t>
  </si>
  <si>
    <t>Use the First Discipline's Spell Matrices for Both sets of spells.</t>
  </si>
  <si>
    <t>Talents</t>
  </si>
  <si>
    <t>Karma Ritual</t>
  </si>
  <si>
    <t>No</t>
  </si>
  <si>
    <t>Animal Bond</t>
  </si>
  <si>
    <t>Yes</t>
  </si>
  <si>
    <t>Claw Shape</t>
  </si>
  <si>
    <t>Dominate Beast</t>
  </si>
  <si>
    <t>Tracking</t>
  </si>
  <si>
    <t>Air Speaking</t>
  </si>
  <si>
    <t>Elementalist</t>
  </si>
  <si>
    <t>D1 113</t>
  </si>
  <si>
    <t>Cloud Sailing</t>
  </si>
  <si>
    <t>May hide an airship in a cloud formation</t>
  </si>
  <si>
    <t>Airs of Nobility</t>
  </si>
  <si>
    <t>Borrow Sense</t>
  </si>
  <si>
    <t>31500/63000</t>
  </si>
  <si>
    <t>4D20+5D10+4D8</t>
  </si>
  <si>
    <t>2nd Discipline</t>
  </si>
  <si>
    <t>7500/15000</t>
  </si>
  <si>
    <t>2D20+D12+2D10+D8</t>
  </si>
  <si>
    <t>Circle 10</t>
  </si>
  <si>
    <t>540/270</t>
  </si>
  <si>
    <t>32500/65000</t>
  </si>
  <si>
    <t>4D20+4D10+4D8+2D6</t>
  </si>
  <si>
    <t>1540/770</t>
  </si>
  <si>
    <t>33000/66000</t>
  </si>
  <si>
    <t>4D20+4D10+5D8+D6</t>
  </si>
  <si>
    <t>2D20+2D10+2D8+D6</t>
  </si>
  <si>
    <t>Circle 12</t>
  </si>
  <si>
    <t>580/290</t>
  </si>
  <si>
    <t>9000/18000</t>
  </si>
  <si>
    <t>40/85</t>
  </si>
  <si>
    <t>2D6</t>
  </si>
  <si>
    <t>Armor Rating</t>
  </si>
  <si>
    <t>Jubruq</t>
  </si>
  <si>
    <t>+2 all def ratings vs. Horrors</t>
  </si>
  <si>
    <t>-3 to all steps &lt;12 hours sleep</t>
  </si>
  <si>
    <t>Spent on Karma</t>
  </si>
  <si>
    <t>43/22</t>
  </si>
  <si>
    <t>50/100</t>
  </si>
  <si>
    <t>D8+D6</t>
  </si>
  <si>
    <t>Mystic Armor Rating</t>
  </si>
  <si>
    <t>Ki Mao</t>
  </si>
  <si>
    <t>Forest Camoflauge</t>
  </si>
  <si>
    <t>48/24</t>
  </si>
  <si>
    <t>60/115</t>
  </si>
  <si>
    <t>D10+D6</t>
  </si>
  <si>
    <t>Highest Damage Step</t>
  </si>
  <si>
    <t>Leafer</t>
  </si>
  <si>
    <t>680/340</t>
  </si>
  <si>
    <t>11500/23000</t>
  </si>
  <si>
    <t>2D20+3D10+2D8+D6</t>
  </si>
  <si>
    <t>Circle Advancement Table</t>
  </si>
  <si>
    <t>Circle Advancement Resuts Mage</t>
  </si>
  <si>
    <t>700/350</t>
  </si>
  <si>
    <t>Leafer Pods</t>
  </si>
  <si>
    <t>Flying Move</t>
  </si>
  <si>
    <t>50/25</t>
  </si>
  <si>
    <t>70/135</t>
  </si>
  <si>
    <t>D10+D8</t>
  </si>
  <si>
    <t>Death Rating</t>
  </si>
  <si>
    <t>Obsidiman</t>
  </si>
  <si>
    <t xml:space="preserve"> Physical Defense</t>
  </si>
  <si>
    <t>Single Talent Req</t>
  </si>
  <si>
    <t>720/360</t>
  </si>
  <si>
    <t>12500/25000</t>
  </si>
  <si>
    <t>Shaman Spells/Mage Spells</t>
  </si>
  <si>
    <t>Combat Mage (Use Wizard Spells)</t>
  </si>
  <si>
    <t>740/370</t>
  </si>
  <si>
    <t>54/27</t>
  </si>
  <si>
    <t>80/160</t>
  </si>
  <si>
    <t>2D10</t>
  </si>
  <si>
    <t>13000/26000</t>
  </si>
  <si>
    <t>2D20+D12+3D10+2D8</t>
  </si>
  <si>
    <t>Other:</t>
  </si>
  <si>
    <t>Physical</t>
  </si>
  <si>
    <t>Init Penalty</t>
  </si>
  <si>
    <t>Weapons</t>
  </si>
  <si>
    <t>Base Damage</t>
  </si>
  <si>
    <t>Bonuses</t>
  </si>
  <si>
    <t>Final Damage</t>
  </si>
  <si>
    <t>760/380</t>
  </si>
  <si>
    <t>13500/27000</t>
  </si>
  <si>
    <t>3D20+2D10+2D8+D4</t>
  </si>
  <si>
    <t>Troll Sword</t>
  </si>
  <si>
    <t>Thread Magic</t>
  </si>
  <si>
    <t>Powers Available</t>
  </si>
  <si>
    <t>Group Thread to Ngaroc, Spell Defense</t>
  </si>
  <si>
    <t>Group Thread to Physical Defense</t>
  </si>
  <si>
    <t>Group Thread to Spell Defense</t>
  </si>
  <si>
    <t>Share Sense</t>
  </si>
  <si>
    <t>Allows the beastmaster to share one of his senses and an animal's sense</t>
  </si>
  <si>
    <t>Air Tracking</t>
  </si>
  <si>
    <t>Effect</t>
  </si>
  <si>
    <t>Kelia's Antidote</t>
  </si>
  <si>
    <t>Kelia's Poultice</t>
  </si>
  <si>
    <t>Booster Potion</t>
  </si>
  <si>
    <t>Healing Potion</t>
  </si>
  <si>
    <t>Cure Disease Potion</t>
  </si>
  <si>
    <t>Last Chance Salve</t>
  </si>
  <si>
    <t>Blood Magic</t>
  </si>
  <si>
    <t>Depattern Rating</t>
  </si>
  <si>
    <t>Jubruq may not be Air Sailors</t>
  </si>
  <si>
    <t>Melee Weapons</t>
  </si>
  <si>
    <t>Jackalmen may not be Air Sailors</t>
  </si>
  <si>
    <t>Blood Elves may not be Air Sailors</t>
  </si>
  <si>
    <t>Money</t>
  </si>
  <si>
    <t>Copper</t>
  </si>
  <si>
    <t>Silver</t>
  </si>
  <si>
    <t>Gold</t>
  </si>
  <si>
    <t>Platinum</t>
  </si>
  <si>
    <t>Orichalcum</t>
  </si>
  <si>
    <t>Gems</t>
  </si>
  <si>
    <t>3D20+3D10+3D8+D4</t>
  </si>
  <si>
    <t>Racial Abilities/Traits:</t>
  </si>
  <si>
    <t>200/400</t>
  </si>
  <si>
    <t>D20+D12</t>
  </si>
  <si>
    <t>Attack,</t>
  </si>
  <si>
    <t>Windling</t>
  </si>
  <si>
    <t>Astral Sight</t>
  </si>
  <si>
    <t>Physical Armor</t>
  </si>
  <si>
    <t>1020/510</t>
  </si>
  <si>
    <t>20000/40000</t>
  </si>
  <si>
    <t>3D20+3D10+4D8</t>
  </si>
  <si>
    <t>Total</t>
  </si>
  <si>
    <t>Circle</t>
  </si>
  <si>
    <t>Rank</t>
  </si>
  <si>
    <t>Attrib Step</t>
  </si>
  <si>
    <t>Talent Step</t>
  </si>
  <si>
    <t>Action</t>
  </si>
  <si>
    <t>Discipline</t>
  </si>
  <si>
    <t>Karma</t>
  </si>
  <si>
    <t>Player</t>
  </si>
  <si>
    <t>Kirk</t>
  </si>
  <si>
    <t>Beastmaster</t>
  </si>
  <si>
    <t xml:space="preserve"> 1st Discipline</t>
  </si>
  <si>
    <t xml:space="preserve"> Legend Point Minimum</t>
  </si>
  <si>
    <t xml:space="preserve"> Karma Step</t>
  </si>
  <si>
    <t>NA</t>
  </si>
  <si>
    <t>Attribute</t>
  </si>
  <si>
    <t>Rating</t>
  </si>
  <si>
    <t>Step</t>
  </si>
  <si>
    <t>Defense</t>
  </si>
  <si>
    <t>Movement</t>
  </si>
  <si>
    <t>Carrying/</t>
  </si>
  <si>
    <t>Death</t>
  </si>
  <si>
    <t>Wound</t>
  </si>
  <si>
    <t>Unconcious</t>
  </si>
  <si>
    <t>Recovery</t>
  </si>
  <si>
    <t>Mystic</t>
  </si>
  <si>
    <t xml:space="preserve"> </t>
  </si>
  <si>
    <t>Action Dice</t>
  </si>
  <si>
    <t>Circle 9-12</t>
  </si>
  <si>
    <t>Circle 13-15</t>
  </si>
  <si>
    <t>110/55</t>
  </si>
  <si>
    <t>360/735</t>
  </si>
  <si>
    <t>D20+D10+D8</t>
  </si>
  <si>
    <t>120/60</t>
  </si>
  <si>
    <t>430/860</t>
  </si>
  <si>
    <t>D20+2D10</t>
  </si>
  <si>
    <t>130/65</t>
  </si>
  <si>
    <t>Success Level Table</t>
  </si>
  <si>
    <t>Character Name</t>
  </si>
  <si>
    <t>Aanver Blackhorn</t>
  </si>
  <si>
    <t xml:space="preserve"> Circle</t>
  </si>
  <si>
    <t xml:space="preserve"> Legendary Status</t>
  </si>
  <si>
    <t xml:space="preserve"> Karma Dice</t>
  </si>
  <si>
    <t>Dexterity</t>
  </si>
  <si>
    <t>D20+D10+2D8</t>
  </si>
  <si>
    <t>170/85</t>
  </si>
  <si>
    <t>920/1840</t>
  </si>
  <si>
    <t>Holds Matrix = to thread rank, +2 spellcasting, +2 willforce, +1 phys def</t>
  </si>
  <si>
    <t>Ratings</t>
  </si>
  <si>
    <t>Random Attribute Generator</t>
  </si>
  <si>
    <t>200/100</t>
  </si>
  <si>
    <t>1200/2500</t>
  </si>
  <si>
    <t>D20+D10+D8+2D6</t>
  </si>
  <si>
    <t>220/110</t>
  </si>
  <si>
    <t>1450/2900</t>
  </si>
  <si>
    <t>D20+D10+2D8+D6</t>
  </si>
  <si>
    <t>240/120</t>
  </si>
  <si>
    <t>1700/3400</t>
  </si>
  <si>
    <t>D20+2D10+D8+D6</t>
  </si>
  <si>
    <t>260/130</t>
  </si>
  <si>
    <t>2000/4000</t>
  </si>
  <si>
    <t>4D20+4D10+3D8</t>
  </si>
  <si>
    <t>Questor</t>
  </si>
  <si>
    <t>1280/640</t>
  </si>
  <si>
    <t>26500/53000</t>
  </si>
  <si>
    <t>4D20+D12+3D10+3D8</t>
  </si>
  <si>
    <t>Lightbearer</t>
  </si>
  <si>
    <t>1300/650</t>
  </si>
  <si>
    <t>27000/54000</t>
  </si>
  <si>
    <t>4D20+3D10+3D8+2D6</t>
  </si>
  <si>
    <t>Leadership</t>
  </si>
  <si>
    <t>Spells, Circle 13</t>
  </si>
  <si>
    <t>Spells, Circle 14</t>
  </si>
  <si>
    <t>Spells, Circle 15</t>
  </si>
  <si>
    <t>C</t>
  </si>
  <si>
    <t>Spells for Second Magic Using Discipline</t>
  </si>
  <si>
    <t>Attribute Pattern</t>
  </si>
  <si>
    <t>1360/680</t>
  </si>
  <si>
    <t>28500/57000</t>
  </si>
  <si>
    <t>4D20+4D10+4D8</t>
  </si>
  <si>
    <t>1380/690</t>
  </si>
  <si>
    <t>29000/58000</t>
  </si>
  <si>
    <t>4D20+5D10+3D8</t>
  </si>
  <si>
    <t>1400/700</t>
  </si>
  <si>
    <t>29500/59000</t>
  </si>
  <si>
    <t>4D20+D12+4D10+3D8</t>
  </si>
  <si>
    <t>Unarmed Combat</t>
  </si>
  <si>
    <t>Durability</t>
  </si>
  <si>
    <t>Animal Training</t>
  </si>
  <si>
    <t>Creature Analysis</t>
  </si>
  <si>
    <t>4D20+4D10+4D8+D4</t>
  </si>
  <si>
    <t>1440/720</t>
  </si>
  <si>
    <t>30500/61000</t>
  </si>
  <si>
    <t>4D20+4D10+4D8+D6</t>
  </si>
  <si>
    <t>1460/730</t>
  </si>
  <si>
    <t>31000/62000</t>
  </si>
  <si>
    <t>4D20+4D10+5D8</t>
  </si>
  <si>
    <t>Talent Knacks</t>
  </si>
  <si>
    <t>Description</t>
  </si>
  <si>
    <t>1480/740</t>
  </si>
  <si>
    <t>2D20+3D10+D8</t>
  </si>
  <si>
    <t>Circle 9</t>
  </si>
  <si>
    <t>520/260</t>
  </si>
  <si>
    <t xml:space="preserve"> Legend Point Value</t>
  </si>
  <si>
    <t xml:space="preserve"> Max Karma</t>
  </si>
  <si>
    <t>25/13</t>
  </si>
  <si>
    <t xml:space="preserve"> 10/20</t>
  </si>
  <si>
    <t>8000/16000</t>
  </si>
  <si>
    <t>2D20+2D10+2D8+D4</t>
  </si>
  <si>
    <t>Circle 11</t>
  </si>
  <si>
    <t>560/280</t>
  </si>
  <si>
    <t>8500/17000</t>
  </si>
  <si>
    <t>Pain Resistance</t>
  </si>
  <si>
    <t>Blood Wood Longing</t>
  </si>
  <si>
    <t>-1 Grade on Interaction Tests</t>
  </si>
  <si>
    <t xml:space="preserve"> Start Karma</t>
  </si>
  <si>
    <t>28/14</t>
  </si>
  <si>
    <t>15/30</t>
  </si>
  <si>
    <t>D4</t>
  </si>
  <si>
    <t>Social Defense</t>
  </si>
  <si>
    <t>Dwarf</t>
  </si>
  <si>
    <t>Heat-sight 250 yards</t>
  </si>
  <si>
    <t>Attributes</t>
  </si>
  <si>
    <t>Original</t>
  </si>
  <si>
    <t>Racial Mod</t>
  </si>
  <si>
    <t>Additions</t>
  </si>
  <si>
    <t>Current</t>
  </si>
  <si>
    <t xml:space="preserve"> Current Karma</t>
  </si>
  <si>
    <t>30/15</t>
  </si>
  <si>
    <t>20/40</t>
  </si>
  <si>
    <t>D6</t>
  </si>
  <si>
    <t>Attack Rating</t>
  </si>
  <si>
    <t>Elf</t>
  </si>
  <si>
    <t>is</t>
  </si>
  <si>
    <t>Low-light Vision</t>
  </si>
  <si>
    <t>32/16</t>
  </si>
  <si>
    <t>Willforce</t>
  </si>
  <si>
    <t>Immune to Wound step penalties</t>
  </si>
  <si>
    <t>Root 7 hours daily or no recovery</t>
  </si>
  <si>
    <t>Temperature sensitivity</t>
  </si>
  <si>
    <t>No blood magic</t>
  </si>
  <si>
    <t>35/18</t>
  </si>
  <si>
    <t>30/65</t>
  </si>
  <si>
    <t>D10</t>
  </si>
  <si>
    <t>Spellcasting Rating</t>
  </si>
  <si>
    <t>Human</t>
  </si>
  <si>
    <t>Versatility Talent</t>
  </si>
  <si>
    <t>38/19</t>
  </si>
  <si>
    <t>35/75</t>
  </si>
  <si>
    <t>D12</t>
  </si>
  <si>
    <t>Number of Spells</t>
  </si>
  <si>
    <t>Jackalman</t>
  </si>
  <si>
    <t>Bite Attack (+4 Steps Damage)</t>
  </si>
  <si>
    <t>Characteristics</t>
  </si>
  <si>
    <t>40/20</t>
  </si>
  <si>
    <t>+13 to interaction, see text</t>
  </si>
  <si>
    <t>Healer Spells</t>
  </si>
  <si>
    <t>Total Legend Points</t>
  </si>
  <si>
    <t>Ork</t>
  </si>
  <si>
    <t xml:space="preserve"> Spell Defense</t>
  </si>
  <si>
    <t xml:space="preserve"> Wound Threshold</t>
  </si>
  <si>
    <t xml:space="preserve"> with Shield</t>
  </si>
  <si>
    <t>Carrying/Lifting Capacity</t>
  </si>
  <si>
    <t>57/29</t>
  </si>
  <si>
    <t>90/185</t>
  </si>
  <si>
    <t>D12+D10</t>
  </si>
  <si>
    <t>Po Na</t>
  </si>
  <si>
    <t>Prehensile Tail</t>
  </si>
  <si>
    <t>780/390</t>
  </si>
  <si>
    <t>14000/28000</t>
  </si>
  <si>
    <t>3D20+2D10+2D8+D6</t>
  </si>
  <si>
    <t>Spear</t>
  </si>
  <si>
    <t>800/400</t>
  </si>
  <si>
    <t>14500/29000</t>
  </si>
  <si>
    <t>3D20+2D10+3D8</t>
  </si>
  <si>
    <t>Item/Thread Bonus Summary</t>
  </si>
  <si>
    <t>Mace</t>
  </si>
  <si>
    <t>820/410</t>
  </si>
  <si>
    <t>15000/30000</t>
  </si>
  <si>
    <t>Group Thread to Wound Threshhold</t>
  </si>
  <si>
    <t>Lightning-bolt Earrings</t>
  </si>
  <si>
    <t>(Included in Dex &amp; Initiative steps)</t>
  </si>
  <si>
    <t>Potions &amp; Alchemy</t>
  </si>
  <si>
    <t>Group 1, Ngaroc 3</t>
  </si>
  <si>
    <t>Light Crossbow</t>
  </si>
  <si>
    <t>860/430</t>
  </si>
  <si>
    <t>16000/32000</t>
  </si>
  <si>
    <t>3D20+2D10+2D8+2D6</t>
  </si>
  <si>
    <t>Group</t>
  </si>
  <si>
    <t>Hawk Hatchet</t>
  </si>
  <si>
    <t>880/440</t>
  </si>
  <si>
    <t>16500/33000</t>
  </si>
  <si>
    <t>Blood Peace Oath</t>
  </si>
  <si>
    <t>Non-Thread Magic Items</t>
  </si>
  <si>
    <t>17000/34000</t>
  </si>
  <si>
    <t>3D20+3D10+2D8+D6</t>
  </si>
  <si>
    <t>920/460</t>
  </si>
  <si>
    <t>17500/35000</t>
  </si>
  <si>
    <t>3D20+3D10+3D8</t>
  </si>
  <si>
    <t>940/470</t>
  </si>
  <si>
    <t>18000/36000</t>
  </si>
  <si>
    <t>3D20+4D10+2D8</t>
  </si>
  <si>
    <t>960/480</t>
  </si>
  <si>
    <t>18500/37000</t>
  </si>
  <si>
    <t>3D20+D12+3D10+2D8</t>
  </si>
  <si>
    <t>980/490</t>
  </si>
  <si>
    <t>19000/38000</t>
  </si>
  <si>
    <t xml:space="preserve"> Base Physical Armor</t>
  </si>
  <si>
    <t>Mystic Armor</t>
  </si>
  <si>
    <t>80/40</t>
  </si>
  <si>
    <t>+3 to Survival tests used to find water</t>
  </si>
  <si>
    <t>85/42</t>
  </si>
  <si>
    <t>230/460</t>
  </si>
  <si>
    <t>D20+2D6</t>
  </si>
  <si>
    <t xml:space="preserve"> Spellcasting,</t>
  </si>
  <si>
    <t>1st Disc Talents</t>
  </si>
  <si>
    <t>+1 on Combat Dmg tests</t>
  </si>
  <si>
    <t>+6 on Strength tests except Dmg and Knkdwn</t>
  </si>
  <si>
    <t>+2 on Combat Dmg tests</t>
  </si>
  <si>
    <t>Wield weapons 1 size larger, see text</t>
  </si>
  <si>
    <t>+2 to Strength Attribute</t>
  </si>
  <si>
    <t>Halt Illness Potion</t>
  </si>
  <si>
    <t>Stops a disease's progression for 8 hours (damage and other effects taken before ingestion remain)</t>
  </si>
  <si>
    <t>Howl of the Wolf</t>
  </si>
  <si>
    <t>Weapons with small light quartz crystals embedded in the hilt.</t>
  </si>
  <si>
    <t>Legend Points</t>
  </si>
  <si>
    <t>Karma Table</t>
  </si>
  <si>
    <t>Racial Modifier Table</t>
  </si>
  <si>
    <t>Maximum</t>
  </si>
  <si>
    <t>Talent</t>
  </si>
  <si>
    <t>LP/wKarma</t>
  </si>
  <si>
    <t>Racial Characteristic Lookup Table</t>
  </si>
  <si>
    <t>Holds Matrix = to thread rank, +1 spellcasting, +1 willforce, +1 phys def</t>
  </si>
  <si>
    <t>Holds Matrix = to thread rank, +2 spellcasting, +1 willforce, +1 phys def</t>
  </si>
  <si>
    <t>+1 Stealth, Camo for 1 strain = +3 Stealth 10 minutes, see text</t>
  </si>
  <si>
    <t>Warhelm of Landis Redux</t>
  </si>
  <si>
    <t>+1 Soc Def</t>
  </si>
  <si>
    <t>Full/Combat</t>
  </si>
  <si>
    <t>Lifting</t>
  </si>
  <si>
    <t>Threshold</t>
  </si>
  <si>
    <t>Tests</t>
  </si>
  <si>
    <t>Armor</t>
  </si>
  <si>
    <t>D4-2</t>
  </si>
  <si>
    <t>Physical Defense</t>
  </si>
  <si>
    <t>Race</t>
  </si>
  <si>
    <t>Action Step</t>
  </si>
  <si>
    <t>LP Cost</t>
  </si>
  <si>
    <t>Start Karma</t>
  </si>
  <si>
    <t>Max Karma</t>
  </si>
  <si>
    <t>Strength</t>
  </si>
  <si>
    <t>Toughness</t>
  </si>
  <si>
    <t>D20+2D10+2D8</t>
  </si>
  <si>
    <t>280/140</t>
  </si>
  <si>
    <t>2300/4600</t>
  </si>
  <si>
    <t>D20+3D10+D8</t>
  </si>
  <si>
    <t>300/150</t>
  </si>
  <si>
    <t>2600/5200</t>
  </si>
  <si>
    <t>D20+D12+2D10+D8</t>
  </si>
  <si>
    <t>320/160</t>
  </si>
  <si>
    <t>3000/6000</t>
  </si>
  <si>
    <t>2D20+D10+D8+D4</t>
  </si>
  <si>
    <t>340/170</t>
  </si>
  <si>
    <t>3400/6800</t>
  </si>
  <si>
    <t>1320/660</t>
  </si>
  <si>
    <t>27500/55000</t>
  </si>
  <si>
    <t>4D20+3D10+4D8+D6</t>
  </si>
  <si>
    <t>Talent Pattern</t>
  </si>
  <si>
    <t>1340/670</t>
  </si>
  <si>
    <t>28000/56000</t>
  </si>
  <si>
    <t>4D20+4D10+3D8+D6</t>
  </si>
  <si>
    <t>2D20+2D10+D8</t>
  </si>
  <si>
    <t>Attribute Increase Table</t>
  </si>
  <si>
    <t>Skill Rank Cost Table</t>
  </si>
  <si>
    <t>Circle 3</t>
  </si>
  <si>
    <t>400/200</t>
  </si>
  <si>
    <t>4600/9200</t>
  </si>
  <si>
    <t>2D20+D12+D10+D8</t>
  </si>
  <si>
    <t>Increase</t>
  </si>
  <si>
    <t>1420/710</t>
  </si>
  <si>
    <t>30000/60000</t>
  </si>
  <si>
    <t>2D20+D10+D8+2D6</t>
  </si>
  <si>
    <t>Circle 5</t>
  </si>
  <si>
    <t>440/220</t>
  </si>
  <si>
    <t>5500/11000</t>
  </si>
  <si>
    <t>2D20+D10+2D8+D6</t>
  </si>
  <si>
    <t>Circle 6</t>
  </si>
  <si>
    <t>460/230</t>
  </si>
  <si>
    <t>6000/12000</t>
  </si>
  <si>
    <t>2D20+2D10+D8+D6</t>
  </si>
  <si>
    <t>Circle 7</t>
  </si>
  <si>
    <t>480/240</t>
  </si>
  <si>
    <t>6500/13000</t>
  </si>
  <si>
    <t>2D20+2D10+2D8</t>
  </si>
  <si>
    <t>Circle 8</t>
  </si>
  <si>
    <t>500/250</t>
  </si>
  <si>
    <t>7000/14000</t>
  </si>
  <si>
    <t>Race &amp; Gender</t>
  </si>
  <si>
    <t>Troll</t>
  </si>
  <si>
    <t>Male</t>
  </si>
  <si>
    <t>Half-Magic Step</t>
  </si>
  <si>
    <t>+1 to Avoid Blow</t>
  </si>
  <si>
    <t>+1 to Avoid Blow, +1 to Initiative</t>
  </si>
  <si>
    <t>1/2 days</t>
  </si>
  <si>
    <t>D4-1</t>
  </si>
  <si>
    <t>Spell Defense</t>
  </si>
  <si>
    <t>Blood Elf</t>
  </si>
  <si>
    <t>for an</t>
  </si>
  <si>
    <t>Low-Light Vision</t>
  </si>
  <si>
    <t>+2 to Avoid Blow, +2 to Initiative, +1 Phys Def, see text</t>
  </si>
  <si>
    <t>Metal Inquisitor</t>
  </si>
  <si>
    <t>+1 Spell Def</t>
  </si>
  <si>
    <t>+1 Spell Def, +1 Steel Thought</t>
  </si>
  <si>
    <t>+1 Spell Def, +1 Steel Thought, +1 Soc Def</t>
  </si>
  <si>
    <t>+1 Spell Def, +2 Steel Thought, +1 Soc Def</t>
  </si>
  <si>
    <t>+1 Spell Def, +3 Steel Thought, +1 Soc Def</t>
  </si>
  <si>
    <t>+1 Spell Def, +3 Steel Thought, +1 Soc Def, +3 to detect lies for 1 strain</t>
  </si>
  <si>
    <t>Pattern Item, Core</t>
  </si>
  <si>
    <t>ED 142</t>
  </si>
  <si>
    <t>EDC 50</t>
  </si>
  <si>
    <t>25/50</t>
  </si>
  <si>
    <t>D8</t>
  </si>
  <si>
    <t>Number of Attacks</t>
  </si>
  <si>
    <t>Gar</t>
  </si>
  <si>
    <t>**  5  **</t>
  </si>
  <si>
    <t>Current LP</t>
  </si>
  <si>
    <t>Total LP</t>
  </si>
  <si>
    <t>Unrequited Wave</t>
  </si>
  <si>
    <t>reform into other weapons - see text</t>
  </si>
  <si>
    <t>+1 to interaction, see text</t>
  </si>
  <si>
    <t>+2 to interaction, see text</t>
  </si>
  <si>
    <t>+3 to interaction, see text</t>
  </si>
  <si>
    <t>+4 to interaction, see text</t>
  </si>
  <si>
    <t>+5 to interaction, see text</t>
  </si>
  <si>
    <t>+6 to interaction, see text</t>
  </si>
  <si>
    <t>Songsmith Spells (Use Illusionist Spells)</t>
  </si>
  <si>
    <t>Wujen Warrior (use Elementalist Spells)</t>
  </si>
  <si>
    <t xml:space="preserve"> Death Rating</t>
  </si>
  <si>
    <t>Damage Taken</t>
  </si>
  <si>
    <t xml:space="preserve"> Armor Value</t>
  </si>
  <si>
    <t>Movement (Full/Combat)</t>
  </si>
  <si>
    <t xml:space="preserve"> Social Defense</t>
  </si>
  <si>
    <t xml:space="preserve"> Unconsciousness Rating</t>
  </si>
  <si>
    <t xml:space="preserve"> Mystic Value</t>
  </si>
  <si>
    <t>60/30</t>
  </si>
  <si>
    <t>105/210</t>
  </si>
  <si>
    <t>D20+D4</t>
  </si>
  <si>
    <t>Maximum Addition for an Attribute is 5</t>
  </si>
  <si>
    <t>Storm Child</t>
  </si>
  <si>
    <t>Lightning Born</t>
  </si>
  <si>
    <t xml:space="preserve"> Movement (Full/Combat)</t>
  </si>
  <si>
    <t>3D20+3D10+2D8</t>
  </si>
  <si>
    <t>*Enter Melee*</t>
  </si>
  <si>
    <t>Bonus</t>
  </si>
  <si>
    <t>Affects</t>
  </si>
  <si>
    <t>Source</t>
  </si>
  <si>
    <t>840/420</t>
  </si>
  <si>
    <t>15500/31000</t>
  </si>
  <si>
    <t>3D20+D12+2D10+2D8</t>
  </si>
  <si>
    <t>Tail Attack</t>
  </si>
  <si>
    <t>Swimming Skill (Rank+Str+3)</t>
  </si>
  <si>
    <t xml:space="preserve"> Flying Movement</t>
  </si>
  <si>
    <t xml:space="preserve"> Blood Magic</t>
  </si>
  <si>
    <t>Wounds</t>
  </si>
  <si>
    <t>Critical Hit On</t>
  </si>
  <si>
    <t>Unconciousness Rating</t>
  </si>
  <si>
    <t>3D20+2D10+3D8+D6</t>
  </si>
  <si>
    <t>Powers/Other</t>
  </si>
  <si>
    <t>900/450</t>
  </si>
  <si>
    <t xml:space="preserve"> Carrying/Lifting Capacity</t>
  </si>
  <si>
    <t xml:space="preserve"> Mystic Armor</t>
  </si>
  <si>
    <t xml:space="preserve"> Initiative</t>
  </si>
  <si>
    <t>Recovery Tests (per day)</t>
  </si>
  <si>
    <t>75/38</t>
  </si>
  <si>
    <t>165/310</t>
  </si>
  <si>
    <t>D20+D10</t>
  </si>
  <si>
    <t>Ulk-man</t>
  </si>
  <si>
    <t>Subject to spells/talents</t>
  </si>
  <si>
    <t>vs horrors/constructs</t>
  </si>
  <si>
    <t>Depatterning Rating</t>
  </si>
  <si>
    <t>+1 to Waterfall Slam</t>
  </si>
  <si>
    <t>+1 to Earth Skin</t>
  </si>
  <si>
    <t>+1 to Fire Heal</t>
  </si>
  <si>
    <t>+1 to Durability</t>
  </si>
  <si>
    <t>Keeps contents cold</t>
  </si>
  <si>
    <t>Divining Rod</t>
  </si>
  <si>
    <t>ED4 PL 312</t>
  </si>
  <si>
    <t>+2 phys def, +2 spell def, breathe underwater, +3 to Swimming</t>
  </si>
  <si>
    <t>Bracers of Obsidiman Strength</t>
  </si>
  <si>
    <t>+3 on Strength tests except Dmg and Knkdwn</t>
  </si>
  <si>
    <t>Conspicuous Smuggler</t>
  </si>
  <si>
    <t>+1 to Conceal Object</t>
  </si>
  <si>
    <t>+2 to Conceal Object</t>
  </si>
  <si>
    <t>+2 to Conceal Object, Change armor appearance &amp; +3 Disguise Self for 1 strain</t>
  </si>
  <si>
    <t>Poison Ivy</t>
  </si>
  <si>
    <t>+1 Stealth</t>
  </si>
  <si>
    <t>+1 Stealth, Camo for 1 strain = +3 Stealth 10 minutes</t>
  </si>
  <si>
    <t>Fastoon's Very Impressive Staff</t>
  </si>
  <si>
    <t>Holds Matrix = to thread rank</t>
  </si>
  <si>
    <t>Holds Matrix = to thread rank, +1 spellcasting</t>
  </si>
  <si>
    <t>Holds Matrix = to thread rank, +1 spellcasting, +1 phys def</t>
  </si>
  <si>
    <t>ED4 PL 336</t>
  </si>
  <si>
    <t>ED4 PL 359</t>
  </si>
  <si>
    <t>ED4 PL 290</t>
  </si>
  <si>
    <t>ED4 PL 361</t>
  </si>
  <si>
    <t>ED4 PL 292</t>
  </si>
  <si>
    <t>ED4 PL 293</t>
  </si>
  <si>
    <t>ED4 PL 279</t>
  </si>
  <si>
    <t>ED4 PL 352</t>
  </si>
  <si>
    <t>ED4 PL 282</t>
  </si>
  <si>
    <t>ED4 PL 331</t>
  </si>
  <si>
    <t>ED4 PL 356</t>
  </si>
  <si>
    <t>ED4 PL 339</t>
  </si>
  <si>
    <t>ED4 PL 315</t>
  </si>
  <si>
    <t>+2 Spellcasting OR Threadweaving OR +1 each, +1 Spell Def</t>
  </si>
  <si>
    <t>+1 Spell Def, +1 Soc Def</t>
  </si>
  <si>
    <t>Feral Bracers</t>
  </si>
  <si>
    <t>+1 Unarmed Combat</t>
  </si>
  <si>
    <t>+1 Unarmed Combat, +1 Claw Shape</t>
  </si>
  <si>
    <t>+1 Unarmed Combat, +2 Claw Shape</t>
  </si>
  <si>
    <t>+1 Unarmed Combat, +2 Claw Shape, +1 Phys Def</t>
  </si>
  <si>
    <t>+1 Unarmed Combat, +3 Claw Shape, +1 Phys Def</t>
  </si>
  <si>
    <t>+1 Unarmed Combat, +3 Claw Shape, +1 Phys Def, see text</t>
  </si>
  <si>
    <t>Orichalcum Container</t>
  </si>
  <si>
    <t>Small container holds up to 20 kernels of a True Element</t>
  </si>
  <si>
    <t>2D20+D10+D8+D6</t>
  </si>
  <si>
    <t>360/180</t>
  </si>
  <si>
    <t>3800/7600</t>
  </si>
  <si>
    <t>2D20+D10+2D8</t>
  </si>
  <si>
    <t>Circle 2</t>
  </si>
  <si>
    <t>380/190</t>
  </si>
  <si>
    <t>4200/8400</t>
  </si>
  <si>
    <t>+2 Swift Kick when used to head-butt</t>
  </si>
  <si>
    <t>+3 Swift Kick when used to head-butt</t>
  </si>
  <si>
    <t>+3 Swift Kick when used to head-butt, +2 impress/intimidate thru toughness</t>
  </si>
  <si>
    <t>Cost</t>
  </si>
  <si>
    <t>Skill</t>
  </si>
  <si>
    <t>Circle 4</t>
  </si>
  <si>
    <t>420/210</t>
  </si>
  <si>
    <t>5000/10000</t>
  </si>
  <si>
    <t>Perception</t>
  </si>
  <si>
    <t>Willpower</t>
  </si>
  <si>
    <t>Charisma</t>
  </si>
  <si>
    <t>Addition</t>
  </si>
  <si>
    <t>Modifiers</t>
  </si>
  <si>
    <t>Attribute Min/Max</t>
  </si>
  <si>
    <t>Trait</t>
  </si>
  <si>
    <t xml:space="preserve"> Karma Cost</t>
  </si>
  <si>
    <t>Difficulty #</t>
  </si>
  <si>
    <t>Poor</t>
  </si>
  <si>
    <t>Average</t>
  </si>
  <si>
    <t>Good</t>
  </si>
  <si>
    <t>Excellent</t>
  </si>
  <si>
    <t>Extraordinary</t>
  </si>
  <si>
    <t>holds a matrix, +1 Spellcasting and Effect for spell in matrix</t>
  </si>
  <si>
    <t>+3 Swift Kick  &amp; +2 dmg when used to head-butt, +2 impress/intimidate thru toughness</t>
  </si>
  <si>
    <t>+3 Swift Kick  &amp; +4 dmg when used to head-butt, +2 impress/intimidate thru toughness</t>
  </si>
  <si>
    <t>Lightning-bolt Earring</t>
  </si>
  <si>
    <t>9'</t>
    <phoneticPr fontId="6" type="noConversion"/>
  </si>
  <si>
    <t>White</t>
    <phoneticPr fontId="6" type="noConversion"/>
  </si>
  <si>
    <t>+1 Spell Def, +1 Soc Def, +2 Interaction tests</t>
  </si>
  <si>
    <t>+1 Spell Def, +2 Soc Def, +2 Interaction tests</t>
  </si>
  <si>
    <t>Elemental Long Spear</t>
  </si>
  <si>
    <t>Thread Warbow</t>
  </si>
  <si>
    <t>Purifier Redux</t>
  </si>
  <si>
    <t>+4 damage vs horrors/constructs</t>
  </si>
  <si>
    <t>+4 damage vs horrors/constructs, Corruption's Brand power, see text</t>
  </si>
  <si>
    <t>+8 damage vs horrors/constructs, Corruption's Brand power, see text</t>
  </si>
  <si>
    <t>+1 to Avoid Blow, +1 to Initiative, +1 Phys Def</t>
  </si>
  <si>
    <t>+2 to Avoid Blow, +1 to Initiative, +1 Phys Def</t>
  </si>
  <si>
    <t>+2 to Avoid Blow, +2 to Initiative, +1 Phys Def</t>
  </si>
  <si>
    <t>holds a matrix, +2 Spellcasting and Effect for spell in matrix</t>
  </si>
  <si>
    <t>holds a matrix, +2 Spellcasting and Effect for spell in matrix, see text</t>
  </si>
  <si>
    <t>holds an enhanced matrix, +2 Spellcasting and Effect for spell in matrix, see text</t>
  </si>
  <si>
    <t>Thorn Man Spear</t>
  </si>
  <si>
    <t>+14 to interaction, see text</t>
  </si>
  <si>
    <t>+15 to interaction, see text</t>
  </si>
  <si>
    <t>Pattern Item, Major</t>
  </si>
  <si>
    <t>Pattern Item, Minor</t>
  </si>
  <si>
    <t>Seven League Striders</t>
  </si>
  <si>
    <t>+22/10 Movement Rate</t>
  </si>
  <si>
    <t>+20/10 Movement Rate, +1 Phys Def</t>
  </si>
  <si>
    <t>+40/20 Movement Rate, +1 Phys Def</t>
  </si>
  <si>
    <t>+40/20 Movement Rate, +2 Phys Def</t>
  </si>
  <si>
    <t>Seven League Striders, Improved</t>
  </si>
  <si>
    <t>+40/20 Movement Rate, +2 Phys Def, +3 Great Leap for 1 strain</t>
  </si>
  <si>
    <t xml:space="preserve"> Recovery Tests (per day)</t>
  </si>
  <si>
    <t>Wound Threshold</t>
  </si>
  <si>
    <t>65/33</t>
  </si>
  <si>
    <t>125/250</t>
  </si>
  <si>
    <t>D20+D6</t>
  </si>
  <si>
    <t>Circle:</t>
  </si>
  <si>
    <t>T'skrang</t>
  </si>
  <si>
    <t>Spell Matrix Object - Armored</t>
  </si>
  <si>
    <t>Gives an additional spell matrix at the thread rank</t>
  </si>
  <si>
    <t>Spell Matrix Object - Enhanced</t>
  </si>
  <si>
    <t>Spell Matrix Object - Share</t>
  </si>
  <si>
    <t>Spell Matrix Object - Standard</t>
  </si>
  <si>
    <t>+1 Spellcasting OR Threadweaving</t>
  </si>
  <si>
    <t>+2 Spellcasting OR Threadweaving OR +1 each</t>
  </si>
  <si>
    <t>70/35</t>
  </si>
  <si>
    <t>145/290</t>
  </si>
  <si>
    <t>D20+D8</t>
  </si>
  <si>
    <t>Band of the Elements</t>
  </si>
  <si>
    <t>+1 to Woodskin</t>
  </si>
  <si>
    <t>+1 to Air Dance</t>
  </si>
  <si>
    <t>User takes 1 pt dmg per round from spear thorns</t>
  </si>
  <si>
    <t>User takes 0 pt dmg per round from spear thorns</t>
  </si>
  <si>
    <t>Entangling Thorns power - see text, User takes 0 pt dmg per round from spear thorns</t>
  </si>
  <si>
    <t>Thorn Men Spear</t>
  </si>
  <si>
    <t>Thread Sword</t>
  </si>
  <si>
    <t>Crystal Lamp of Nivar Merek</t>
  </si>
  <si>
    <t xml:space="preserve">BOT6 52 </t>
  </si>
  <si>
    <t>Receive messages from twin lamp, see text</t>
  </si>
  <si>
    <t>Send messages to twin lamp, see text</t>
  </si>
  <si>
    <t>T'eleck's Saber</t>
  </si>
  <si>
    <t>BOT6 52</t>
  </si>
  <si>
    <t>Glowing runes, see text</t>
  </si>
  <si>
    <t>+40/20 Movement Rate, +2 Phys Def, +3 Great Leap for 1 strain, +2 to Dex Attribute</t>
  </si>
  <si>
    <t>+7 to interaction, see text</t>
  </si>
  <si>
    <t>+8 to interaction, see text</t>
  </si>
  <si>
    <t>+9 to interaction, see text</t>
  </si>
  <si>
    <t>+10 to interaction, see text</t>
  </si>
  <si>
    <t>+11 to interaction, see text</t>
  </si>
  <si>
    <t>+12 to interaction, see text</t>
  </si>
  <si>
    <t>ED4 PL 274</t>
  </si>
  <si>
    <t>ED4 PL 321</t>
  </si>
  <si>
    <t>ED4 PL 345</t>
  </si>
  <si>
    <t>ED4 PL 271</t>
  </si>
  <si>
    <t>ED4 PL 275</t>
  </si>
  <si>
    <t>ED4 PL 299</t>
  </si>
  <si>
    <t>ED4 PL 322</t>
  </si>
  <si>
    <t>ED4 PL 347</t>
  </si>
  <si>
    <t>ED4 PL 324</t>
  </si>
  <si>
    <t>ED4 PL 348</t>
  </si>
  <si>
    <t>ED4 PL 326</t>
  </si>
  <si>
    <t>ED4 PL 302</t>
  </si>
  <si>
    <t>ED4 PL 328</t>
  </si>
  <si>
    <t>ED4 PL 305</t>
  </si>
  <si>
    <t>ED4 PL 306</t>
  </si>
  <si>
    <t>ED4 PL 284</t>
  </si>
  <si>
    <t>ED4 PL 354</t>
  </si>
  <si>
    <t>ED4 PL 309</t>
  </si>
  <si>
    <t>ED4 PL 277</t>
  </si>
  <si>
    <t>ED4 PL 301</t>
  </si>
  <si>
    <t>ED4 PL 335</t>
  </si>
  <si>
    <t>ED4 PL 286</t>
  </si>
  <si>
    <t>Age:</t>
    <phoneticPr fontId="6" type="noConversion"/>
  </si>
  <si>
    <t>Born:</t>
    <phoneticPr fontId="6" type="noConversion"/>
  </si>
  <si>
    <t>Hair:</t>
    <phoneticPr fontId="6" type="noConversion"/>
  </si>
  <si>
    <t>Eyes:</t>
    <phoneticPr fontId="6" type="noConversion"/>
  </si>
  <si>
    <t>Height:</t>
    <phoneticPr fontId="6" type="noConversion"/>
  </si>
  <si>
    <t>Weight:</t>
    <phoneticPr fontId="6" type="noConversion"/>
  </si>
  <si>
    <t>Color:</t>
    <phoneticPr fontId="6" type="noConversion"/>
  </si>
  <si>
    <t>+2 Spellcasting OR Threadweaving OR +1 each, +2 Spell Def</t>
  </si>
  <si>
    <t>+2 Spellcasting OR Threadweaving OR +1 each, +2 Spell Def, +1 Mystic Arm</t>
  </si>
  <si>
    <t>+2 Spellcasting OR Threadweaving OR +1 each, +2 Spell Def, +1 Mystic Arm, +1 Karma test - see text</t>
  </si>
  <si>
    <t>Wand3</t>
  </si>
  <si>
    <t>+2 step to spellcasting, +1 step to threadweaving</t>
  </si>
  <si>
    <t>+2 step to spellcasting, +2 step to threadweaving</t>
  </si>
  <si>
    <t>8/24/1487</t>
    <phoneticPr fontId="6" type="noConversion"/>
  </si>
  <si>
    <t>+1 step to initiative for every point of strain taken.</t>
  </si>
  <si>
    <t>Kranguk's Interjection</t>
  </si>
  <si>
    <t>+1 Swift Kick when used to head-butt</t>
  </si>
  <si>
    <t>+8 damage vs horrors/constructs, Corruption's Brand power, Corruption's Price power, see text</t>
  </si>
  <si>
    <t>+10 damage vs horrors/constructs, Corruption's Brand power, Corruption's Price power, see text</t>
  </si>
  <si>
    <t>+1 Durability</t>
  </si>
  <si>
    <t>Spell Sword Redux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</si>
</sst>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Geneva"/>
    </font>
    <font>
      <b/>
      <sz val="10"/>
      <name val="Geneva"/>
    </font>
    <font>
      <sz val="10"/>
      <name val="Geneva"/>
    </font>
    <font>
      <b/>
      <sz val="10"/>
      <name val="Bookman"/>
    </font>
    <font>
      <sz val="10"/>
      <name val="Bookman"/>
    </font>
    <font>
      <sz val="10"/>
      <name val="Geneva"/>
    </font>
    <font>
      <sz val="8"/>
      <name val="Verdana"/>
    </font>
    <font>
      <u/>
      <sz val="10"/>
      <color indexed="12"/>
      <name val="Geneva"/>
    </font>
    <font>
      <u/>
      <sz val="10"/>
      <color indexed="61"/>
      <name val="Geneva"/>
    </font>
    <font>
      <b/>
      <sz val="10"/>
      <color indexed="10"/>
      <name val="Geneva"/>
    </font>
    <font>
      <sz val="10"/>
      <color indexed="10"/>
      <name val="Geneva"/>
    </font>
    <font>
      <b/>
      <sz val="10"/>
      <name val="Verdana"/>
    </font>
    <font>
      <sz val="10"/>
      <color indexed="56"/>
      <name val="Geneva"/>
    </font>
    <font>
      <sz val="10"/>
      <color indexed="8"/>
      <name val="Geneva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dashed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</cellStyleXfs>
  <cellXfs count="303">
    <xf numFmtId="0" fontId="0" fillId="0" borderId="0" xfId="0"/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/>
    <xf numFmtId="0" fontId="0" fillId="0" borderId="8" xfId="0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37" fontId="1" fillId="0" borderId="33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2" xfId="0" applyFont="1" applyBorder="1"/>
    <xf numFmtId="0" fontId="1" fillId="0" borderId="3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/>
    <xf numFmtId="0" fontId="2" fillId="0" borderId="0" xfId="0" applyFont="1" applyBorder="1"/>
    <xf numFmtId="0" fontId="2" fillId="0" borderId="26" xfId="0" applyFont="1" applyBorder="1"/>
    <xf numFmtId="0" fontId="2" fillId="0" borderId="33" xfId="0" applyFont="1" applyBorder="1" applyAlignment="1">
      <alignment horizontal="center"/>
    </xf>
    <xf numFmtId="0" fontId="1" fillId="0" borderId="31" xfId="0" applyFont="1" applyBorder="1"/>
    <xf numFmtId="0" fontId="1" fillId="0" borderId="24" xfId="0" applyFont="1" applyBorder="1" applyAlignment="1">
      <alignment horizontal="center"/>
    </xf>
    <xf numFmtId="0" fontId="1" fillId="0" borderId="0" xfId="0" applyFont="1" applyBorder="1"/>
    <xf numFmtId="0" fontId="1" fillId="0" borderId="24" xfId="0" applyFont="1" applyBorder="1"/>
    <xf numFmtId="0" fontId="2" fillId="0" borderId="25" xfId="0" applyFont="1" applyBorder="1"/>
    <xf numFmtId="0" fontId="2" fillId="0" borderId="33" xfId="0" applyFont="1" applyBorder="1"/>
    <xf numFmtId="0" fontId="2" fillId="0" borderId="33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33" xfId="0" applyFont="1" applyBorder="1"/>
    <xf numFmtId="0" fontId="4" fillId="0" borderId="33" xfId="0" applyFont="1" applyBorder="1" applyAlignment="1">
      <alignment horizontal="center"/>
    </xf>
    <xf numFmtId="0" fontId="4" fillId="0" borderId="33" xfId="0" quotePrefix="1" applyFont="1" applyBorder="1" applyAlignment="1">
      <alignment horizontal="center"/>
    </xf>
    <xf numFmtId="0" fontId="4" fillId="0" borderId="0" xfId="0" quotePrefix="1" applyFont="1" applyAlignment="1">
      <alignment horizontal="center"/>
    </xf>
    <xf numFmtId="0" fontId="4" fillId="0" borderId="0" xfId="0" quotePrefix="1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4" fillId="0" borderId="0" xfId="0" quotePrefix="1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23" xfId="0" applyFont="1" applyBorder="1" applyAlignment="1">
      <alignment horizontal="left"/>
    </xf>
    <xf numFmtId="0" fontId="2" fillId="0" borderId="0" xfId="0" quotePrefix="1" applyFont="1"/>
    <xf numFmtId="0" fontId="1" fillId="0" borderId="31" xfId="0" applyFont="1" applyBorder="1" applyAlignment="1"/>
    <xf numFmtId="0" fontId="1" fillId="0" borderId="31" xfId="0" applyFont="1" applyBorder="1" applyAlignment="1">
      <alignment horizontal="left"/>
    </xf>
    <xf numFmtId="0" fontId="1" fillId="0" borderId="0" xfId="0" applyFont="1" applyAlignment="1"/>
    <xf numFmtId="0" fontId="2" fillId="0" borderId="22" xfId="0" applyFont="1" applyBorder="1" applyAlignment="1">
      <alignment horizontal="left"/>
    </xf>
    <xf numFmtId="0" fontId="2" fillId="0" borderId="27" xfId="0" applyFont="1" applyBorder="1"/>
    <xf numFmtId="0" fontId="2" fillId="0" borderId="8" xfId="0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" fontId="2" fillId="0" borderId="0" xfId="0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0" xfId="0" quotePrefix="1" applyFont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2" fillId="0" borderId="15" xfId="0" applyNumberFormat="1" applyFont="1" applyBorder="1"/>
    <xf numFmtId="0" fontId="2" fillId="0" borderId="16" xfId="0" applyFont="1" applyBorder="1" applyAlignment="1">
      <alignment horizontal="center"/>
    </xf>
    <xf numFmtId="0" fontId="2" fillId="0" borderId="15" xfId="0" applyFont="1" applyBorder="1"/>
    <xf numFmtId="0" fontId="2" fillId="0" borderId="19" xfId="0" applyFont="1" applyBorder="1"/>
    <xf numFmtId="0" fontId="2" fillId="0" borderId="20" xfId="0" applyFont="1" applyBorder="1" applyAlignment="1">
      <alignment horizontal="center"/>
    </xf>
    <xf numFmtId="0" fontId="2" fillId="0" borderId="23" xfId="0" applyFont="1" applyBorder="1"/>
    <xf numFmtId="0" fontId="2" fillId="0" borderId="7" xfId="0" applyFont="1" applyBorder="1"/>
    <xf numFmtId="37" fontId="2" fillId="0" borderId="0" xfId="0" applyNumberFormat="1" applyFont="1" applyAlignment="1">
      <alignment horizontal="center"/>
    </xf>
    <xf numFmtId="37" fontId="2" fillId="0" borderId="33" xfId="0" applyNumberFormat="1" applyFont="1" applyBorder="1" applyAlignment="1">
      <alignment horizontal="center"/>
    </xf>
    <xf numFmtId="0" fontId="2" fillId="0" borderId="28" xfId="0" applyFont="1" applyBorder="1"/>
    <xf numFmtId="37" fontId="2" fillId="0" borderId="25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1" xfId="0" applyFont="1" applyBorder="1"/>
    <xf numFmtId="0" fontId="2" fillId="0" borderId="25" xfId="0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Border="1" applyAlignment="1"/>
    <xf numFmtId="0" fontId="2" fillId="0" borderId="27" xfId="0" applyFont="1" applyBorder="1" applyAlignment="1">
      <alignment horizontal="center"/>
    </xf>
    <xf numFmtId="0" fontId="5" fillId="0" borderId="0" xfId="0" applyFont="1"/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16" fontId="2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31" xfId="0" applyFont="1" applyBorder="1" applyAlignment="1"/>
    <xf numFmtId="3" fontId="2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0" fontId="2" fillId="0" borderId="31" xfId="0" applyFont="1" applyBorder="1" applyAlignment="1">
      <alignment horizontal="center"/>
    </xf>
    <xf numFmtId="0" fontId="2" fillId="0" borderId="0" xfId="0" quotePrefix="1" applyFont="1" applyAlignment="1"/>
    <xf numFmtId="0" fontId="2" fillId="0" borderId="33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31" xfId="0" applyFont="1" applyFill="1" applyBorder="1"/>
    <xf numFmtId="0" fontId="2" fillId="0" borderId="33" xfId="0" applyFont="1" applyFill="1" applyBorder="1"/>
    <xf numFmtId="0" fontId="2" fillId="0" borderId="24" xfId="0" applyFont="1" applyBorder="1" applyAlignment="1">
      <alignment horizontal="center"/>
    </xf>
    <xf numFmtId="0" fontId="2" fillId="0" borderId="0" xfId="0" quotePrefix="1" applyFont="1" applyBorder="1"/>
    <xf numFmtId="0" fontId="2" fillId="0" borderId="0" xfId="0" quotePrefix="1" applyFont="1" applyBorder="1" applyAlignment="1">
      <alignment horizontal="center"/>
    </xf>
    <xf numFmtId="0" fontId="2" fillId="0" borderId="0" xfId="0" quotePrefix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" fontId="2" fillId="0" borderId="0" xfId="0" quotePrefix="1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2" fillId="0" borderId="45" xfId="0" applyFont="1" applyBorder="1" applyAlignment="1">
      <alignment horizontal="center"/>
    </xf>
    <xf numFmtId="0" fontId="10" fillId="0" borderId="0" xfId="0" applyFont="1" applyBorder="1"/>
    <xf numFmtId="0" fontId="9" fillId="0" borderId="0" xfId="0" applyFont="1" applyBorder="1"/>
    <xf numFmtId="0" fontId="2" fillId="0" borderId="33" xfId="0" applyFont="1" applyBorder="1" applyAlignment="1"/>
    <xf numFmtId="0" fontId="10" fillId="0" borderId="36" xfId="0" applyFont="1" applyBorder="1"/>
    <xf numFmtId="0" fontId="9" fillId="0" borderId="36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/>
    <xf numFmtId="0" fontId="2" fillId="0" borderId="10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1" fillId="0" borderId="6" xfId="0" applyFont="1" applyBorder="1"/>
    <xf numFmtId="0" fontId="2" fillId="0" borderId="14" xfId="0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0" fontId="2" fillId="0" borderId="10" xfId="0" applyFont="1" applyBorder="1"/>
    <xf numFmtId="0" fontId="2" fillId="0" borderId="2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" fillId="0" borderId="30" xfId="0" applyFont="1" applyBorder="1"/>
    <xf numFmtId="0" fontId="1" fillId="0" borderId="3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4" xfId="0" applyFont="1" applyBorder="1"/>
    <xf numFmtId="0" fontId="2" fillId="0" borderId="35" xfId="0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32" xfId="0" applyFont="1" applyBorder="1"/>
    <xf numFmtId="0" fontId="2" fillId="0" borderId="6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8" xfId="0" applyFont="1" applyBorder="1"/>
    <xf numFmtId="0" fontId="2" fillId="0" borderId="39" xfId="0" applyFont="1" applyBorder="1"/>
    <xf numFmtId="0" fontId="2" fillId="0" borderId="42" xfId="0" applyFont="1" applyBorder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5" xfId="0" applyFont="1" applyBorder="1"/>
    <xf numFmtId="0" fontId="2" fillId="0" borderId="34" xfId="0" applyFont="1" applyBorder="1" applyAlignment="1">
      <alignment horizontal="center"/>
    </xf>
    <xf numFmtId="0" fontId="9" fillId="0" borderId="43" xfId="0" applyFont="1" applyBorder="1" applyAlignment="1">
      <alignment horizontal="left"/>
    </xf>
    <xf numFmtId="0" fontId="2" fillId="0" borderId="44" xfId="0" applyFont="1" applyBorder="1"/>
    <xf numFmtId="0" fontId="2" fillId="0" borderId="3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5" xfId="0" applyFont="1" applyBorder="1"/>
    <xf numFmtId="0" fontId="1" fillId="0" borderId="32" xfId="0" applyFont="1" applyBorder="1"/>
    <xf numFmtId="0" fontId="1" fillId="0" borderId="0" xfId="0" applyFont="1" applyFill="1" applyBorder="1"/>
    <xf numFmtId="0" fontId="2" fillId="0" borderId="10" xfId="0" applyFont="1" applyFill="1" applyBorder="1"/>
    <xf numFmtId="0" fontId="2" fillId="0" borderId="6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1" fillId="0" borderId="10" xfId="0" applyFont="1" applyFill="1" applyBorder="1"/>
    <xf numFmtId="0" fontId="2" fillId="0" borderId="38" xfId="0" applyFont="1" applyFill="1" applyBorder="1"/>
    <xf numFmtId="0" fontId="2" fillId="0" borderId="39" xfId="0" applyFont="1" applyFill="1" applyBorder="1"/>
    <xf numFmtId="0" fontId="2" fillId="0" borderId="39" xfId="0" applyFont="1" applyFill="1" applyBorder="1" applyAlignment="1">
      <alignment horizontal="center"/>
    </xf>
    <xf numFmtId="0" fontId="2" fillId="0" borderId="39" xfId="0" applyFont="1" applyFill="1" applyBorder="1" applyAlignment="1"/>
    <xf numFmtId="0" fontId="2" fillId="0" borderId="42" xfId="0" applyFont="1" applyFill="1" applyBorder="1"/>
    <xf numFmtId="0" fontId="1" fillId="0" borderId="31" xfId="0" applyFont="1" applyFill="1" applyBorder="1" applyAlignment="1">
      <alignment horizontal="center"/>
    </xf>
    <xf numFmtId="0" fontId="1" fillId="0" borderId="31" xfId="0" applyFont="1" applyFill="1" applyBorder="1"/>
    <xf numFmtId="0" fontId="2" fillId="0" borderId="33" xfId="0" applyFont="1" applyFill="1" applyBorder="1" applyAlignment="1"/>
    <xf numFmtId="0" fontId="1" fillId="0" borderId="33" xfId="0" applyFont="1" applyFill="1" applyBorder="1"/>
    <xf numFmtId="0" fontId="1" fillId="0" borderId="30" xfId="0" applyFont="1" applyFill="1" applyBorder="1"/>
    <xf numFmtId="0" fontId="2" fillId="0" borderId="32" xfId="0" applyFont="1" applyFill="1" applyBorder="1"/>
    <xf numFmtId="0" fontId="2" fillId="0" borderId="34" xfId="0" applyFont="1" applyFill="1" applyBorder="1"/>
    <xf numFmtId="0" fontId="2" fillId="0" borderId="35" xfId="0" applyFont="1" applyFill="1" applyBorder="1"/>
    <xf numFmtId="0" fontId="2" fillId="0" borderId="4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1" xfId="0" applyFont="1" applyBorder="1"/>
    <xf numFmtId="0" fontId="2" fillId="0" borderId="25" xfId="0" quotePrefix="1" applyFont="1" applyBorder="1" applyAlignment="1">
      <alignment horizontal="left"/>
    </xf>
    <xf numFmtId="0" fontId="1" fillId="0" borderId="23" xfId="0" applyFont="1" applyBorder="1"/>
    <xf numFmtId="0" fontId="2" fillId="0" borderId="25" xfId="0" quotePrefix="1" applyFont="1" applyBorder="1"/>
    <xf numFmtId="0" fontId="2" fillId="0" borderId="27" xfId="0" quotePrefix="1" applyFont="1" applyBorder="1" applyAlignment="1">
      <alignment horizontal="left"/>
    </xf>
    <xf numFmtId="0" fontId="0" fillId="0" borderId="0" xfId="0" applyAlignment="1"/>
    <xf numFmtId="0" fontId="2" fillId="0" borderId="25" xfId="0" applyFont="1" applyFill="1" applyBorder="1" applyAlignment="1"/>
    <xf numFmtId="0" fontId="2" fillId="0" borderId="11" xfId="0" applyFont="1" applyBorder="1" applyAlignment="1">
      <alignment horizontal="center"/>
    </xf>
    <xf numFmtId="0" fontId="5" fillId="0" borderId="11" xfId="0" applyFont="1" applyBorder="1"/>
    <xf numFmtId="0" fontId="5" fillId="0" borderId="28" xfId="0" applyFont="1" applyBorder="1"/>
    <xf numFmtId="0" fontId="1" fillId="0" borderId="25" xfId="0" applyFont="1" applyBorder="1" applyAlignment="1">
      <alignment horizontal="center"/>
    </xf>
    <xf numFmtId="0" fontId="2" fillId="0" borderId="25" xfId="0" applyFont="1" applyFill="1" applyBorder="1" applyAlignment="1">
      <alignment horizontal="left"/>
    </xf>
    <xf numFmtId="16" fontId="2" fillId="0" borderId="0" xfId="0" applyNumberFormat="1" applyFont="1" applyBorder="1" applyAlignment="1">
      <alignment horizontal="center"/>
    </xf>
    <xf numFmtId="0" fontId="2" fillId="0" borderId="0" xfId="0" quotePrefix="1" applyFont="1" applyFill="1" applyBorder="1" applyAlignment="1">
      <alignment horizontal="left"/>
    </xf>
    <xf numFmtId="0" fontId="3" fillId="0" borderId="0" xfId="0" applyFont="1"/>
    <xf numFmtId="0" fontId="3" fillId="0" borderId="33" xfId="0" applyFont="1" applyBorder="1"/>
    <xf numFmtId="0" fontId="3" fillId="0" borderId="0" xfId="0" applyFont="1" applyBorder="1"/>
    <xf numFmtId="0" fontId="11" fillId="0" borderId="0" xfId="0" applyFont="1"/>
    <xf numFmtId="0" fontId="0" fillId="0" borderId="0" xfId="0" applyFill="1"/>
    <xf numFmtId="0" fontId="0" fillId="0" borderId="24" xfId="0" applyFill="1" applyBorder="1"/>
    <xf numFmtId="0" fontId="0" fillId="0" borderId="24" xfId="0" applyBorder="1"/>
    <xf numFmtId="0" fontId="2" fillId="0" borderId="0" xfId="0" quotePrefix="1" applyFont="1" applyBorder="1" applyAlignment="1"/>
    <xf numFmtId="0" fontId="2" fillId="0" borderId="0" xfId="0" quotePrefix="1" applyFont="1" applyFill="1" applyBorder="1" applyAlignment="1"/>
    <xf numFmtId="0" fontId="0" fillId="0" borderId="0" xfId="0" quotePrefix="1" applyAlignment="1"/>
    <xf numFmtId="0" fontId="0" fillId="0" borderId="0" xfId="0" applyFont="1" applyBorder="1" applyAlignment="1"/>
    <xf numFmtId="0" fontId="0" fillId="0" borderId="0" xfId="0" applyFont="1" applyFill="1" applyBorder="1" applyAlignment="1"/>
    <xf numFmtId="0" fontId="2" fillId="0" borderId="0" xfId="0" quotePrefix="1" applyFont="1" applyFill="1" applyBorder="1"/>
    <xf numFmtId="0" fontId="2" fillId="0" borderId="22" xfId="0" applyFont="1" applyBorder="1"/>
    <xf numFmtId="0" fontId="2" fillId="0" borderId="23" xfId="0" quotePrefix="1" applyFont="1" applyBorder="1"/>
    <xf numFmtId="0" fontId="1" fillId="0" borderId="36" xfId="0" applyFont="1" applyBorder="1" applyAlignment="1"/>
    <xf numFmtId="0" fontId="2" fillId="0" borderId="36" xfId="0" applyFont="1" applyBorder="1"/>
    <xf numFmtId="0" fontId="1" fillId="0" borderId="33" xfId="0" applyFont="1" applyBorder="1" applyAlignment="1"/>
    <xf numFmtId="0" fontId="1" fillId="0" borderId="33" xfId="0" applyFont="1" applyBorder="1"/>
    <xf numFmtId="0" fontId="2" fillId="0" borderId="24" xfId="0" applyFont="1" applyBorder="1" applyAlignment="1"/>
    <xf numFmtId="0" fontId="2" fillId="0" borderId="33" xfId="0" quotePrefix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1" fillId="0" borderId="31" xfId="0" applyFont="1" applyFill="1" applyBorder="1" applyAlignment="1"/>
    <xf numFmtId="0" fontId="4" fillId="0" borderId="47" xfId="0" applyFont="1" applyBorder="1"/>
    <xf numFmtId="0" fontId="3" fillId="0" borderId="47" xfId="0" applyFont="1" applyBorder="1"/>
    <xf numFmtId="0" fontId="4" fillId="0" borderId="47" xfId="0" applyFont="1" applyBorder="1" applyAlignment="1">
      <alignment horizontal="center"/>
    </xf>
    <xf numFmtId="0" fontId="4" fillId="0" borderId="47" xfId="0" quotePrefix="1" applyFont="1" applyBorder="1" applyAlignment="1">
      <alignment horizontal="center"/>
    </xf>
    <xf numFmtId="0" fontId="12" fillId="0" borderId="24" xfId="0" applyFont="1" applyBorder="1"/>
    <xf numFmtId="0" fontId="2" fillId="0" borderId="24" xfId="0" applyFont="1" applyFill="1" applyBorder="1"/>
    <xf numFmtId="0" fontId="2" fillId="0" borderId="33" xfId="0" quotePrefix="1" applyFont="1" applyBorder="1" applyAlignment="1"/>
    <xf numFmtId="0" fontId="2" fillId="0" borderId="33" xfId="0" quotePrefix="1" applyFont="1" applyFill="1" applyBorder="1"/>
    <xf numFmtId="0" fontId="10" fillId="0" borderId="0" xfId="0" applyFont="1" applyAlignment="1"/>
    <xf numFmtId="0" fontId="0" fillId="0" borderId="0" xfId="0"/>
    <xf numFmtId="0" fontId="12" fillId="0" borderId="26" xfId="0" applyFont="1" applyBorder="1"/>
    <xf numFmtId="0" fontId="0" fillId="0" borderId="0" xfId="0" applyBorder="1"/>
    <xf numFmtId="0" fontId="9" fillId="0" borderId="0" xfId="0" applyFont="1" applyFill="1" applyBorder="1" applyAlignment="1"/>
    <xf numFmtId="0" fontId="9" fillId="0" borderId="0" xfId="0" applyFont="1" applyBorder="1" applyAlignment="1">
      <alignment horizontal="center"/>
    </xf>
    <xf numFmtId="0" fontId="0" fillId="0" borderId="2" xfId="0" applyBorder="1"/>
    <xf numFmtId="3" fontId="2" fillId="0" borderId="0" xfId="0" applyNumberFormat="1" applyFont="1" applyBorder="1"/>
    <xf numFmtId="0" fontId="2" fillId="2" borderId="6" xfId="0" applyFont="1" applyFill="1" applyBorder="1"/>
    <xf numFmtId="0" fontId="0" fillId="2" borderId="8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2" fillId="2" borderId="34" xfId="0" applyFont="1" applyFill="1" applyBorder="1"/>
    <xf numFmtId="0" fontId="2" fillId="2" borderId="33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0" borderId="6" xfId="0" quotePrefix="1" applyFont="1" applyBorder="1"/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2" fillId="2" borderId="10" xfId="0" applyFont="1" applyFill="1" applyBorder="1"/>
    <xf numFmtId="0" fontId="2" fillId="2" borderId="34" xfId="0" applyFont="1" applyFill="1" applyBorder="1" applyAlignment="1">
      <alignment horizontal="left"/>
    </xf>
    <xf numFmtId="0" fontId="2" fillId="2" borderId="33" xfId="0" applyFont="1" applyFill="1" applyBorder="1" applyAlignment="1"/>
    <xf numFmtId="0" fontId="2" fillId="2" borderId="33" xfId="0" applyFont="1" applyFill="1" applyBorder="1" applyAlignment="1">
      <alignment horizontal="left"/>
    </xf>
    <xf numFmtId="0" fontId="2" fillId="2" borderId="33" xfId="0" applyFont="1" applyFill="1" applyBorder="1"/>
    <xf numFmtId="0" fontId="2" fillId="2" borderId="35" xfId="0" applyFont="1" applyFill="1" applyBorder="1"/>
    <xf numFmtId="0" fontId="2" fillId="2" borderId="25" xfId="0" applyFont="1" applyFill="1" applyBorder="1" applyAlignment="1">
      <alignment horizontal="center"/>
    </xf>
    <xf numFmtId="0" fontId="2" fillId="2" borderId="38" xfId="0" applyFont="1" applyFill="1" applyBorder="1"/>
    <xf numFmtId="0" fontId="2" fillId="2" borderId="39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0" borderId="33" xfId="0" quotePrefix="1" applyFont="1" applyBorder="1"/>
    <xf numFmtId="3" fontId="2" fillId="0" borderId="2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2" fillId="0" borderId="24" xfId="0" quotePrefix="1" applyFont="1" applyBorder="1" applyAlignment="1">
      <alignment horizontal="left"/>
    </xf>
    <xf numFmtId="1" fontId="2" fillId="0" borderId="25" xfId="0" applyNumberFormat="1" applyFont="1" applyBorder="1" applyAlignment="1">
      <alignment horizontal="center"/>
    </xf>
    <xf numFmtId="0" fontId="2" fillId="0" borderId="25" xfId="0" applyFont="1" applyFill="1" applyBorder="1"/>
    <xf numFmtId="0" fontId="2" fillId="0" borderId="27" xfId="0" applyFont="1" applyFill="1" applyBorder="1"/>
    <xf numFmtId="0" fontId="1" fillId="2" borderId="34" xfId="0" applyFont="1" applyFill="1" applyBorder="1"/>
    <xf numFmtId="0" fontId="1" fillId="2" borderId="33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3" fontId="2" fillId="0" borderId="37" xfId="0" applyNumberFormat="1" applyFont="1" applyBorder="1" applyAlignment="1">
      <alignment horizontal="center"/>
    </xf>
    <xf numFmtId="0" fontId="2" fillId="0" borderId="6" xfId="0" quotePrefix="1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41" xfId="0" applyFont="1" applyBorder="1"/>
    <xf numFmtId="0" fontId="1" fillId="0" borderId="46" xfId="0" applyFont="1" applyBorder="1"/>
    <xf numFmtId="0" fontId="1" fillId="0" borderId="0" xfId="0" applyFont="1" applyBorder="1" applyAlignment="1"/>
    <xf numFmtId="0" fontId="1" fillId="3" borderId="24" xfId="0" applyFont="1" applyFill="1" applyBorder="1"/>
    <xf numFmtId="0" fontId="1" fillId="3" borderId="0" xfId="0" applyFont="1" applyFill="1" applyBorder="1" applyAlignment="1">
      <alignment horizontal="center"/>
    </xf>
    <xf numFmtId="16" fontId="1" fillId="3" borderId="0" xfId="0" quotePrefix="1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25" xfId="0" applyFont="1" applyFill="1" applyBorder="1"/>
    <xf numFmtId="16" fontId="2" fillId="0" borderId="0" xfId="0" quotePrefix="1" applyNumberFormat="1" applyFont="1" applyFill="1" applyBorder="1" applyAlignment="1">
      <alignment horizontal="center"/>
    </xf>
    <xf numFmtId="0" fontId="1" fillId="3" borderId="0" xfId="0" quotePrefix="1" applyFont="1" applyFill="1" applyBorder="1" applyAlignment="1">
      <alignment horizontal="left"/>
    </xf>
    <xf numFmtId="0" fontId="1" fillId="3" borderId="0" xfId="0" quotePrefix="1" applyFont="1" applyFill="1" applyBorder="1" applyAlignment="1">
      <alignment horizontal="center"/>
    </xf>
    <xf numFmtId="0" fontId="1" fillId="3" borderId="0" xfId="0" applyFont="1" applyFill="1"/>
    <xf numFmtId="0" fontId="2" fillId="3" borderId="24" xfId="0" applyFont="1" applyFill="1" applyBorder="1"/>
    <xf numFmtId="0" fontId="2" fillId="3" borderId="0" xfId="0" applyFont="1" applyFill="1" applyBorder="1" applyAlignment="1">
      <alignment horizontal="center"/>
    </xf>
    <xf numFmtId="16" fontId="2" fillId="3" borderId="0" xfId="0" quotePrefix="1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2" fillId="4" borderId="25" xfId="0" applyFont="1" applyFill="1" applyBorder="1"/>
    <xf numFmtId="0" fontId="2" fillId="3" borderId="0" xfId="0" quotePrefix="1" applyFont="1" applyFill="1" applyBorder="1" applyAlignment="1">
      <alignment horizontal="center"/>
    </xf>
    <xf numFmtId="0" fontId="1" fillId="3" borderId="25" xfId="0" applyFont="1" applyFill="1" applyBorder="1" applyAlignment="1">
      <alignment horizontal="left"/>
    </xf>
    <xf numFmtId="0" fontId="10" fillId="0" borderId="0" xfId="0" applyFont="1" applyFill="1" applyBorder="1"/>
    <xf numFmtId="0" fontId="0" fillId="3" borderId="0" xfId="0" applyFill="1"/>
    <xf numFmtId="0" fontId="2" fillId="0" borderId="23" xfId="0" applyFont="1" applyFill="1" applyBorder="1"/>
    <xf numFmtId="0" fontId="13" fillId="0" borderId="24" xfId="0" applyFont="1" applyBorder="1"/>
  </cellXfs>
  <cellStyles count="3">
    <cellStyle name="Followed Hyperlink" xfId="1"/>
    <cellStyle name="Hyperlink" xfId="2"/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DA1758"/>
  <sheetViews>
    <sheetView tabSelected="1" workbookViewId="0"/>
  </sheetViews>
  <sheetFormatPr baseColWidth="10" defaultRowHeight="13"/>
  <cols>
    <col min="1" max="1" width="14.7109375" style="9" customWidth="1"/>
    <col min="2" max="2" width="10.7109375" style="9"/>
    <col min="3" max="3" width="8.7109375" style="9" customWidth="1"/>
    <col min="4" max="6" width="10.7109375" style="9"/>
    <col min="7" max="7" width="14.7109375" style="9" customWidth="1"/>
    <col min="8" max="8" width="12.7109375" style="9" customWidth="1"/>
    <col min="9" max="9" width="12.28515625" style="9" customWidth="1"/>
    <col min="10" max="10" width="10.7109375" style="9"/>
    <col min="11" max="11" width="14.7109375" style="9" customWidth="1"/>
    <col min="12" max="256" width="10.7109375" style="9"/>
    <col min="257" max="261" width="10.7109375" style="9" customWidth="1"/>
    <col min="262" max="262" width="10.7109375" style="9"/>
    <col min="263" max="277" width="10.7109375" style="9" customWidth="1"/>
    <col min="278" max="278" width="10.7109375" style="9"/>
    <col min="279" max="293" width="10.7109375" style="9" customWidth="1"/>
    <col min="294" max="294" width="10.7109375" style="9"/>
    <col min="295" max="309" width="10.7109375" style="9" customWidth="1"/>
    <col min="310" max="310" width="10.7109375" style="9"/>
    <col min="311" max="325" width="10.7109375" style="9" customWidth="1"/>
    <col min="326" max="326" width="10.7109375" style="9"/>
    <col min="327" max="341" width="10.7109375" style="9" customWidth="1"/>
    <col min="342" max="342" width="10.7109375" style="9"/>
    <col min="343" max="357" width="10.7109375" style="9" customWidth="1"/>
    <col min="358" max="358" width="10.7109375" style="9"/>
    <col min="359" max="373" width="10.7109375" style="9" customWidth="1"/>
    <col min="374" max="374" width="10.7109375" style="9"/>
    <col min="375" max="389" width="10.7109375" style="9" customWidth="1"/>
    <col min="390" max="390" width="10.7109375" style="9"/>
    <col min="391" max="405" width="10.7109375" style="9" customWidth="1"/>
    <col min="406" max="406" width="10.7109375" style="9"/>
    <col min="407" max="421" width="10.7109375" style="9" customWidth="1"/>
    <col min="422" max="422" width="10.7109375" style="9"/>
    <col min="423" max="437" width="10.7109375" style="9" customWidth="1"/>
    <col min="438" max="438" width="10.7109375" style="9"/>
    <col min="439" max="453" width="10.7109375" style="9" customWidth="1"/>
    <col min="454" max="454" width="10.7109375" style="9"/>
    <col min="455" max="469" width="10.7109375" style="9" customWidth="1"/>
    <col min="470" max="470" width="10.7109375" style="9"/>
    <col min="471" max="485" width="10.7109375" style="9" customWidth="1"/>
    <col min="486" max="486" width="10.7109375" style="9"/>
    <col min="487" max="501" width="10.7109375" style="9" customWidth="1"/>
    <col min="502" max="502" width="10.7109375" style="9"/>
    <col min="503" max="517" width="10.7109375" style="9" customWidth="1"/>
    <col min="518" max="518" width="10.7109375" style="9"/>
    <col min="519" max="532" width="10.7109375" style="9" customWidth="1"/>
    <col min="533" max="535" width="10.7109375" style="9"/>
    <col min="536" max="536" width="10.7109375" style="9" customWidth="1"/>
    <col min="537" max="537" width="10.7109375" style="9"/>
    <col min="538" max="538" width="10.7109375" style="9" customWidth="1"/>
    <col min="539" max="539" width="10.7109375" style="9"/>
    <col min="540" max="541" width="10.7109375" style="9" customWidth="1"/>
    <col min="542" max="543" width="10.7109375" style="9"/>
    <col min="544" max="546" width="10.7109375" style="9" customWidth="1"/>
    <col min="547" max="548" width="10.7109375" style="9"/>
    <col min="549" max="549" width="10.7109375" style="9" customWidth="1"/>
    <col min="550" max="551" width="10.7109375" style="9"/>
    <col min="552" max="554" width="10.7109375" style="9" customWidth="1"/>
    <col min="555" max="556" width="10.7109375" style="9"/>
    <col min="557" max="557" width="10.7109375" style="9" customWidth="1"/>
    <col min="558" max="559" width="10.7109375" style="9"/>
    <col min="560" max="560" width="10.7109375" style="9" customWidth="1"/>
    <col min="561" max="562" width="10.7109375" style="9"/>
    <col min="563" max="564" width="10.7109375" style="9" customWidth="1"/>
    <col min="565" max="567" width="10.7109375" style="9"/>
    <col min="568" max="569" width="10.7109375" style="9" customWidth="1"/>
    <col min="570" max="572" width="10.7109375" style="9"/>
    <col min="573" max="573" width="10.7109375" style="9" customWidth="1"/>
    <col min="574" max="574" width="10.7109375" style="9"/>
    <col min="575" max="580" width="10.7109375" style="9" customWidth="1"/>
    <col min="581" max="583" width="10.7109375" style="9"/>
    <col min="584" max="584" width="10.7109375" style="9" customWidth="1"/>
    <col min="585" max="588" width="10.7109375" style="9"/>
    <col min="589" max="589" width="10.7109375" style="9" customWidth="1"/>
    <col min="590" max="591" width="10.7109375" style="9"/>
    <col min="592" max="593" width="10.7109375" style="9" customWidth="1"/>
    <col min="594" max="596" width="10.7109375" style="9"/>
    <col min="597" max="597" width="10.7109375" style="9" customWidth="1"/>
    <col min="598" max="599" width="10.7109375" style="9"/>
    <col min="600" max="605" width="10.7109375" style="9" customWidth="1"/>
    <col min="606" max="606" width="10.7109375" style="9"/>
    <col min="607" max="610" width="10.7109375" style="9" customWidth="1"/>
    <col min="611" max="611" width="10.7109375" style="9"/>
    <col min="612" max="612" width="10.7109375" style="9" customWidth="1"/>
    <col min="613" max="615" width="10.7109375" style="9"/>
    <col min="616" max="616" width="10.7109375" style="9" customWidth="1"/>
    <col min="617" max="617" width="10.7109375" style="9"/>
    <col min="618" max="621" width="10.7109375" style="9" customWidth="1"/>
    <col min="622" max="623" width="10.7109375" style="9"/>
    <col min="624" max="626" width="10.7109375" style="9" customWidth="1"/>
    <col min="627" max="628" width="10.7109375" style="9"/>
    <col min="629" max="629" width="10.7109375" style="9" customWidth="1"/>
    <col min="630" max="631" width="10.7109375" style="9"/>
    <col min="632" max="632" width="10.7109375" style="9" customWidth="1"/>
    <col min="633" max="633" width="10.7109375" style="9"/>
    <col min="634" max="634" width="10.7109375" style="9" customWidth="1"/>
    <col min="635" max="635" width="10.7109375" style="9"/>
    <col min="636" max="637" width="10.7109375" style="9" customWidth="1"/>
    <col min="638" max="639" width="10.7109375" style="9"/>
    <col min="640" max="641" width="10.7109375" style="9" customWidth="1"/>
    <col min="642" max="644" width="10.7109375" style="9"/>
    <col min="645" max="645" width="10.7109375" style="9" customWidth="1"/>
    <col min="646" max="647" width="10.7109375" style="9"/>
    <col min="648" max="650" width="10.7109375" style="9" customWidth="1"/>
    <col min="651" max="651" width="10.7109375" style="9"/>
    <col min="652" max="652" width="10.7109375" style="9" customWidth="1"/>
    <col min="653" max="655" width="10.7109375" style="9"/>
    <col min="656" max="656" width="10.7109375" style="9" customWidth="1"/>
    <col min="657" max="661" width="10.7109375" style="9"/>
    <col min="662" max="672" width="10.7109375" style="9" customWidth="1"/>
    <col min="673" max="677" width="10.7109375" style="9"/>
    <col min="678" max="688" width="10.7109375" style="9" customWidth="1"/>
    <col min="689" max="693" width="10.7109375" style="9"/>
    <col min="694" max="704" width="10.7109375" style="9" customWidth="1"/>
    <col min="705" max="709" width="10.7109375" style="9"/>
    <col min="710" max="720" width="10.7109375" style="9" customWidth="1"/>
    <col min="721" max="725" width="10.7109375" style="9"/>
    <col min="726" max="736" width="10.7109375" style="9" customWidth="1"/>
    <col min="737" max="741" width="10.7109375" style="9"/>
    <col min="742" max="752" width="10.7109375" style="9" customWidth="1"/>
    <col min="753" max="757" width="10.7109375" style="9"/>
    <col min="758" max="768" width="10.7109375" style="9" customWidth="1"/>
    <col min="769" max="773" width="10.7109375" style="9"/>
    <col min="774" max="784" width="10.7109375" style="9" customWidth="1"/>
    <col min="785" max="789" width="10.7109375" style="9"/>
    <col min="790" max="800" width="10.7109375" style="9" customWidth="1"/>
    <col min="801" max="805" width="10.7109375" style="9"/>
    <col min="806" max="816" width="10.7109375" style="9" customWidth="1"/>
    <col min="817" max="821" width="10.7109375" style="9"/>
    <col min="822" max="832" width="10.7109375" style="9" customWidth="1"/>
    <col min="833" max="837" width="10.7109375" style="9"/>
    <col min="838" max="848" width="10.7109375" style="9" customWidth="1"/>
    <col min="849" max="853" width="10.7109375" style="9"/>
    <col min="854" max="864" width="10.7109375" style="9" customWidth="1"/>
    <col min="865" max="869" width="10.7109375" style="9"/>
    <col min="870" max="880" width="10.7109375" style="9" customWidth="1"/>
    <col min="881" max="885" width="10.7109375" style="9"/>
    <col min="886" max="896" width="10.7109375" style="9" customWidth="1"/>
    <col min="897" max="901" width="10.7109375" style="9"/>
    <col min="902" max="912" width="10.7109375" style="9" customWidth="1"/>
    <col min="913" max="917" width="10.7109375" style="9"/>
    <col min="918" max="928" width="10.7109375" style="9" customWidth="1"/>
    <col min="929" max="933" width="10.7109375" style="9"/>
    <col min="934" max="944" width="10.7109375" style="9" customWidth="1"/>
    <col min="945" max="949" width="10.7109375" style="9"/>
    <col min="950" max="960" width="10.7109375" style="9" customWidth="1"/>
    <col min="961" max="965" width="10.7109375" style="9"/>
    <col min="966" max="976" width="10.7109375" style="9" customWidth="1"/>
    <col min="977" max="981" width="10.7109375" style="9"/>
    <col min="982" max="992" width="10.7109375" style="9" customWidth="1"/>
    <col min="993" max="997" width="10.7109375" style="9"/>
    <col min="998" max="1008" width="10.7109375" style="9" customWidth="1"/>
    <col min="1009" max="1013" width="10.7109375" style="9"/>
    <col min="1014" max="1024" width="10.7109375" style="9" customWidth="1"/>
    <col min="1025" max="1029" width="10.7109375" style="9"/>
    <col min="1030" max="1040" width="10.7109375" style="9" customWidth="1"/>
    <col min="1041" max="1045" width="10.7109375" style="9"/>
    <col min="1046" max="1056" width="10.7109375" style="9" customWidth="1"/>
    <col min="1057" max="1061" width="10.7109375" style="9"/>
    <col min="1062" max="1072" width="10.7109375" style="9" customWidth="1"/>
    <col min="1073" max="1077" width="10.7109375" style="9"/>
    <col min="1078" max="1088" width="10.7109375" style="9" customWidth="1"/>
    <col min="1089" max="1093" width="10.7109375" style="9"/>
    <col min="1094" max="1104" width="10.7109375" style="9" customWidth="1"/>
    <col min="1105" max="1109" width="10.7109375" style="9"/>
    <col min="1110" max="1120" width="10.7109375" style="9" customWidth="1"/>
    <col min="1121" max="1125" width="10.7109375" style="9"/>
    <col min="1126" max="1136" width="10.7109375" style="9" customWidth="1"/>
    <col min="1137" max="1141" width="10.7109375" style="9"/>
    <col min="1142" max="1152" width="10.7109375" style="9" customWidth="1"/>
    <col min="1153" max="1157" width="10.7109375" style="9"/>
    <col min="1158" max="1168" width="10.7109375" style="9" customWidth="1"/>
    <col min="1169" max="1173" width="10.7109375" style="9"/>
    <col min="1174" max="1184" width="10.7109375" style="9" customWidth="1"/>
    <col min="1185" max="1189" width="10.7109375" style="9"/>
    <col min="1190" max="1200" width="10.7109375" style="9" customWidth="1"/>
    <col min="1201" max="1205" width="10.7109375" style="9"/>
    <col min="1206" max="1216" width="10.7109375" style="9" customWidth="1"/>
    <col min="1217" max="1221" width="10.7109375" style="9"/>
    <col min="1222" max="1232" width="10.7109375" style="9" customWidth="1"/>
    <col min="1233" max="1237" width="10.7109375" style="9"/>
    <col min="1238" max="1248" width="10.7109375" style="9" customWidth="1"/>
    <col min="1249" max="1253" width="10.7109375" style="9"/>
    <col min="1254" max="1264" width="10.7109375" style="9" customWidth="1"/>
    <col min="1265" max="1265" width="10.7109375" style="9"/>
    <col min="1266" max="1266" width="10.7109375" style="9" customWidth="1"/>
    <col min="1267" max="1272" width="10.7109375" style="9"/>
    <col min="1273" max="1280" width="10.7109375" style="9" customWidth="1"/>
    <col min="1281" max="1282" width="10.7109375" style="9"/>
    <col min="1283" max="1283" width="10.7109375" style="9" customWidth="1"/>
    <col min="1284" max="1285" width="10.7109375" style="9"/>
    <col min="1286" max="1296" width="10.7109375" style="9" customWidth="1"/>
    <col min="1297" max="1297" width="10.7109375" style="9"/>
    <col min="1298" max="1298" width="10.7109375" style="9" customWidth="1"/>
    <col min="1299" max="1304" width="10.7109375" style="9"/>
    <col min="1305" max="1312" width="10.7109375" style="9" customWidth="1"/>
    <col min="1313" max="1314" width="10.7109375" style="9"/>
    <col min="1315" max="1315" width="10.7109375" style="9" customWidth="1"/>
    <col min="1316" max="1317" width="10.7109375" style="9"/>
    <col min="1318" max="1328" width="10.7109375" style="9" customWidth="1"/>
    <col min="1329" max="1330" width="10.7109375" style="9"/>
    <col min="1331" max="1331" width="10.7109375" style="9" customWidth="1"/>
    <col min="1332" max="1333" width="10.7109375" style="9"/>
    <col min="1334" max="1344" width="10.7109375" style="9" customWidth="1"/>
    <col min="1345" max="1346" width="10.7109375" style="9"/>
    <col min="1347" max="1347" width="10.7109375" style="9" customWidth="1"/>
    <col min="1348" max="1349" width="10.7109375" style="9"/>
    <col min="1350" max="1360" width="10.7109375" style="9" customWidth="1"/>
    <col min="1361" max="1362" width="10.7109375" style="9"/>
    <col min="1363" max="1363" width="10.7109375" style="9" customWidth="1"/>
    <col min="1364" max="1365" width="10.7109375" style="9"/>
    <col min="1366" max="1376" width="10.7109375" style="9" customWidth="1"/>
    <col min="1377" max="1378" width="10.7109375" style="9"/>
    <col min="1379" max="1379" width="10.7109375" style="9" customWidth="1"/>
    <col min="1380" max="1381" width="10.7109375" style="9"/>
    <col min="1382" max="1392" width="10.7109375" style="9" customWidth="1"/>
    <col min="1393" max="1397" width="10.7109375" style="9"/>
    <col min="1398" max="1408" width="10.7109375" style="9" customWidth="1"/>
    <col min="1409" max="1413" width="10.7109375" style="9"/>
    <col min="1414" max="1424" width="10.7109375" style="9" customWidth="1"/>
    <col min="1425" max="1429" width="10.7109375" style="9"/>
    <col min="1430" max="1443" width="10.7109375" style="9" customWidth="1"/>
    <col min="1444" max="1445" width="10.7109375" style="9"/>
    <col min="1446" max="1446" width="10.7109375" style="9" customWidth="1"/>
    <col min="1447" max="1447" width="10.7109375" style="9"/>
    <col min="1448" max="1457" width="10.7109375" style="9" customWidth="1"/>
    <col min="1458" max="1458" width="10.7109375" style="9"/>
    <col min="1459" max="1462" width="10.7109375" style="9" customWidth="1"/>
    <col min="1463" max="1463" width="10.7109375" style="9"/>
    <col min="1464" max="1464" width="10.7109375" style="9" customWidth="1"/>
    <col min="1465" max="1466" width="10.7109375" style="9"/>
    <col min="1467" max="1474" width="10.7109375" style="9" customWidth="1"/>
    <col min="1475" max="1477" width="10.7109375" style="9"/>
    <col min="1478" max="1488" width="10.7109375" style="9" customWidth="1"/>
    <col min="1489" max="1489" width="10.7109375" style="9"/>
    <col min="1490" max="1491" width="10.7109375" style="9" customWidth="1"/>
    <col min="1492" max="1493" width="10.7109375" style="9"/>
    <col min="1494" max="1499" width="10.7109375" style="9" customWidth="1"/>
    <col min="1500" max="1500" width="10.7109375" style="9"/>
    <col min="1501" max="1504" width="10.7109375" style="9" customWidth="1"/>
    <col min="1505" max="1505" width="10.7109375" style="9"/>
    <col min="1506" max="1506" width="10.7109375" style="9" customWidth="1"/>
    <col min="1507" max="1510" width="10.7109375" style="9"/>
    <col min="1511" max="1522" width="10.7109375" style="9" customWidth="1"/>
    <col min="1523" max="1523" width="10.7109375" style="9"/>
    <col min="1524" max="1526" width="10.7109375" style="9" customWidth="1"/>
    <col min="1527" max="1527" width="10.7109375" style="9"/>
    <col min="1528" max="1528" width="10.7109375" style="9" customWidth="1"/>
    <col min="1529" max="1529" width="10.7109375" style="9"/>
    <col min="1530" max="1533" width="10.7109375" style="9" customWidth="1"/>
    <col min="1534" max="1536" width="10.7109375" style="9"/>
    <col min="1537" max="1542" width="10.7109375" style="9" customWidth="1"/>
    <col min="1543" max="1544" width="10.7109375" style="9"/>
    <col min="1545" max="1546" width="10.7109375" style="9" customWidth="1"/>
    <col min="1547" max="1548" width="10.7109375" style="9"/>
    <col min="1549" max="1553" width="10.7109375" style="9" customWidth="1"/>
    <col min="1554" max="1557" width="10.7109375" style="9"/>
    <col min="1558" max="1562" width="10.7109375" style="9" customWidth="1"/>
    <col min="1563" max="1563" width="10.7109375" style="9"/>
    <col min="1564" max="1576" width="10.7109375" style="9" customWidth="1"/>
    <col min="1577" max="1578" width="10.7109375" style="9"/>
    <col min="1579" max="1579" width="10.7109375" style="9" customWidth="1"/>
    <col min="1580" max="1580" width="10.7109375" style="9"/>
    <col min="1581" max="1584" width="10.7109375" style="9" customWidth="1"/>
    <col min="1585" max="1585" width="10.7109375" style="9"/>
    <col min="1586" max="1587" width="10.7109375" style="9" customWidth="1"/>
    <col min="1588" max="1589" width="10.7109375" style="9"/>
    <col min="1590" max="1593" width="10.7109375" style="9" customWidth="1"/>
    <col min="1594" max="1594" width="10.7109375" style="9"/>
    <col min="1595" max="1600" width="10.7109375" style="9" customWidth="1"/>
    <col min="1601" max="1605" width="10.7109375" style="9"/>
    <col min="1606" max="1618" width="10.7109375" style="9" customWidth="1"/>
    <col min="1619" max="1619" width="10.7109375" style="9"/>
    <col min="1620" max="1622" width="10.7109375" style="9" customWidth="1"/>
    <col min="1623" max="1623" width="10.7109375" style="9"/>
    <col min="1624" max="1624" width="10.7109375" style="9" customWidth="1"/>
    <col min="1625" max="1625" width="10.7109375" style="9"/>
    <col min="1626" max="1627" width="10.7109375" style="9" customWidth="1"/>
    <col min="1628" max="1628" width="10.7109375" style="9"/>
    <col min="1629" max="1630" width="10.7109375" style="9" customWidth="1"/>
    <col min="1631" max="1632" width="10.7109375" style="9"/>
    <col min="1633" max="1640" width="10.7109375" style="9" customWidth="1"/>
    <col min="1641" max="1641" width="10.7109375" style="9"/>
    <col min="1642" max="1649" width="10.7109375" style="9" customWidth="1"/>
    <col min="1650" max="1653" width="10.7109375" style="9"/>
    <col min="1654" max="1656" width="10.7109375" style="9" customWidth="1"/>
    <col min="1657" max="1657" width="10.7109375" style="9"/>
    <col min="1658" max="1672" width="10.7109375" style="9" customWidth="1"/>
    <col min="1673" max="1674" width="10.7109375" style="9"/>
    <col min="1675" max="1680" width="10.7109375" style="9" customWidth="1"/>
    <col min="1681" max="1681" width="10.7109375" style="9"/>
    <col min="1682" max="1682" width="10.7109375" style="9" customWidth="1"/>
    <col min="1683" max="1683" width="10.7109375" style="9"/>
    <col min="1684" max="1684" width="10.7109375" style="9" customWidth="1"/>
    <col min="1685" max="1685" width="10.7109375" style="9"/>
    <col min="1686" max="1688" width="10.7109375" style="9" customWidth="1"/>
    <col min="1689" max="1689" width="10.7109375" style="9"/>
    <col min="1690" max="1690" width="10.7109375" style="9" customWidth="1"/>
    <col min="1691" max="1691" width="10.7109375" style="9"/>
    <col min="1692" max="1693" width="10.7109375" style="9" customWidth="1"/>
    <col min="1694" max="1694" width="10.7109375" style="9"/>
    <col min="1695" max="1697" width="10.7109375" style="9" customWidth="1"/>
    <col min="1698" max="1699" width="10.7109375" style="9"/>
    <col min="1700" max="1700" width="10.7109375" style="9" customWidth="1"/>
    <col min="1701" max="1701" width="10.7109375" style="9"/>
    <col min="1702" max="1712" width="10.7109375" style="9" customWidth="1"/>
    <col min="1713" max="1713" width="10.7109375" style="9"/>
    <col min="1714" max="1714" width="10.7109375" style="9" customWidth="1"/>
    <col min="1715" max="1715" width="10.7109375" style="9"/>
    <col min="1716" max="1717" width="10.7109375" style="9" customWidth="1"/>
    <col min="1718" max="1718" width="10.7109375" style="9"/>
    <col min="1719" max="1729" width="10.7109375" style="9" customWidth="1"/>
    <col min="1730" max="1730" width="10.7109375" style="9"/>
    <col min="1731" max="1731" width="10.7109375" style="9" customWidth="1"/>
    <col min="1732" max="1732" width="10.7109375" style="9"/>
    <col min="1733" max="1733" width="10.7109375" style="9" customWidth="1"/>
    <col min="1734" max="1734" width="10.7109375" style="9"/>
    <col min="1735" max="1737" width="10.7109375" style="9" customWidth="1"/>
    <col min="1738" max="1738" width="10.7109375" style="9"/>
    <col min="1739" max="1739" width="10.7109375" style="9" customWidth="1"/>
    <col min="1740" max="1740" width="10.7109375" style="9"/>
    <col min="1741" max="1741" width="10.7109375" style="9" customWidth="1"/>
    <col min="1742" max="1742" width="10.7109375" style="9"/>
    <col min="1743" max="1744" width="10.7109375" style="9" customWidth="1"/>
    <col min="1745" max="1745" width="10.7109375" style="9"/>
    <col min="1746" max="1746" width="10.7109375" style="9" customWidth="1"/>
    <col min="1747" max="1747" width="10.7109375" style="9"/>
    <col min="1748" max="1749" width="10.7109375" style="9" customWidth="1"/>
    <col min="1750" max="1750" width="10.7109375" style="9"/>
    <col min="1751" max="1753" width="10.7109375" style="9" customWidth="1"/>
    <col min="1754" max="1755" width="10.7109375" style="9"/>
    <col min="1756" max="1756" width="10.7109375" style="9" customWidth="1"/>
    <col min="1757" max="1757" width="10.7109375" style="9"/>
    <col min="1758" max="1768" width="10.7109375" style="9" customWidth="1"/>
    <col min="1769" max="1769" width="10.7109375" style="9"/>
    <col min="1770" max="1770" width="10.7109375" style="9" customWidth="1"/>
    <col min="1771" max="1771" width="10.7109375" style="9"/>
    <col min="1772" max="1773" width="10.7109375" style="9" customWidth="1"/>
    <col min="1774" max="1774" width="10.7109375" style="9"/>
    <col min="1775" max="1785" width="10.7109375" style="9" customWidth="1"/>
    <col min="1786" max="1786" width="10.7109375" style="9"/>
    <col min="1787" max="1788" width="10.7109375" style="9" customWidth="1"/>
    <col min="1789" max="1790" width="10.7109375" style="9"/>
    <col min="1791" max="1793" width="10.7109375" style="9" customWidth="1"/>
    <col min="1794" max="1794" width="10.7109375" style="9"/>
    <col min="1795" max="1796" width="10.7109375" style="9" customWidth="1"/>
    <col min="1797" max="1798" width="10.7109375" style="9"/>
    <col min="1799" max="1801" width="10.7109375" style="9" customWidth="1"/>
    <col min="1802" max="1802" width="10.7109375" style="9"/>
    <col min="1803" max="1806" width="10.7109375" style="9" customWidth="1"/>
    <col min="1807" max="1807" width="10.7109375" style="9"/>
    <col min="1808" max="1808" width="10.7109375" style="9" customWidth="1"/>
    <col min="1809" max="1810" width="10.7109375" style="9"/>
    <col min="1811" max="1818" width="10.7109375" style="9" customWidth="1"/>
    <col min="1819" max="1821" width="10.7109375" style="9"/>
    <col min="1822" max="1832" width="10.7109375" style="9" customWidth="1"/>
    <col min="1833" max="1833" width="10.7109375" style="9"/>
    <col min="1834" max="1835" width="10.7109375" style="9" customWidth="1"/>
    <col min="1836" max="1837" width="10.7109375" style="9"/>
    <col min="1838" max="1843" width="10.7109375" style="9" customWidth="1"/>
    <col min="1844" max="1844" width="10.7109375" style="9"/>
    <col min="1845" max="1849" width="10.7109375" style="9" customWidth="1"/>
    <col min="1850" max="1850" width="10.7109375" style="9"/>
    <col min="1851" max="1851" width="10.7109375" style="9" customWidth="1"/>
    <col min="1852" max="1852" width="10.7109375" style="9"/>
    <col min="1853" max="1865" width="10.7109375" style="9" customWidth="1"/>
    <col min="1866" max="1869" width="10.7109375" style="9"/>
    <col min="1870" max="1888" width="10.7109375" style="9" customWidth="1"/>
    <col min="1889" max="1889" width="10.7109375" style="9"/>
    <col min="1890" max="1891" width="10.7109375" style="9" customWidth="1"/>
    <col min="1892" max="1893" width="10.7109375" style="9"/>
    <col min="1894" max="1899" width="10.7109375" style="9" customWidth="1"/>
    <col min="1900" max="1900" width="10.7109375" style="9"/>
    <col min="1901" max="1904" width="10.7109375" style="9" customWidth="1"/>
    <col min="1905" max="1906" width="10.7109375" style="9"/>
    <col min="1907" max="1921" width="10.7109375" style="9" customWidth="1"/>
    <col min="1922" max="1922" width="10.7109375" style="9"/>
    <col min="1923" max="1925" width="10.7109375" style="9" customWidth="1"/>
    <col min="1926" max="1926" width="10.7109375" style="9"/>
    <col min="1927" max="1928" width="10.7109375" style="9" customWidth="1"/>
    <col min="1929" max="1930" width="10.7109375" style="9"/>
    <col min="1931" max="1936" width="10.7109375" style="9" customWidth="1"/>
    <col min="1937" max="1937" width="10.7109375" style="9"/>
    <col min="1938" max="1952" width="10.7109375" style="9" customWidth="1"/>
    <col min="1953" max="1953" width="10.7109375" style="9"/>
    <col min="1954" max="1955" width="10.7109375" style="9" customWidth="1"/>
    <col min="1956" max="1957" width="10.7109375" style="9"/>
    <col min="1958" max="1963" width="10.7109375" style="9" customWidth="1"/>
    <col min="1964" max="1964" width="10.7109375" style="9"/>
    <col min="1965" max="1968" width="10.7109375" style="9" customWidth="1"/>
    <col min="1969" max="1970" width="10.7109375" style="9"/>
    <col min="1971" max="1985" width="10.7109375" style="9" customWidth="1"/>
    <col min="1986" max="1986" width="10.7109375" style="9"/>
    <col min="1987" max="1989" width="10.7109375" style="9" customWidth="1"/>
    <col min="1990" max="1990" width="10.7109375" style="9"/>
    <col min="1991" max="1992" width="10.7109375" style="9" customWidth="1"/>
    <col min="1993" max="1994" width="10.7109375" style="9"/>
    <col min="1995" max="2000" width="10.7109375" style="9" customWidth="1"/>
    <col min="2001" max="2001" width="10.7109375" style="9"/>
    <col min="2002" max="2016" width="10.7109375" style="9" customWidth="1"/>
    <col min="2017" max="2017" width="10.7109375" style="9"/>
    <col min="2018" max="2019" width="10.7109375" style="9" customWidth="1"/>
    <col min="2020" max="2021" width="10.7109375" style="9"/>
    <col min="2022" max="2027" width="10.7109375" style="9" customWidth="1"/>
    <col min="2028" max="2028" width="10.7109375" style="9"/>
    <col min="2029" max="2032" width="10.7109375" style="9" customWidth="1"/>
    <col min="2033" max="2034" width="10.7109375" style="9"/>
    <col min="2035" max="2049" width="10.7109375" style="9" customWidth="1"/>
    <col min="2050" max="2050" width="10.7109375" style="9"/>
    <col min="2051" max="2053" width="10.7109375" style="9" customWidth="1"/>
    <col min="2054" max="2054" width="10.7109375" style="9"/>
    <col min="2055" max="2056" width="10.7109375" style="9" customWidth="1"/>
    <col min="2057" max="2058" width="10.7109375" style="9"/>
    <col min="2059" max="2064" width="10.7109375" style="9" customWidth="1"/>
    <col min="2065" max="2065" width="10.7109375" style="9"/>
    <col min="2066" max="2080" width="10.7109375" style="9" customWidth="1"/>
    <col min="2081" max="2081" width="10.7109375" style="9"/>
    <col min="2082" max="2083" width="10.7109375" style="9" customWidth="1"/>
    <col min="2084" max="2085" width="10.7109375" style="9"/>
    <col min="2086" max="2091" width="10.7109375" style="9" customWidth="1"/>
    <col min="2092" max="2092" width="10.7109375" style="9"/>
    <col min="2093" max="2096" width="10.7109375" style="9" customWidth="1"/>
    <col min="2097" max="2098" width="10.7109375" style="9"/>
    <col min="2099" max="2113" width="10.7109375" style="9" customWidth="1"/>
    <col min="2114" max="2114" width="10.7109375" style="9"/>
    <col min="2115" max="2117" width="10.7109375" style="9" customWidth="1"/>
    <col min="2118" max="2118" width="10.7109375" style="9"/>
    <col min="2119" max="2120" width="10.7109375" style="9" customWidth="1"/>
    <col min="2121" max="2122" width="10.7109375" style="9"/>
    <col min="2123" max="2128" width="10.7109375" style="9" customWidth="1"/>
    <col min="2129" max="2129" width="10.7109375" style="9"/>
    <col min="2130" max="2144" width="10.7109375" style="9" customWidth="1"/>
    <col min="2145" max="2145" width="10.7109375" style="9"/>
    <col min="2146" max="2147" width="10.7109375" style="9" customWidth="1"/>
    <col min="2148" max="2149" width="10.7109375" style="9"/>
    <col min="2150" max="2155" width="10.7109375" style="9" customWidth="1"/>
    <col min="2156" max="2156" width="10.7109375" style="9"/>
    <col min="2157" max="2160" width="10.7109375" style="9" customWidth="1"/>
    <col min="2161" max="2162" width="10.7109375" style="9"/>
    <col min="2163" max="2177" width="10.7109375" style="9" customWidth="1"/>
    <col min="2178" max="2178" width="10.7109375" style="9"/>
    <col min="2179" max="2181" width="10.7109375" style="9" customWidth="1"/>
    <col min="2182" max="2182" width="10.7109375" style="9"/>
    <col min="2183" max="2184" width="10.7109375" style="9" customWidth="1"/>
    <col min="2185" max="2186" width="10.7109375" style="9"/>
    <col min="2187" max="2192" width="10.7109375" style="9" customWidth="1"/>
    <col min="2193" max="2193" width="10.7109375" style="9"/>
    <col min="2194" max="2208" width="10.7109375" style="9" customWidth="1"/>
    <col min="2209" max="2209" width="10.7109375" style="9"/>
    <col min="2210" max="2211" width="10.7109375" style="9" customWidth="1"/>
    <col min="2212" max="2213" width="10.7109375" style="9"/>
    <col min="2214" max="2219" width="10.7109375" style="9" customWidth="1"/>
    <col min="2220" max="2220" width="10.7109375" style="9"/>
    <col min="2221" max="2224" width="10.7109375" style="9" customWidth="1"/>
    <col min="2225" max="2226" width="10.7109375" style="9"/>
    <col min="2227" max="2241" width="10.7109375" style="9" customWidth="1"/>
    <col min="2242" max="2242" width="10.7109375" style="9"/>
    <col min="2243" max="2246" width="10.7109375" style="9" customWidth="1"/>
    <col min="2247" max="2247" width="10.7109375" style="9"/>
    <col min="2248" max="2248" width="10.7109375" style="9" customWidth="1"/>
    <col min="2249" max="2250" width="10.7109375" style="9"/>
    <col min="2251" max="2256" width="10.7109375" style="9" customWidth="1"/>
    <col min="2257" max="2257" width="10.7109375" style="9"/>
    <col min="2258" max="2291" width="10.7109375" style="9" customWidth="1"/>
    <col min="2292" max="2294" width="10.7109375" style="9"/>
    <col min="2295" max="2300" width="10.7109375" style="9" customWidth="1"/>
    <col min="2301" max="2301" width="10.7109375" style="9"/>
    <col min="2302" max="2302" width="10.7109375" style="9" customWidth="1"/>
    <col min="2303" max="2305" width="10.7109375" style="9"/>
    <col min="2306" max="2306" width="10.7109375" style="9" customWidth="1"/>
    <col min="2307" max="2307" width="10.7109375" style="9"/>
    <col min="2308" max="2308" width="10.7109375" style="9" customWidth="1"/>
    <col min="2309" max="2309" width="10.7109375" style="9"/>
    <col min="2310" max="2310" width="10.7109375" style="9" customWidth="1"/>
    <col min="2311" max="2311" width="10.7109375" style="9"/>
    <col min="2312" max="2317" width="10.7109375" style="9" customWidth="1"/>
    <col min="2318" max="2318" width="10.7109375" style="9"/>
    <col min="2319" max="2319" width="10.7109375" style="9" customWidth="1"/>
    <col min="2320" max="2320" width="10.7109375" style="9"/>
    <col min="2321" max="2363" width="10.7109375" style="9" customWidth="1"/>
    <col min="2364" max="2364" width="10.7109375" style="9"/>
    <col min="2365" max="2387" width="10.7109375" style="9" customWidth="1"/>
    <col min="2388" max="2390" width="10.7109375" style="9"/>
    <col min="2391" max="2396" width="10.7109375" style="9" customWidth="1"/>
    <col min="2397" max="2397" width="10.7109375" style="9"/>
    <col min="2398" max="2398" width="10.7109375" style="9" customWidth="1"/>
    <col min="2399" max="2401" width="10.7109375" style="9"/>
    <col min="2402" max="2402" width="10.7109375" style="9" customWidth="1"/>
    <col min="2403" max="2403" width="10.7109375" style="9"/>
    <col min="2404" max="2404" width="10.7109375" style="9" customWidth="1"/>
    <col min="2405" max="2405" width="10.7109375" style="9"/>
    <col min="2406" max="2406" width="10.7109375" style="9" customWidth="1"/>
    <col min="2407" max="2407" width="10.7109375" style="9"/>
    <col min="2408" max="2449" width="10.7109375" style="9" customWidth="1"/>
    <col min="2450" max="2450" width="10.7109375" style="9"/>
    <col min="2451" max="2477" width="10.7109375" style="9" customWidth="1"/>
    <col min="2478" max="2478" width="10.7109375" style="9"/>
    <col min="2479" max="2483" width="10.7109375" style="9" customWidth="1"/>
    <col min="2484" max="2484" width="10.7109375" style="9"/>
    <col min="2485" max="2488" width="10.7109375" style="9" customWidth="1"/>
    <col min="2489" max="2489" width="10.7109375" style="9"/>
    <col min="2490" max="2491" width="10.7109375" style="9" customWidth="1"/>
    <col min="2492" max="2492" width="10.7109375" style="9"/>
    <col min="2493" max="2493" width="10.7109375" style="9" customWidth="1"/>
    <col min="2494" max="2494" width="10.7109375" style="9"/>
    <col min="2495" max="2495" width="10.7109375" style="9" customWidth="1"/>
    <col min="2496" max="2510" width="10.7109375" style="9"/>
    <col min="2511" max="2511" width="10.7109375" style="9" customWidth="1"/>
    <col min="2512" max="2513" width="10.7109375" style="9"/>
    <col min="2514" max="2516" width="10.7109375" style="9" customWidth="1"/>
    <col min="2517" max="2525" width="10.7109375" style="9"/>
    <col min="2526" max="2526" width="10.7109375" style="9" customWidth="1"/>
    <col min="2527" max="2527" width="10.7109375" style="9"/>
    <col min="2528" max="2528" width="10.7109375" style="9" customWidth="1"/>
    <col min="2529" max="2529" width="10.7109375" style="9"/>
    <col min="2530" max="2531" width="10.7109375" style="9" customWidth="1"/>
    <col min="2532" max="2534" width="10.7109375" style="9"/>
    <col min="2535" max="2538" width="10.7109375" style="9" customWidth="1"/>
    <col min="2539" max="2539" width="10.7109375" style="9"/>
    <col min="2540" max="2540" width="10.7109375" style="9" customWidth="1"/>
    <col min="2541" max="2541" width="10.7109375" style="9"/>
    <col min="2542" max="2543" width="10.7109375" style="9" customWidth="1"/>
    <col min="2544" max="2544" width="10.7109375" style="9"/>
    <col min="2545" max="2547" width="10.7109375" style="9" customWidth="1"/>
    <col min="2548" max="2548" width="10.7109375" style="9"/>
    <col min="2549" max="2550" width="10.7109375" style="9" customWidth="1"/>
    <col min="2551" max="2551" width="10.7109375" style="9"/>
    <col min="2552" max="2577" width="10.7109375" style="9" customWidth="1"/>
    <col min="2578" max="2578" width="10.7109375" style="9"/>
    <col min="2579" max="2605" width="10.7109375" style="9" customWidth="1"/>
    <col min="2606" max="2606" width="10.7109375" style="9"/>
    <col min="2607" max="2673" width="10.7109375" style="9" customWidth="1"/>
    <col min="2674" max="2675" width="10.7109375" style="9"/>
    <col min="2676" max="2676" width="10.7109375" style="9" customWidth="1"/>
    <col min="2677" max="2677" width="10.7109375" style="9"/>
    <col min="2678" max="2678" width="10.7109375" style="9" customWidth="1"/>
    <col min="2679" max="2679" width="10.7109375" style="9"/>
    <col min="2680" max="2736" width="10.7109375" style="9" customWidth="1"/>
    <col min="2737" max="2737" width="10.7109375" style="9"/>
    <col min="2738" max="2739" width="10.7109375" style="9" customWidth="1"/>
    <col min="2740" max="2744" width="10.7109375" style="9"/>
    <col min="2745" max="2745" width="10.7109375" style="9" customWidth="1"/>
    <col min="2746" max="2747" width="10.7109375" style="9"/>
    <col min="2748" max="2748" width="10.7109375" style="9" customWidth="1"/>
    <col min="2749" max="2749" width="10.7109375" style="9"/>
    <col min="2750" max="2751" width="10.7109375" style="9" customWidth="1"/>
    <col min="2752" max="2754" width="10.7109375" style="9"/>
    <col min="2755" max="2755" width="10.7109375" style="9" customWidth="1"/>
    <col min="2756" max="2756" width="10.7109375" style="9"/>
    <col min="2757" max="2838" width="10.7109375" style="9" customWidth="1"/>
    <col min="2839" max="2839" width="10.7109375" style="9"/>
    <col min="2840" max="2841" width="10.7109375" style="9" customWidth="1"/>
    <col min="2842" max="2842" width="10.7109375" style="9"/>
    <col min="2843" max="2844" width="10.7109375" style="9" customWidth="1"/>
    <col min="2845" max="2848" width="10.7109375" style="9"/>
    <col min="2849" max="2850" width="10.7109375" style="9" customWidth="1"/>
    <col min="2851" max="2851" width="10.7109375" style="9"/>
    <col min="2852" max="2852" width="10.7109375" style="9" customWidth="1"/>
    <col min="2853" max="2853" width="10.7109375" style="9"/>
    <col min="2854" max="2859" width="10.7109375" style="9" customWidth="1"/>
    <col min="2860" max="2860" width="10.7109375" style="9"/>
    <col min="2861" max="2900" width="10.7109375" style="9" customWidth="1"/>
    <col min="2901" max="2901" width="10.7109375" style="9"/>
    <col min="2902" max="2902" width="10.7109375" style="9" customWidth="1"/>
    <col min="2903" max="2903" width="10.7109375" style="9"/>
    <col min="2904" max="2905" width="10.7109375" style="9" customWidth="1"/>
    <col min="2906" max="2906" width="10.7109375" style="9"/>
    <col min="2907" max="2908" width="10.7109375" style="9" customWidth="1"/>
    <col min="2909" max="2912" width="10.7109375" style="9"/>
    <col min="2913" max="2914" width="10.7109375" style="9" customWidth="1"/>
    <col min="2915" max="2915" width="10.7109375" style="9"/>
    <col min="2916" max="2916" width="10.7109375" style="9" customWidth="1"/>
    <col min="2917" max="2917" width="10.7109375" style="9"/>
    <col min="2918" max="2923" width="10.7109375" style="9" customWidth="1"/>
    <col min="2924" max="2924" width="10.7109375" style="9"/>
    <col min="2925" max="2928" width="10.7109375" style="9" customWidth="1"/>
    <col min="2929" max="2929" width="10.7109375" style="9"/>
    <col min="2930" max="2930" width="10.7109375" style="9" customWidth="1"/>
    <col min="2931" max="2931" width="10.7109375" style="9"/>
    <col min="2932" max="2961" width="10.7109375" style="9" customWidth="1"/>
    <col min="2962" max="2962" width="10.7109375" style="9"/>
    <col min="2963" max="2963" width="10.7109375" style="9" customWidth="1"/>
    <col min="2964" max="2964" width="10.7109375" style="9"/>
    <col min="2965" max="2965" width="10.7109375" style="9" customWidth="1"/>
    <col min="2966" max="2966" width="10.7109375" style="9"/>
    <col min="2967" max="2967" width="10.7109375" style="9" customWidth="1"/>
    <col min="2968" max="2968" width="10.7109375" style="9"/>
    <col min="2969" max="2974" width="10.7109375" style="9" customWidth="1"/>
    <col min="2975" max="2975" width="10.7109375" style="9"/>
    <col min="2976" max="2977" width="10.7109375" style="9" customWidth="1"/>
    <col min="2978" max="2979" width="10.7109375" style="9"/>
    <col min="2980" max="3026" width="10.7109375" style="9" customWidth="1"/>
    <col min="3027" max="3027" width="10.7109375" style="9"/>
    <col min="3028" max="3121" width="10.7109375" style="9" customWidth="1"/>
    <col min="3122" max="3122" width="10.7109375" style="9"/>
    <col min="3123" max="3164" width="10.7109375" style="9" customWidth="1"/>
    <col min="3165" max="3165" width="10.7109375" style="9"/>
    <col min="3166" max="3166" width="10.7109375" style="9" customWidth="1"/>
    <col min="3167" max="3168" width="10.7109375" style="9"/>
    <col min="3169" max="3170" width="10.7109375" style="9" customWidth="1"/>
    <col min="3171" max="3173" width="10.7109375" style="9"/>
    <col min="3174" max="3178" width="10.7109375" style="9" customWidth="1"/>
    <col min="3179" max="3179" width="10.7109375" style="9"/>
    <col min="3180" max="3188" width="10.7109375" style="9" customWidth="1"/>
    <col min="3189" max="3189" width="10.7109375" style="9"/>
    <col min="3190" max="3190" width="10.7109375" style="9" customWidth="1"/>
    <col min="3191" max="3191" width="10.7109375" style="9"/>
    <col min="3192" max="3193" width="10.7109375" style="9" customWidth="1"/>
    <col min="3194" max="3194" width="10.7109375" style="9"/>
    <col min="3195" max="3197" width="10.7109375" style="9" customWidth="1"/>
    <col min="3198" max="3200" width="10.7109375" style="9"/>
    <col min="3201" max="3201" width="10.7109375" style="9" customWidth="1"/>
    <col min="3202" max="3206" width="10.7109375" style="9"/>
    <col min="3207" max="3208" width="10.7109375" style="9" customWidth="1"/>
    <col min="3209" max="3209" width="10.7109375" style="9"/>
    <col min="3210" max="3212" width="10.7109375" style="9" customWidth="1"/>
    <col min="3213" max="3213" width="10.7109375" style="9"/>
    <col min="3214" max="3224" width="10.7109375" style="9" customWidth="1"/>
    <col min="3225" max="3225" width="10.7109375" style="9"/>
    <col min="3226" max="3227" width="10.7109375" style="9" customWidth="1"/>
    <col min="3228" max="3228" width="10.7109375" style="9"/>
    <col min="3229" max="3230" width="10.7109375" style="9" customWidth="1"/>
    <col min="3231" max="3231" width="10.7109375" style="9"/>
    <col min="3232" max="3232" width="10.7109375" style="9" customWidth="1"/>
    <col min="3233" max="3233" width="10.7109375" style="9"/>
    <col min="3234" max="3235" width="10.7109375" style="9" customWidth="1"/>
    <col min="3236" max="3237" width="10.7109375" style="9"/>
    <col min="3238" max="3239" width="10.7109375" style="9" customWidth="1"/>
    <col min="3240" max="3241" width="10.7109375" style="9"/>
    <col min="3242" max="3242" width="10.7109375" style="9" customWidth="1"/>
    <col min="3243" max="3244" width="10.7109375" style="9"/>
    <col min="3245" max="3256" width="10.7109375" style="9" customWidth="1"/>
    <col min="3257" max="3257" width="10.7109375" style="9"/>
    <col min="3258" max="3259" width="10.7109375" style="9" customWidth="1"/>
    <col min="3260" max="3260" width="10.7109375" style="9"/>
    <col min="3261" max="3262" width="10.7109375" style="9" customWidth="1"/>
    <col min="3263" max="3263" width="10.7109375" style="9"/>
    <col min="3264" max="3264" width="10.7109375" style="9" customWidth="1"/>
    <col min="3265" max="3265" width="10.7109375" style="9"/>
    <col min="3266" max="3267" width="10.7109375" style="9" customWidth="1"/>
    <col min="3268" max="3269" width="10.7109375" style="9"/>
    <col min="3270" max="3271" width="10.7109375" style="9" customWidth="1"/>
    <col min="3272" max="3273" width="10.7109375" style="9"/>
    <col min="3274" max="3274" width="10.7109375" style="9" customWidth="1"/>
    <col min="3275" max="3276" width="10.7109375" style="9"/>
    <col min="3277" max="3282" width="10.7109375" style="9" customWidth="1"/>
    <col min="3283" max="3283" width="10.7109375" style="9"/>
    <col min="3284" max="3286" width="10.7109375" style="9" customWidth="1"/>
    <col min="3287" max="3291" width="10.7109375" style="9"/>
    <col min="3292" max="3293" width="10.7109375" style="9" customWidth="1"/>
    <col min="3294" max="3295" width="10.7109375" style="9"/>
    <col min="3296" max="3297" width="10.7109375" style="9" customWidth="1"/>
    <col min="3298" max="3300" width="10.7109375" style="9"/>
    <col min="3301" max="3301" width="10.7109375" style="9" customWidth="1"/>
    <col min="3302" max="3302" width="10.7109375" style="9"/>
    <col min="3303" max="3303" width="10.7109375" style="9" customWidth="1"/>
    <col min="3304" max="3306" width="10.7109375" style="9"/>
    <col min="3307" max="3308" width="10.7109375" style="9" customWidth="1"/>
    <col min="3309" max="3309" width="10.7109375" style="9"/>
    <col min="3310" max="3311" width="10.7109375" style="9" customWidth="1"/>
    <col min="3312" max="3314" width="10.7109375" style="9"/>
    <col min="3315" max="3320" width="10.7109375" style="9" customWidth="1"/>
    <col min="3321" max="3321" width="10.7109375" style="9"/>
    <col min="3322" max="3323" width="10.7109375" style="9" customWidth="1"/>
    <col min="3324" max="3324" width="10.7109375" style="9"/>
    <col min="3325" max="3326" width="10.7109375" style="9" customWidth="1"/>
    <col min="3327" max="3327" width="10.7109375" style="9"/>
    <col min="3328" max="3328" width="10.7109375" style="9" customWidth="1"/>
    <col min="3329" max="3329" width="10.7109375" style="9"/>
    <col min="3330" max="3331" width="10.7109375" style="9" customWidth="1"/>
    <col min="3332" max="3333" width="10.7109375" style="9"/>
    <col min="3334" max="3335" width="10.7109375" style="9" customWidth="1"/>
    <col min="3336" max="3337" width="10.7109375" style="9"/>
    <col min="3338" max="3338" width="10.7109375" style="9" customWidth="1"/>
    <col min="3339" max="3340" width="10.7109375" style="9"/>
    <col min="3341" max="3355" width="10.7109375" style="9" customWidth="1"/>
    <col min="3356" max="3356" width="10.7109375" style="9"/>
    <col min="3357" max="3358" width="10.7109375" style="9" customWidth="1"/>
    <col min="3359" max="3359" width="10.7109375" style="9"/>
    <col min="3360" max="3360" width="10.7109375" style="9" customWidth="1"/>
    <col min="3361" max="3361" width="10.7109375" style="9"/>
    <col min="3362" max="3363" width="10.7109375" style="9" customWidth="1"/>
    <col min="3364" max="3365" width="10.7109375" style="9"/>
    <col min="3366" max="3367" width="10.7109375" style="9" customWidth="1"/>
    <col min="3368" max="3369" width="10.7109375" style="9"/>
    <col min="3370" max="3370" width="10.7109375" style="9" customWidth="1"/>
    <col min="3371" max="3372" width="10.7109375" style="9"/>
    <col min="3373" max="3384" width="10.7109375" style="9" customWidth="1"/>
    <col min="3385" max="3385" width="10.7109375" style="9"/>
    <col min="3386" max="3387" width="10.7109375" style="9" customWidth="1"/>
    <col min="3388" max="3388" width="10.7109375" style="9"/>
    <col min="3389" max="3390" width="10.7109375" style="9" customWidth="1"/>
    <col min="3391" max="3391" width="10.7109375" style="9"/>
    <col min="3392" max="3392" width="10.7109375" style="9" customWidth="1"/>
    <col min="3393" max="3393" width="10.7109375" style="9"/>
    <col min="3394" max="3395" width="10.7109375" style="9" customWidth="1"/>
    <col min="3396" max="3397" width="10.7109375" style="9"/>
    <col min="3398" max="3399" width="10.7109375" style="9" customWidth="1"/>
    <col min="3400" max="3401" width="10.7109375" style="9"/>
    <col min="3402" max="3402" width="10.7109375" style="9" customWidth="1"/>
    <col min="3403" max="3404" width="10.7109375" style="9"/>
    <col min="3405" max="3412" width="10.7109375" style="9" customWidth="1"/>
    <col min="3413" max="3415" width="10.7109375" style="9"/>
    <col min="3416" max="3416" width="10.7109375" style="9" customWidth="1"/>
    <col min="3417" max="3418" width="10.7109375" style="9"/>
    <col min="3419" max="3419" width="10.7109375" style="9" customWidth="1"/>
    <col min="3420" max="3421" width="10.7109375" style="9"/>
    <col min="3422" max="3424" width="10.7109375" style="9" customWidth="1"/>
    <col min="3425" max="3425" width="10.7109375" style="9"/>
    <col min="3426" max="3426" width="10.7109375" style="9" customWidth="1"/>
    <col min="3427" max="3427" width="10.7109375" style="9"/>
    <col min="3428" max="3428" width="10.7109375" style="9" customWidth="1"/>
    <col min="3429" max="3430" width="10.7109375" style="9"/>
    <col min="3431" max="3432" width="10.7109375" style="9" customWidth="1"/>
    <col min="3433" max="3433" width="10.7109375" style="9"/>
    <col min="3434" max="3436" width="10.7109375" style="9" customWidth="1"/>
    <col min="3437" max="3437" width="10.7109375" style="9"/>
    <col min="3438" max="3441" width="10.7109375" style="9" customWidth="1"/>
    <col min="3442" max="3442" width="10.7109375" style="9"/>
    <col min="3443" max="3484" width="10.7109375" style="9" customWidth="1"/>
    <col min="3485" max="3485" width="10.7109375" style="9"/>
    <col min="3486" max="3486" width="10.7109375" style="9" customWidth="1"/>
    <col min="3487" max="3488" width="10.7109375" style="9"/>
    <col min="3489" max="3490" width="10.7109375" style="9" customWidth="1"/>
    <col min="3491" max="3493" width="10.7109375" style="9"/>
    <col min="3494" max="3498" width="10.7109375" style="9" customWidth="1"/>
    <col min="3499" max="3499" width="10.7109375" style="9"/>
    <col min="3500" max="3512" width="10.7109375" style="9" customWidth="1"/>
    <col min="3513" max="3513" width="10.7109375" style="9"/>
    <col min="3514" max="3514" width="10.7109375" style="9" customWidth="1"/>
    <col min="3515" max="3515" width="10.7109375" style="9"/>
    <col min="3516" max="3520" width="10.7109375" style="9" customWidth="1"/>
    <col min="3521" max="3521" width="10.7109375" style="9"/>
    <col min="3522" max="3522" width="10.7109375" style="9" customWidth="1"/>
    <col min="3523" max="3525" width="10.7109375" style="9"/>
    <col min="3526" max="3530" width="10.7109375" style="9" customWidth="1"/>
    <col min="3531" max="3531" width="10.7109375" style="9"/>
    <col min="3532" max="3536" width="10.7109375" style="9" customWidth="1"/>
    <col min="3537" max="3541" width="10.7109375" style="9"/>
    <col min="3542" max="3542" width="10.7109375" style="9" customWidth="1"/>
    <col min="3543" max="3543" width="10.7109375" style="9"/>
    <col min="3544" max="3544" width="10.7109375" style="9" customWidth="1"/>
    <col min="3545" max="3546" width="10.7109375" style="9"/>
    <col min="3547" max="3547" width="10.7109375" style="9" customWidth="1"/>
    <col min="3548" max="3548" width="10.7109375" style="9"/>
    <col min="3549" max="3549" width="10.7109375" style="9" customWidth="1"/>
    <col min="3550" max="3551" width="10.7109375" style="9"/>
    <col min="3552" max="3552" width="10.7109375" style="9" customWidth="1"/>
    <col min="3553" max="3553" width="10.7109375" style="9"/>
    <col min="3554" max="3555" width="10.7109375" style="9" customWidth="1"/>
    <col min="3556" max="3558" width="10.7109375" style="9"/>
    <col min="3559" max="3562" width="10.7109375" style="9" customWidth="1"/>
    <col min="3563" max="3563" width="10.7109375" style="9"/>
    <col min="3564" max="3564" width="10.7109375" style="9" customWidth="1"/>
    <col min="3565" max="3565" width="10.7109375" style="9"/>
    <col min="3566" max="3567" width="10.7109375" style="9" customWidth="1"/>
    <col min="3568" max="3568" width="10.7109375" style="9"/>
    <col min="3569" max="3576" width="10.7109375" style="9" customWidth="1"/>
    <col min="3577" max="3577" width="10.7109375" style="9"/>
    <col min="3578" max="3578" width="10.7109375" style="9" customWidth="1"/>
    <col min="3579" max="3579" width="10.7109375" style="9"/>
    <col min="3580" max="3584" width="10.7109375" style="9" customWidth="1"/>
    <col min="3585" max="3585" width="10.7109375" style="9"/>
    <col min="3586" max="3586" width="10.7109375" style="9" customWidth="1"/>
    <col min="3587" max="3589" width="10.7109375" style="9"/>
    <col min="3590" max="3594" width="10.7109375" style="9" customWidth="1"/>
    <col min="3595" max="3595" width="10.7109375" style="9"/>
    <col min="3596" max="3612" width="10.7109375" style="9" customWidth="1"/>
    <col min="3613" max="3613" width="10.7109375" style="9"/>
    <col min="3614" max="3614" width="10.7109375" style="9" customWidth="1"/>
    <col min="3615" max="3616" width="10.7109375" style="9"/>
    <col min="3617" max="3618" width="10.7109375" style="9" customWidth="1"/>
    <col min="3619" max="3621" width="10.7109375" style="9"/>
    <col min="3622" max="3626" width="10.7109375" style="9" customWidth="1"/>
    <col min="3627" max="3627" width="10.7109375" style="9"/>
    <col min="3628" max="3635" width="10.7109375" style="9" customWidth="1"/>
    <col min="3636" max="3636" width="10.7109375" style="9"/>
    <col min="3637" max="3640" width="10.7109375" style="9" customWidth="1"/>
    <col min="3641" max="3641" width="10.7109375" style="9"/>
    <col min="3642" max="3643" width="10.7109375" style="9" customWidth="1"/>
    <col min="3644" max="3644" width="10.7109375" style="9"/>
    <col min="3645" max="3645" width="10.7109375" style="9" customWidth="1"/>
    <col min="3646" max="3646" width="10.7109375" style="9"/>
    <col min="3647" max="3647" width="10.7109375" style="9" customWidth="1"/>
    <col min="3648" max="3662" width="10.7109375" style="9"/>
    <col min="3663" max="3663" width="10.7109375" style="9" customWidth="1"/>
    <col min="3664" max="3669" width="10.7109375" style="9"/>
    <col min="3670" max="3671" width="10.7109375" style="9" customWidth="1"/>
    <col min="3672" max="3675" width="10.7109375" style="9"/>
    <col min="3676" max="3676" width="10.7109375" style="9" customWidth="1"/>
    <col min="3677" max="3678" width="10.7109375" style="9"/>
    <col min="3679" max="3679" width="10.7109375" style="9" customWidth="1"/>
    <col min="3680" max="3682" width="10.7109375" style="9"/>
    <col min="3683" max="3683" width="10.7109375" style="9" customWidth="1"/>
    <col min="3684" max="3686" width="10.7109375" style="9"/>
    <col min="3687" max="3687" width="10.7109375" style="9" customWidth="1"/>
    <col min="3688" max="3688" width="10.7109375" style="9"/>
    <col min="3689" max="3690" width="10.7109375" style="9" customWidth="1"/>
    <col min="3691" max="3692" width="10.7109375" style="9"/>
    <col min="3693" max="3697" width="10.7109375" style="9" customWidth="1"/>
    <col min="3698" max="3698" width="10.7109375" style="9"/>
    <col min="3699" max="3740" width="10.7109375" style="9" customWidth="1"/>
    <col min="3741" max="3741" width="10.7109375" style="9"/>
    <col min="3742" max="3742" width="10.7109375" style="9" customWidth="1"/>
    <col min="3743" max="3744" width="10.7109375" style="9"/>
    <col min="3745" max="3746" width="10.7109375" style="9" customWidth="1"/>
    <col min="3747" max="3749" width="10.7109375" style="9"/>
    <col min="3750" max="3754" width="10.7109375" style="9" customWidth="1"/>
    <col min="3755" max="3755" width="10.7109375" style="9"/>
    <col min="3756" max="3768" width="10.7109375" style="9" customWidth="1"/>
    <col min="3769" max="3769" width="10.7109375" style="9"/>
    <col min="3770" max="3770" width="10.7109375" style="9" customWidth="1"/>
    <col min="3771" max="3771" width="10.7109375" style="9"/>
    <col min="3772" max="3776" width="10.7109375" style="9" customWidth="1"/>
    <col min="3777" max="3777" width="10.7109375" style="9"/>
    <col min="3778" max="3778" width="10.7109375" style="9" customWidth="1"/>
    <col min="3779" max="3781" width="10.7109375" style="9"/>
    <col min="3782" max="3786" width="10.7109375" style="9" customWidth="1"/>
    <col min="3787" max="3787" width="10.7109375" style="9"/>
    <col min="3788" max="3800" width="10.7109375" style="9" customWidth="1"/>
    <col min="3801" max="3801" width="10.7109375" style="9"/>
    <col min="3802" max="3802" width="10.7109375" style="9" customWidth="1"/>
    <col min="3803" max="3803" width="10.7109375" style="9"/>
    <col min="3804" max="3808" width="10.7109375" style="9" customWidth="1"/>
    <col min="3809" max="3809" width="10.7109375" style="9"/>
    <col min="3810" max="3810" width="10.7109375" style="9" customWidth="1"/>
    <col min="3811" max="3813" width="10.7109375" style="9"/>
    <col min="3814" max="3818" width="10.7109375" style="9" customWidth="1"/>
    <col min="3819" max="3819" width="10.7109375" style="9"/>
    <col min="3820" max="3832" width="10.7109375" style="9" customWidth="1"/>
    <col min="3833" max="3833" width="10.7109375" style="9"/>
    <col min="3834" max="3834" width="10.7109375" style="9" customWidth="1"/>
    <col min="3835" max="3835" width="10.7109375" style="9"/>
    <col min="3836" max="3840" width="10.7109375" style="9" customWidth="1"/>
    <col min="3841" max="3841" width="10.7109375" style="9"/>
    <col min="3842" max="3842" width="10.7109375" style="9" customWidth="1"/>
    <col min="3843" max="3845" width="10.7109375" style="9"/>
    <col min="3846" max="3850" width="10.7109375" style="9" customWidth="1"/>
    <col min="3851" max="3851" width="10.7109375" style="9"/>
    <col min="3852" max="3868" width="10.7109375" style="9" customWidth="1"/>
    <col min="3869" max="3869" width="10.7109375" style="9"/>
    <col min="3870" max="3870" width="10.7109375" style="9" customWidth="1"/>
    <col min="3871" max="3872" width="10.7109375" style="9"/>
    <col min="3873" max="3874" width="10.7109375" style="9" customWidth="1"/>
    <col min="3875" max="3877" width="10.7109375" style="9"/>
    <col min="3878" max="3882" width="10.7109375" style="9" customWidth="1"/>
    <col min="3883" max="3883" width="10.7109375" style="9"/>
    <col min="3884" max="3891" width="10.7109375" style="9" customWidth="1"/>
    <col min="3892" max="3892" width="10.7109375" style="9"/>
    <col min="3893" max="3893" width="10.7109375" style="9" customWidth="1"/>
    <col min="3894" max="3894" width="10.7109375" style="9"/>
    <col min="3895" max="3896" width="10.7109375" style="9" customWidth="1"/>
    <col min="3897" max="3897" width="10.7109375" style="9"/>
    <col min="3898" max="3899" width="10.7109375" style="9" customWidth="1"/>
    <col min="3900" max="3900" width="10.7109375" style="9"/>
    <col min="3901" max="3901" width="10.7109375" style="9" customWidth="1"/>
    <col min="3902" max="3902" width="10.7109375" style="9"/>
    <col min="3903" max="3903" width="10.7109375" style="9" customWidth="1"/>
    <col min="3904" max="3918" width="10.7109375" style="9"/>
    <col min="3919" max="3919" width="10.7109375" style="9" customWidth="1"/>
    <col min="3920" max="3920" width="10.7109375" style="9"/>
    <col min="3921" max="3923" width="10.7109375" style="9" customWidth="1"/>
    <col min="3924" max="3924" width="10.7109375" style="9"/>
    <col min="3925" max="3927" width="10.7109375" style="9" customWidth="1"/>
    <col min="3928" max="3928" width="10.7109375" style="9"/>
    <col min="3929" max="3932" width="10.7109375" style="9" customWidth="1"/>
    <col min="3933" max="3935" width="10.7109375" style="9"/>
    <col min="3936" max="3936" width="10.7109375" style="9" customWidth="1"/>
    <col min="3937" max="3939" width="10.7109375" style="9"/>
    <col min="3940" max="3941" width="10.7109375" style="9" customWidth="1"/>
    <col min="3942" max="3942" width="10.7109375" style="9"/>
    <col min="3943" max="3945" width="10.7109375" style="9" customWidth="1"/>
    <col min="3946" max="3946" width="10.7109375" style="9"/>
    <col min="3947" max="3947" width="10.7109375" style="9" customWidth="1"/>
    <col min="3948" max="3949" width="10.7109375" style="9"/>
    <col min="3950" max="3951" width="10.7109375" style="9" customWidth="1"/>
    <col min="3952" max="3952" width="10.7109375" style="9"/>
    <col min="3953" max="3960" width="10.7109375" style="9" customWidth="1"/>
    <col min="3961" max="3961" width="10.7109375" style="9"/>
    <col min="3962" max="3962" width="10.7109375" style="9" customWidth="1"/>
    <col min="3963" max="3963" width="10.7109375" style="9"/>
    <col min="3964" max="3968" width="10.7109375" style="9" customWidth="1"/>
    <col min="3969" max="3969" width="10.7109375" style="9"/>
    <col min="3970" max="3970" width="10.7109375" style="9" customWidth="1"/>
    <col min="3971" max="3973" width="10.7109375" style="9"/>
    <col min="3974" max="3978" width="10.7109375" style="9" customWidth="1"/>
    <col min="3979" max="3979" width="10.7109375" style="9"/>
    <col min="3980" max="3984" width="10.7109375" style="9" customWidth="1"/>
    <col min="3985" max="3986" width="10.7109375" style="9"/>
    <col min="3987" max="4025" width="10.7109375" style="9" customWidth="1"/>
    <col min="4026" max="4026" width="10.7109375" style="9"/>
    <col min="4027" max="4027" width="10.7109375" style="9" customWidth="1"/>
    <col min="4028" max="4028" width="10.7109375" style="9"/>
    <col min="4029" max="4030" width="10.7109375" style="9" customWidth="1"/>
    <col min="4031" max="4031" width="10.7109375" style="9"/>
    <col min="4032" max="4032" width="10.7109375" style="9" customWidth="1"/>
    <col min="4033" max="4033" width="10.7109375" style="9"/>
    <col min="4034" max="4035" width="10.7109375" style="9" customWidth="1"/>
    <col min="4036" max="4037" width="10.7109375" style="9"/>
    <col min="4038" max="4039" width="10.7109375" style="9" customWidth="1"/>
    <col min="4040" max="4041" width="10.7109375" style="9"/>
    <col min="4042" max="4042" width="10.7109375" style="9" customWidth="1"/>
    <col min="4043" max="4044" width="10.7109375" style="9"/>
    <col min="4045" max="4053" width="10.7109375" style="9" customWidth="1"/>
    <col min="4054" max="4054" width="10.7109375" style="9"/>
    <col min="4055" max="4055" width="10.7109375" style="9" customWidth="1"/>
    <col min="4056" max="4059" width="10.7109375" style="9"/>
    <col min="4060" max="4061" width="10.7109375" style="9" customWidth="1"/>
    <col min="4062" max="4062" width="10.7109375" style="9"/>
    <col min="4063" max="4064" width="10.7109375" style="9" customWidth="1"/>
    <col min="4065" max="4065" width="10.7109375" style="9"/>
    <col min="4066" max="4067" width="10.7109375" style="9" customWidth="1"/>
    <col min="4068" max="4070" width="10.7109375" style="9"/>
    <col min="4071" max="4072" width="10.7109375" style="9" customWidth="1"/>
    <col min="4073" max="4073" width="10.7109375" style="9"/>
    <col min="4074" max="4076" width="10.7109375" style="9" customWidth="1"/>
    <col min="4077" max="4077" width="10.7109375" style="9"/>
    <col min="4078" max="4080" width="10.7109375" style="9" customWidth="1"/>
    <col min="4081" max="4083" width="10.7109375" style="9"/>
    <col min="4084" max="4084" width="10.7109375" style="9" customWidth="1"/>
    <col min="4085" max="4086" width="10.7109375" style="9"/>
    <col min="4087" max="4087" width="10.7109375" style="9" customWidth="1"/>
    <col min="4088" max="4088" width="10.7109375" style="9"/>
    <col min="4089" max="4091" width="10.7109375" style="9" customWidth="1"/>
    <col min="4092" max="4092" width="10.7109375" style="9"/>
    <col min="4093" max="4121" width="10.7109375" style="9" customWidth="1"/>
    <col min="4122" max="4122" width="10.7109375" style="9"/>
    <col min="4123" max="4145" width="10.7109375" style="9" customWidth="1"/>
    <col min="4146" max="4147" width="10.7109375" style="9"/>
    <col min="4148" max="4148" width="10.7109375" style="9" customWidth="1"/>
    <col min="4149" max="4150" width="10.7109375" style="9"/>
    <col min="4151" max="4151" width="10.7109375" style="9" customWidth="1"/>
    <col min="4152" max="4152" width="10.7109375" style="9"/>
    <col min="4153" max="4155" width="10.7109375" style="9" customWidth="1"/>
    <col min="4156" max="4156" width="10.7109375" style="9"/>
    <col min="4157" max="4196" width="10.7109375" style="9" customWidth="1"/>
    <col min="4197" max="4198" width="10.7109375" style="9"/>
    <col min="4199" max="4200" width="10.7109375" style="9" customWidth="1"/>
    <col min="4201" max="4201" width="10.7109375" style="9"/>
    <col min="4202" max="4204" width="10.7109375" style="9" customWidth="1"/>
    <col min="4205" max="4205" width="10.7109375" style="9"/>
    <col min="4206" max="4212" width="10.7109375" style="9" customWidth="1"/>
    <col min="4213" max="4213" width="10.7109375" style="9"/>
    <col min="4214" max="4215" width="10.7109375" style="9" customWidth="1"/>
    <col min="4216" max="4216" width="10.7109375" style="9"/>
    <col min="4217" max="4217" width="10.7109375" style="9" customWidth="1"/>
    <col min="4218" max="4219" width="10.7109375" style="9"/>
    <col min="4220" max="4220" width="10.7109375" style="9" customWidth="1"/>
    <col min="4221" max="4222" width="10.7109375" style="9"/>
    <col min="4223" max="4223" width="10.7109375" style="9" customWidth="1"/>
    <col min="4224" max="4224" width="10.7109375" style="9"/>
    <col min="4225" max="4227" width="10.7109375" style="9" customWidth="1"/>
    <col min="4228" max="4230" width="10.7109375" style="9"/>
    <col min="4231" max="4232" width="10.7109375" style="9" customWidth="1"/>
    <col min="4233" max="4233" width="10.7109375" style="9"/>
    <col min="4234" max="4236" width="10.7109375" style="9" customWidth="1"/>
    <col min="4237" max="4237" width="10.7109375" style="9"/>
    <col min="4238" max="4247" width="10.7109375" style="9" customWidth="1"/>
    <col min="4248" max="4248" width="10.7109375" style="9"/>
    <col min="4249" max="4254" width="10.7109375" style="9" customWidth="1"/>
    <col min="4255" max="4262" width="10.7109375" style="9"/>
    <col min="4263" max="4264" width="10.7109375" style="9" customWidth="1"/>
    <col min="4265" max="4265" width="10.7109375" style="9"/>
    <col min="4266" max="4268" width="10.7109375" style="9" customWidth="1"/>
    <col min="4269" max="4269" width="10.7109375" style="9"/>
    <col min="4270" max="4277" width="10.7109375" style="9" customWidth="1"/>
    <col min="4278" max="4278" width="10.7109375" style="9"/>
    <col min="4279" max="4308" width="10.7109375" style="9" customWidth="1"/>
    <col min="4309" max="4311" width="10.7109375" style="9"/>
    <col min="4312" max="4313" width="10.7109375" style="9" customWidth="1"/>
    <col min="4314" max="4315" width="10.7109375" style="9"/>
    <col min="4316" max="4316" width="10.7109375" style="9" customWidth="1"/>
    <col min="4317" max="4318" width="10.7109375" style="9"/>
    <col min="4319" max="4319" width="10.7109375" style="9" customWidth="1"/>
    <col min="4320" max="4320" width="10.7109375" style="9"/>
    <col min="4321" max="4323" width="10.7109375" style="9" customWidth="1"/>
    <col min="4324" max="4326" width="10.7109375" style="9"/>
    <col min="4327" max="4328" width="10.7109375" style="9" customWidth="1"/>
    <col min="4329" max="4329" width="10.7109375" style="9"/>
    <col min="4330" max="4332" width="10.7109375" style="9" customWidth="1"/>
    <col min="4333" max="4333" width="10.7109375" style="9"/>
    <col min="4334" max="4336" width="10.7109375" style="9" customWidth="1"/>
    <col min="4337" max="4338" width="10.7109375" style="9"/>
    <col min="4339" max="4340" width="10.7109375" style="9" customWidth="1"/>
    <col min="4341" max="4341" width="10.7109375" style="9"/>
    <col min="4342" max="4342" width="10.7109375" style="9" customWidth="1"/>
    <col min="4343" max="4343" width="10.7109375" style="9"/>
    <col min="4344" max="4344" width="10.7109375" style="9" customWidth="1"/>
    <col min="4345" max="4348" width="10.7109375" style="9"/>
    <col min="4349" max="4395" width="10.7109375" style="9" customWidth="1"/>
    <col min="4396" max="4396" width="10.7109375" style="9"/>
    <col min="4397" max="4401" width="10.7109375" style="9" customWidth="1"/>
    <col min="4402" max="4402" width="10.7109375" style="9"/>
    <col min="4403" max="4404" width="10.7109375" style="9" customWidth="1"/>
    <col min="4405" max="4405" width="10.7109375" style="9"/>
    <col min="4406" max="4406" width="10.7109375" style="9" customWidth="1"/>
    <col min="4407" max="4407" width="10.7109375" style="9"/>
    <col min="4408" max="4408" width="10.7109375" style="9" customWidth="1"/>
    <col min="4409" max="4412" width="10.7109375" style="9"/>
    <col min="4413" max="4454" width="10.7109375" style="9" customWidth="1"/>
    <col min="4455" max="4457" width="10.7109375" style="9"/>
    <col min="4458" max="4460" width="10.7109375" style="9" customWidth="1"/>
    <col min="4461" max="4461" width="10.7109375" style="9"/>
    <col min="4462" max="4468" width="10.7109375" style="9" customWidth="1"/>
    <col min="4469" max="4470" width="10.7109375" style="9"/>
    <col min="4471" max="4471" width="10.7109375" style="9" customWidth="1"/>
    <col min="4472" max="4474" width="10.7109375" style="9"/>
    <col min="4475" max="4476" width="10.7109375" style="9" customWidth="1"/>
    <col min="4477" max="4477" width="10.7109375" style="9"/>
    <col min="4478" max="4478" width="10.7109375" style="9" customWidth="1"/>
    <col min="4479" max="4479" width="10.7109375" style="9"/>
    <col min="4480" max="4480" width="10.7109375" style="9" customWidth="1"/>
    <col min="4481" max="4484" width="10.7109375" style="9"/>
    <col min="4485" max="4486" width="10.7109375" style="9" customWidth="1"/>
    <col min="4487" max="4489" width="10.7109375" style="9"/>
    <col min="4490" max="4492" width="10.7109375" style="9" customWidth="1"/>
    <col min="4493" max="4493" width="10.7109375" style="9"/>
    <col min="4494" max="4503" width="10.7109375" style="9" customWidth="1"/>
    <col min="4504" max="4504" width="10.7109375" style="9"/>
    <col min="4505" max="4510" width="10.7109375" style="9" customWidth="1"/>
    <col min="4511" max="4516" width="10.7109375" style="9"/>
    <col min="4517" max="4518" width="10.7109375" style="9" customWidth="1"/>
    <col min="4519" max="4521" width="10.7109375" style="9"/>
    <col min="4522" max="4524" width="10.7109375" style="9" customWidth="1"/>
    <col min="4525" max="4525" width="10.7109375" style="9"/>
    <col min="4526" max="4533" width="10.7109375" style="9" customWidth="1"/>
    <col min="4534" max="4534" width="10.7109375" style="9"/>
    <col min="4535" max="4564" width="10.7109375" style="9" customWidth="1"/>
    <col min="4565" max="4565" width="10.7109375" style="9"/>
    <col min="4566" max="4567" width="10.7109375" style="9" customWidth="1"/>
    <col min="4568" max="4570" width="10.7109375" style="9"/>
    <col min="4571" max="4572" width="10.7109375" style="9" customWidth="1"/>
    <col min="4573" max="4573" width="10.7109375" style="9"/>
    <col min="4574" max="4574" width="10.7109375" style="9" customWidth="1"/>
    <col min="4575" max="4575" width="10.7109375" style="9"/>
    <col min="4576" max="4576" width="10.7109375" style="9" customWidth="1"/>
    <col min="4577" max="4580" width="10.7109375" style="9"/>
    <col min="4581" max="4582" width="10.7109375" style="9" customWidth="1"/>
    <col min="4583" max="4585" width="10.7109375" style="9"/>
    <col min="4586" max="4588" width="10.7109375" style="9" customWidth="1"/>
    <col min="4589" max="4589" width="10.7109375" style="9"/>
    <col min="4590" max="4596" width="10.7109375" style="9" customWidth="1"/>
    <col min="4597" max="4598" width="10.7109375" style="9"/>
    <col min="4599" max="4601" width="10.7109375" style="9" customWidth="1"/>
    <col min="4602" max="4603" width="10.7109375" style="9"/>
    <col min="4604" max="4605" width="10.7109375" style="9" customWidth="1"/>
    <col min="4606" max="4607" width="10.7109375" style="9"/>
    <col min="4608" max="4608" width="10.7109375" style="9" customWidth="1"/>
    <col min="4609" max="4612" width="10.7109375" style="9"/>
    <col min="4613" max="4628" width="10.7109375" style="9" customWidth="1"/>
    <col min="4629" max="4629" width="10.7109375" style="9"/>
    <col min="4630" max="4631" width="10.7109375" style="9" customWidth="1"/>
    <col min="4632" max="4634" width="10.7109375" style="9"/>
    <col min="4635" max="4636" width="10.7109375" style="9" customWidth="1"/>
    <col min="4637" max="4637" width="10.7109375" style="9"/>
    <col min="4638" max="4638" width="10.7109375" style="9" customWidth="1"/>
    <col min="4639" max="4639" width="10.7109375" style="9"/>
    <col min="4640" max="4640" width="10.7109375" style="9" customWidth="1"/>
    <col min="4641" max="4644" width="10.7109375" style="9"/>
    <col min="4645" max="4646" width="10.7109375" style="9" customWidth="1"/>
    <col min="4647" max="4649" width="10.7109375" style="9"/>
    <col min="4650" max="4652" width="10.7109375" style="9" customWidth="1"/>
    <col min="4653" max="4653" width="10.7109375" style="9"/>
    <col min="4654" max="4678" width="10.7109375" style="9" customWidth="1"/>
    <col min="4679" max="4681" width="10.7109375" style="9"/>
    <col min="4682" max="4684" width="10.7109375" style="9" customWidth="1"/>
    <col min="4685" max="4685" width="10.7109375" style="9"/>
    <col min="4686" max="4692" width="10.7109375" style="9" customWidth="1"/>
    <col min="4693" max="4693" width="10.7109375" style="9"/>
    <col min="4694" max="4695" width="10.7109375" style="9" customWidth="1"/>
    <col min="4696" max="4698" width="10.7109375" style="9"/>
    <col min="4699" max="4700" width="10.7109375" style="9" customWidth="1"/>
    <col min="4701" max="4701" width="10.7109375" style="9"/>
    <col min="4702" max="4702" width="10.7109375" style="9" customWidth="1"/>
    <col min="4703" max="4703" width="10.7109375" style="9"/>
    <col min="4704" max="4704" width="10.7109375" style="9" customWidth="1"/>
    <col min="4705" max="4708" width="10.7109375" style="9"/>
    <col min="4709" max="4710" width="10.7109375" style="9" customWidth="1"/>
    <col min="4711" max="4713" width="10.7109375" style="9"/>
    <col min="4714" max="4716" width="10.7109375" style="9" customWidth="1"/>
    <col min="4717" max="4717" width="10.7109375" style="9"/>
    <col min="4718" max="4721" width="10.7109375" style="9" customWidth="1"/>
    <col min="4722" max="4722" width="10.7109375" style="9"/>
    <col min="4723" max="4764" width="10.7109375" style="9" customWidth="1"/>
    <col min="4765" max="4765" width="10.7109375" style="9"/>
    <col min="4766" max="4766" width="10.7109375" style="9" customWidth="1"/>
    <col min="4767" max="4768" width="10.7109375" style="9"/>
    <col min="4769" max="4770" width="10.7109375" style="9" customWidth="1"/>
    <col min="4771" max="4773" width="10.7109375" style="9"/>
    <col min="4774" max="4778" width="10.7109375" style="9" customWidth="1"/>
    <col min="4779" max="4779" width="10.7109375" style="9"/>
    <col min="4780" max="4792" width="10.7109375" style="9" customWidth="1"/>
    <col min="4793" max="4793" width="10.7109375" style="9"/>
    <col min="4794" max="4794" width="10.7109375" style="9" customWidth="1"/>
    <col min="4795" max="4795" width="10.7109375" style="9"/>
    <col min="4796" max="4800" width="10.7109375" style="9" customWidth="1"/>
    <col min="4801" max="4801" width="10.7109375" style="9"/>
    <col min="4802" max="4802" width="10.7109375" style="9" customWidth="1"/>
    <col min="4803" max="4805" width="10.7109375" style="9"/>
    <col min="4806" max="4810" width="10.7109375" style="9" customWidth="1"/>
    <col min="4811" max="4811" width="10.7109375" style="9"/>
    <col min="4812" max="4824" width="10.7109375" style="9" customWidth="1"/>
    <col min="4825" max="4825" width="10.7109375" style="9"/>
    <col min="4826" max="4826" width="10.7109375" style="9" customWidth="1"/>
    <col min="4827" max="4827" width="10.7109375" style="9"/>
    <col min="4828" max="4832" width="10.7109375" style="9" customWidth="1"/>
    <col min="4833" max="4833" width="10.7109375" style="9"/>
    <col min="4834" max="4834" width="10.7109375" style="9" customWidth="1"/>
    <col min="4835" max="4837" width="10.7109375" style="9"/>
    <col min="4838" max="4842" width="10.7109375" style="9" customWidth="1"/>
    <col min="4843" max="4843" width="10.7109375" style="9"/>
    <col min="4844" max="4856" width="10.7109375" style="9" customWidth="1"/>
    <col min="4857" max="4857" width="10.7109375" style="9"/>
    <col min="4858" max="4858" width="10.7109375" style="9" customWidth="1"/>
    <col min="4859" max="4859" width="10.7109375" style="9"/>
    <col min="4860" max="4864" width="10.7109375" style="9" customWidth="1"/>
    <col min="4865" max="4865" width="10.7109375" style="9"/>
    <col min="4866" max="4866" width="10.7109375" style="9" customWidth="1"/>
    <col min="4867" max="4869" width="10.7109375" style="9"/>
    <col min="4870" max="4874" width="10.7109375" style="9" customWidth="1"/>
    <col min="4875" max="4875" width="10.7109375" style="9"/>
    <col min="4876" max="4892" width="10.7109375" style="9" customWidth="1"/>
    <col min="4893" max="4893" width="10.7109375" style="9"/>
    <col min="4894" max="4894" width="10.7109375" style="9" customWidth="1"/>
    <col min="4895" max="4896" width="10.7109375" style="9"/>
    <col min="4897" max="4898" width="10.7109375" style="9" customWidth="1"/>
    <col min="4899" max="4901" width="10.7109375" style="9"/>
    <col min="4902" max="4906" width="10.7109375" style="9" customWidth="1"/>
    <col min="4907" max="4907" width="10.7109375" style="9"/>
    <col min="4908" max="4915" width="10.7109375" style="9" customWidth="1"/>
    <col min="4916" max="4916" width="10.7109375" style="9"/>
    <col min="4917" max="4917" width="10.7109375" style="9" customWidth="1"/>
    <col min="4918" max="4918" width="10.7109375" style="9"/>
    <col min="4919" max="4919" width="10.7109375" style="9" customWidth="1"/>
    <col min="4920" max="4921" width="10.7109375" style="9"/>
    <col min="4922" max="4923" width="10.7109375" style="9" customWidth="1"/>
    <col min="4924" max="4924" width="10.7109375" style="9"/>
    <col min="4925" max="4925" width="10.7109375" style="9" customWidth="1"/>
    <col min="4926" max="4926" width="10.7109375" style="9"/>
    <col min="4927" max="4927" width="10.7109375" style="9" customWidth="1"/>
    <col min="4928" max="4942" width="10.7109375" style="9"/>
    <col min="4943" max="4943" width="10.7109375" style="9" customWidth="1"/>
    <col min="4944" max="4944" width="10.7109375" style="9"/>
    <col min="4945" max="4949" width="10.7109375" style="9" customWidth="1"/>
    <col min="4950" max="4950" width="10.7109375" style="9"/>
    <col min="4951" max="4951" width="10.7109375" style="9" customWidth="1"/>
    <col min="4952" max="4955" width="10.7109375" style="9"/>
    <col min="4956" max="4957" width="10.7109375" style="9" customWidth="1"/>
    <col min="4958" max="4958" width="10.7109375" style="9"/>
    <col min="4959" max="4960" width="10.7109375" style="9" customWidth="1"/>
    <col min="4961" max="4961" width="10.7109375" style="9"/>
    <col min="4962" max="4963" width="10.7109375" style="9" customWidth="1"/>
    <col min="4964" max="4966" width="10.7109375" style="9"/>
    <col min="4967" max="4968" width="10.7109375" style="9" customWidth="1"/>
    <col min="4969" max="4969" width="10.7109375" style="9"/>
    <col min="4970" max="4972" width="10.7109375" style="9" customWidth="1"/>
    <col min="4973" max="4973" width="10.7109375" style="9"/>
    <col min="4974" max="4988" width="10.7109375" style="9" customWidth="1"/>
    <col min="4989" max="4989" width="10.7109375" style="9"/>
    <col min="4990" max="4990" width="10.7109375" style="9" customWidth="1"/>
    <col min="4991" max="4992" width="10.7109375" style="9"/>
    <col min="4993" max="4994" width="10.7109375" style="9" customWidth="1"/>
    <col min="4995" max="4997" width="10.7109375" style="9"/>
    <col min="4998" max="5002" width="10.7109375" style="9" customWidth="1"/>
    <col min="5003" max="5003" width="10.7109375" style="9"/>
    <col min="5004" max="5008" width="10.7109375" style="9" customWidth="1"/>
    <col min="5009" max="5010" width="10.7109375" style="9"/>
    <col min="5011" max="5024" width="10.7109375" style="9" customWidth="1"/>
    <col min="5025" max="5025" width="10.7109375" style="9"/>
    <col min="5026" max="5028" width="10.7109375" style="9" customWidth="1"/>
    <col min="5029" max="5029" width="10.7109375" style="9"/>
    <col min="5030" max="5040" width="10.7109375" style="9" customWidth="1"/>
    <col min="5041" max="5042" width="10.7109375" style="9"/>
    <col min="5043" max="5084" width="10.7109375" style="9" customWidth="1"/>
    <col min="5085" max="5085" width="10.7109375" style="9"/>
    <col min="5086" max="5086" width="10.7109375" style="9" customWidth="1"/>
    <col min="5087" max="5088" width="10.7109375" style="9"/>
    <col min="5089" max="5090" width="10.7109375" style="9" customWidth="1"/>
    <col min="5091" max="5093" width="10.7109375" style="9"/>
    <col min="5094" max="5098" width="10.7109375" style="9" customWidth="1"/>
    <col min="5099" max="5099" width="10.7109375" style="9"/>
    <col min="5100" max="5144" width="10.7109375" style="9" customWidth="1"/>
    <col min="5145" max="5145" width="10.7109375" style="9"/>
    <col min="5146" max="5146" width="10.7109375" style="9" customWidth="1"/>
    <col min="5147" max="5147" width="10.7109375" style="9"/>
    <col min="5148" max="5152" width="10.7109375" style="9" customWidth="1"/>
    <col min="5153" max="5153" width="10.7109375" style="9"/>
    <col min="5154" max="5154" width="10.7109375" style="9" customWidth="1"/>
    <col min="5155" max="5157" width="10.7109375" style="9"/>
    <col min="5158" max="5162" width="10.7109375" style="9" customWidth="1"/>
    <col min="5163" max="5163" width="10.7109375" style="9"/>
    <col min="5164" max="5171" width="10.7109375" style="9" customWidth="1"/>
    <col min="5172" max="5173" width="10.7109375" style="9"/>
    <col min="5174" max="5174" width="10.7109375" style="9" customWidth="1"/>
    <col min="5175" max="5177" width="10.7109375" style="9"/>
    <col min="5178" max="5179" width="10.7109375" style="9" customWidth="1"/>
    <col min="5180" max="5180" width="10.7109375" style="9"/>
    <col min="5181" max="5181" width="10.7109375" style="9" customWidth="1"/>
    <col min="5182" max="5182" width="10.7109375" style="9"/>
    <col min="5183" max="5183" width="10.7109375" style="9" customWidth="1"/>
    <col min="5184" max="5198" width="10.7109375" style="9"/>
    <col min="5199" max="5199" width="10.7109375" style="9" customWidth="1"/>
    <col min="5200" max="5202" width="10.7109375" style="9"/>
    <col min="5203" max="5203" width="10.7109375" style="9" customWidth="1"/>
    <col min="5204" max="5204" width="10.7109375" style="9"/>
    <col min="5205" max="5206" width="10.7109375" style="9" customWidth="1"/>
    <col min="5207" max="5211" width="10.7109375" style="9"/>
    <col min="5212" max="5214" width="10.7109375" style="9" customWidth="1"/>
    <col min="5215" max="5215" width="10.7109375" style="9"/>
    <col min="5216" max="5216" width="10.7109375" style="9" customWidth="1"/>
    <col min="5217" max="5219" width="10.7109375" style="9"/>
    <col min="5220" max="5221" width="10.7109375" style="9" customWidth="1"/>
    <col min="5222" max="5222" width="10.7109375" style="9"/>
    <col min="5223" max="5225" width="10.7109375" style="9" customWidth="1"/>
    <col min="5226" max="5226" width="10.7109375" style="9"/>
    <col min="5227" max="5227" width="10.7109375" style="9" customWidth="1"/>
    <col min="5228" max="5229" width="10.7109375" style="9"/>
    <col min="5230" max="5231" width="10.7109375" style="9" customWidth="1"/>
    <col min="5232" max="5232" width="10.7109375" style="9"/>
    <col min="5233" max="5240" width="10.7109375" style="9" customWidth="1"/>
    <col min="5241" max="5241" width="10.7109375" style="9"/>
    <col min="5242" max="5242" width="10.7109375" style="9" customWidth="1"/>
    <col min="5243" max="5243" width="10.7109375" style="9"/>
    <col min="5244" max="5248" width="10.7109375" style="9" customWidth="1"/>
    <col min="5249" max="5249" width="10.7109375" style="9"/>
    <col min="5250" max="5250" width="10.7109375" style="9" customWidth="1"/>
    <col min="5251" max="5253" width="10.7109375" style="9"/>
    <col min="5254" max="5258" width="10.7109375" style="9" customWidth="1"/>
    <col min="5259" max="5259" width="10.7109375" style="9"/>
    <col min="5260" max="5269" width="10.7109375" style="9" customWidth="1"/>
    <col min="5270" max="5270" width="10.7109375" style="9"/>
    <col min="5271" max="5271" width="10.7109375" style="9" customWidth="1"/>
    <col min="5272" max="5275" width="10.7109375" style="9"/>
    <col min="5276" max="5278" width="10.7109375" style="9" customWidth="1"/>
    <col min="5279" max="5280" width="10.7109375" style="9"/>
    <col min="5281" max="5281" width="10.7109375" style="9" customWidth="1"/>
    <col min="5282" max="5286" width="10.7109375" style="9"/>
    <col min="5287" max="5288" width="10.7109375" style="9" customWidth="1"/>
    <col min="5289" max="5289" width="10.7109375" style="9"/>
    <col min="5290" max="5292" width="10.7109375" style="9" customWidth="1"/>
    <col min="5293" max="5293" width="10.7109375" style="9"/>
    <col min="5294" max="5299" width="10.7109375" style="9" customWidth="1"/>
    <col min="5300" max="5303" width="10.7109375" style="9"/>
    <col min="5304" max="5304" width="10.7109375" style="9" customWidth="1"/>
    <col min="5305" max="5305" width="10.7109375" style="9"/>
    <col min="5306" max="5307" width="10.7109375" style="9" customWidth="1"/>
    <col min="5308" max="5308" width="10.7109375" style="9"/>
    <col min="5309" max="5309" width="10.7109375" style="9" customWidth="1"/>
    <col min="5310" max="5310" width="10.7109375" style="9"/>
    <col min="5311" max="5311" width="10.7109375" style="9" customWidth="1"/>
    <col min="5312" max="5326" width="10.7109375" style="9"/>
    <col min="5327" max="5327" width="10.7109375" style="9" customWidth="1"/>
    <col min="5328" max="5328" width="10.7109375" style="9"/>
    <col min="5329" max="5332" width="10.7109375" style="9" customWidth="1"/>
    <col min="5333" max="5333" width="10.7109375" style="9"/>
    <col min="5334" max="5334" width="10.7109375" style="9" customWidth="1"/>
    <col min="5335" max="5335" width="10.7109375" style="9"/>
    <col min="5336" max="5336" width="10.7109375" style="9" customWidth="1"/>
    <col min="5337" max="5337" width="10.7109375" style="9"/>
    <col min="5338" max="5340" width="10.7109375" style="9" customWidth="1"/>
    <col min="5341" max="5342" width="10.7109375" style="9"/>
    <col min="5343" max="5344" width="10.7109375" style="9" customWidth="1"/>
    <col min="5345" max="5345" width="10.7109375" style="9"/>
    <col min="5346" max="5347" width="10.7109375" style="9" customWidth="1"/>
    <col min="5348" max="5350" width="10.7109375" style="9"/>
    <col min="5351" max="5352" width="10.7109375" style="9" customWidth="1"/>
    <col min="5353" max="5353" width="10.7109375" style="9"/>
    <col min="5354" max="5356" width="10.7109375" style="9" customWidth="1"/>
    <col min="5357" max="5357" width="10.7109375" style="9"/>
    <col min="5358" max="5362" width="10.7109375" style="9" customWidth="1"/>
    <col min="5363" max="5363" width="10.7109375" style="9"/>
    <col min="5364" max="5404" width="10.7109375" style="9" customWidth="1"/>
    <col min="5405" max="5405" width="10.7109375" style="9"/>
    <col min="5406" max="5406" width="10.7109375" style="9" customWidth="1"/>
    <col min="5407" max="5408" width="10.7109375" style="9"/>
    <col min="5409" max="5410" width="10.7109375" style="9" customWidth="1"/>
    <col min="5411" max="5413" width="10.7109375" style="9"/>
    <col min="5414" max="5418" width="10.7109375" style="9" customWidth="1"/>
    <col min="5419" max="5419" width="10.7109375" style="9"/>
    <col min="5420" max="5432" width="10.7109375" style="9" customWidth="1"/>
    <col min="5433" max="5433" width="10.7109375" style="9"/>
    <col min="5434" max="5434" width="10.7109375" style="9" customWidth="1"/>
    <col min="5435" max="5435" width="10.7109375" style="9"/>
    <col min="5436" max="5440" width="10.7109375" style="9" customWidth="1"/>
    <col min="5441" max="5441" width="10.7109375" style="9"/>
    <col min="5442" max="5442" width="10.7109375" style="9" customWidth="1"/>
    <col min="5443" max="5445" width="10.7109375" style="9"/>
    <col min="5446" max="5450" width="10.7109375" style="9" customWidth="1"/>
    <col min="5451" max="5451" width="10.7109375" style="9"/>
    <col min="5452" max="5464" width="10.7109375" style="9" customWidth="1"/>
    <col min="5465" max="5465" width="10.7109375" style="9"/>
    <col min="5466" max="5466" width="10.7109375" style="9" customWidth="1"/>
    <col min="5467" max="5467" width="10.7109375" style="9"/>
    <col min="5468" max="5472" width="10.7109375" style="9" customWidth="1"/>
    <col min="5473" max="5473" width="10.7109375" style="9"/>
    <col min="5474" max="5474" width="10.7109375" style="9" customWidth="1"/>
    <col min="5475" max="5477" width="10.7109375" style="9"/>
    <col min="5478" max="5482" width="10.7109375" style="9" customWidth="1"/>
    <col min="5483" max="5483" width="10.7109375" style="9"/>
    <col min="5484" max="5499" width="10.7109375" style="9" customWidth="1"/>
    <col min="5500" max="5500" width="10.7109375" style="9"/>
    <col min="5501" max="5532" width="10.7109375" style="9" customWidth="1"/>
    <col min="5533" max="5533" width="10.7109375" style="9"/>
    <col min="5534" max="5534" width="10.7109375" style="9" customWidth="1"/>
    <col min="5535" max="5536" width="10.7109375" style="9"/>
    <col min="5537" max="5538" width="10.7109375" style="9" customWidth="1"/>
    <col min="5539" max="5541" width="10.7109375" style="9"/>
    <col min="5542" max="5546" width="10.7109375" style="9" customWidth="1"/>
    <col min="5547" max="5547" width="10.7109375" style="9"/>
    <col min="5548" max="5555" width="10.7109375" style="9" customWidth="1"/>
    <col min="5556" max="5561" width="10.7109375" style="9"/>
    <col min="5562" max="5563" width="10.7109375" style="9" customWidth="1"/>
    <col min="5564" max="5564" width="10.7109375" style="9"/>
    <col min="5565" max="5565" width="10.7109375" style="9" customWidth="1"/>
    <col min="5566" max="5566" width="10.7109375" style="9"/>
    <col min="5567" max="5567" width="10.7109375" style="9" customWidth="1"/>
    <col min="5568" max="5582" width="10.7109375" style="9"/>
    <col min="5583" max="5583" width="10.7109375" style="9" customWidth="1"/>
    <col min="5584" max="5584" width="10.7109375" style="9"/>
    <col min="5585" max="5587" width="10.7109375" style="9" customWidth="1"/>
    <col min="5588" max="5588" width="10.7109375" style="9"/>
    <col min="5589" max="5591" width="10.7109375" style="9" customWidth="1"/>
    <col min="5592" max="5592" width="10.7109375" style="9"/>
    <col min="5593" max="5596" width="10.7109375" style="9" customWidth="1"/>
    <col min="5597" max="5599" width="10.7109375" style="9"/>
    <col min="5600" max="5600" width="10.7109375" style="9" customWidth="1"/>
    <col min="5601" max="5603" width="10.7109375" style="9"/>
    <col min="5604" max="5605" width="10.7109375" style="9" customWidth="1"/>
    <col min="5606" max="5606" width="10.7109375" style="9"/>
    <col min="5607" max="5609" width="10.7109375" style="9" customWidth="1"/>
    <col min="5610" max="5610" width="10.7109375" style="9"/>
    <col min="5611" max="5611" width="10.7109375" style="9" customWidth="1"/>
    <col min="5612" max="5613" width="10.7109375" style="9"/>
    <col min="5614" max="5615" width="10.7109375" style="9" customWidth="1"/>
    <col min="5616" max="5616" width="10.7109375" style="9"/>
    <col min="5617" max="5624" width="10.7109375" style="9" customWidth="1"/>
    <col min="5625" max="5625" width="10.7109375" style="9"/>
    <col min="5626" max="5626" width="10.7109375" style="9" customWidth="1"/>
    <col min="5627" max="5627" width="10.7109375" style="9"/>
    <col min="5628" max="5632" width="10.7109375" style="9" customWidth="1"/>
    <col min="5633" max="5633" width="10.7109375" style="9"/>
    <col min="5634" max="5634" width="10.7109375" style="9" customWidth="1"/>
    <col min="5635" max="5637" width="10.7109375" style="9"/>
    <col min="5638" max="5642" width="10.7109375" style="9" customWidth="1"/>
    <col min="5643" max="5643" width="10.7109375" style="9"/>
    <col min="5644" max="5648" width="10.7109375" style="9" customWidth="1"/>
    <col min="5649" max="5649" width="10.7109375" style="9"/>
    <col min="5650" max="5650" width="10.7109375" style="9" customWidth="1"/>
    <col min="5651" max="5651" width="10.7109375" style="9"/>
    <col min="5652" max="5688" width="10.7109375" style="9" customWidth="1"/>
    <col min="5689" max="5689" width="10.7109375" style="9"/>
    <col min="5690" max="5690" width="10.7109375" style="9" customWidth="1"/>
    <col min="5691" max="5691" width="10.7109375" style="9"/>
    <col min="5692" max="5696" width="10.7109375" style="9" customWidth="1"/>
    <col min="5697" max="5697" width="10.7109375" style="9"/>
    <col min="5698" max="5698" width="10.7109375" style="9" customWidth="1"/>
    <col min="5699" max="5701" width="10.7109375" style="9"/>
    <col min="5702" max="5706" width="10.7109375" style="9" customWidth="1"/>
    <col min="5707" max="5707" width="10.7109375" style="9"/>
    <col min="5708" max="5744" width="10.7109375" style="9" customWidth="1"/>
    <col min="5745" max="5746" width="10.7109375" style="9"/>
    <col min="5747" max="5784" width="10.7109375" style="9" customWidth="1"/>
    <col min="5785" max="5785" width="10.7109375" style="9"/>
    <col min="5786" max="5786" width="10.7109375" style="9" customWidth="1"/>
    <col min="5787" max="5787" width="10.7109375" style="9"/>
    <col min="5788" max="5792" width="10.7109375" style="9" customWidth="1"/>
    <col min="5793" max="5793" width="10.7109375" style="9"/>
    <col min="5794" max="5794" width="10.7109375" style="9" customWidth="1"/>
    <col min="5795" max="5797" width="10.7109375" style="9"/>
    <col min="5798" max="5802" width="10.7109375" style="9" customWidth="1"/>
    <col min="5803" max="5803" width="10.7109375" style="9"/>
    <col min="5804" max="5808" width="10.7109375" style="9" customWidth="1"/>
    <col min="5809" max="5809" width="10.7109375" style="9"/>
    <col min="5810" max="5811" width="10.7109375" style="9" customWidth="1"/>
    <col min="5812" max="5818" width="10.7109375" style="9"/>
    <col min="5819" max="5822" width="10.7109375" style="9" customWidth="1"/>
    <col min="5823" max="5823" width="10.7109375" style="9"/>
    <col min="5824" max="5824" width="10.7109375" style="9" customWidth="1"/>
    <col min="5825" max="5827" width="10.7109375" style="9"/>
    <col min="5828" max="5829" width="10.7109375" style="9" customWidth="1"/>
    <col min="5830" max="5830" width="10.7109375" style="9"/>
    <col min="5831" max="5833" width="10.7109375" style="9" customWidth="1"/>
    <col min="5834" max="5834" width="10.7109375" style="9"/>
    <col min="5835" max="5835" width="10.7109375" style="9" customWidth="1"/>
    <col min="5836" max="5837" width="10.7109375" style="9"/>
    <col min="5838" max="5839" width="10.7109375" style="9" customWidth="1"/>
    <col min="5840" max="5840" width="10.7109375" style="9"/>
    <col min="5841" max="5844" width="10.7109375" style="9" customWidth="1"/>
    <col min="5845" max="5845" width="10.7109375" style="9"/>
    <col min="5846" max="5846" width="10.7109375" style="9" customWidth="1"/>
    <col min="5847" max="5847" width="10.7109375" style="9"/>
    <col min="5848" max="5910" width="10.7109375" style="9" customWidth="1"/>
    <col min="5911" max="5911" width="10.7109375" style="9"/>
    <col min="5912" max="5944" width="10.7109375" style="9" customWidth="1"/>
    <col min="5945" max="5945" width="10.7109375" style="9"/>
    <col min="5946" max="5946" width="10.7109375" style="9" customWidth="1"/>
    <col min="5947" max="5947" width="10.7109375" style="9"/>
    <col min="5948" max="5952" width="10.7109375" style="9" customWidth="1"/>
    <col min="5953" max="5953" width="10.7109375" style="9"/>
    <col min="5954" max="5954" width="10.7109375" style="9" customWidth="1"/>
    <col min="5955" max="5957" width="10.7109375" style="9"/>
    <col min="5958" max="5962" width="10.7109375" style="9" customWidth="1"/>
    <col min="5963" max="5963" width="10.7109375" style="9"/>
    <col min="5964" max="5980" width="10.7109375" style="9" customWidth="1"/>
    <col min="5981" max="5981" width="10.7109375" style="9"/>
    <col min="5982" max="5982" width="10.7109375" style="9" customWidth="1"/>
    <col min="5983" max="5984" width="10.7109375" style="9"/>
    <col min="5985" max="5986" width="10.7109375" style="9" customWidth="1"/>
    <col min="5987" max="5989" width="10.7109375" style="9"/>
    <col min="5990" max="5994" width="10.7109375" style="9" customWidth="1"/>
    <col min="5995" max="5995" width="10.7109375" style="9"/>
    <col min="5996" max="6012" width="10.7109375" style="9" customWidth="1"/>
    <col min="6013" max="6013" width="10.7109375" style="9"/>
    <col min="6014" max="6014" width="10.7109375" style="9" customWidth="1"/>
    <col min="6015" max="6016" width="10.7109375" style="9"/>
    <col min="6017" max="6018" width="10.7109375" style="9" customWidth="1"/>
    <col min="6019" max="6021" width="10.7109375" style="9"/>
    <col min="6022" max="6026" width="10.7109375" style="9" customWidth="1"/>
    <col min="6027" max="6027" width="10.7109375" style="9"/>
    <col min="6028" max="6034" width="10.7109375" style="9" customWidth="1"/>
    <col min="6035" max="6035" width="10.7109375" style="9"/>
    <col min="6036" max="6076" width="10.7109375" style="9" customWidth="1"/>
    <col min="6077" max="6080" width="10.7109375" style="9"/>
    <col min="6081" max="6082" width="10.7109375" style="9" customWidth="1"/>
    <col min="6083" max="6083" width="10.7109375" style="9"/>
    <col min="6084" max="6084" width="10.7109375" style="9" customWidth="1"/>
    <col min="6085" max="6085" width="10.7109375" style="9"/>
    <col min="6086" max="6091" width="10.7109375" style="9" customWidth="1"/>
    <col min="6092" max="6092" width="10.7109375" style="9"/>
    <col min="6093" max="6099" width="10.7109375" style="9" customWidth="1"/>
    <col min="6100" max="6102" width="10.7109375" style="9"/>
    <col min="6103" max="6108" width="10.7109375" style="9" customWidth="1"/>
    <col min="6109" max="6109" width="10.7109375" style="9"/>
    <col min="6110" max="6110" width="10.7109375" style="9" customWidth="1"/>
    <col min="6111" max="6113" width="10.7109375" style="9"/>
    <col min="6114" max="6114" width="10.7109375" style="9" customWidth="1"/>
    <col min="6115" max="6115" width="10.7109375" style="9"/>
    <col min="6116" max="6116" width="10.7109375" style="9" customWidth="1"/>
    <col min="6117" max="6117" width="10.7109375" style="9"/>
    <col min="6118" max="6118" width="10.7109375" style="9" customWidth="1"/>
    <col min="6119" max="6119" width="10.7109375" style="9"/>
    <col min="6120" max="6125" width="10.7109375" style="9" customWidth="1"/>
    <col min="6126" max="6126" width="10.7109375" style="9"/>
    <col min="6127" max="6127" width="10.7109375" style="9" customWidth="1"/>
    <col min="6128" max="6128" width="10.7109375" style="9"/>
    <col min="6129" max="6130" width="10.7109375" style="9" customWidth="1"/>
    <col min="6131" max="6131" width="10.7109375" style="9"/>
    <col min="6132" max="6161" width="10.7109375" style="9" customWidth="1"/>
    <col min="6162" max="6162" width="10.7109375" style="9"/>
    <col min="6163" max="6189" width="10.7109375" style="9" customWidth="1"/>
    <col min="6190" max="6190" width="10.7109375" style="9"/>
    <col min="6191" max="6195" width="10.7109375" style="9" customWidth="1"/>
    <col min="6196" max="6197" width="10.7109375" style="9"/>
    <col min="6198" max="6198" width="10.7109375" style="9" customWidth="1"/>
    <col min="6199" max="6200" width="10.7109375" style="9"/>
    <col min="6201" max="6201" width="10.7109375" style="9" customWidth="1"/>
    <col min="6202" max="6202" width="10.7109375" style="9"/>
    <col min="6203" max="6203" width="10.7109375" style="9" customWidth="1"/>
    <col min="6204" max="6204" width="10.7109375" style="9"/>
    <col min="6205" max="6205" width="10.7109375" style="9" customWidth="1"/>
    <col min="6206" max="6206" width="10.7109375" style="9"/>
    <col min="6207" max="6207" width="10.7109375" style="9" customWidth="1"/>
    <col min="6208" max="6222" width="10.7109375" style="9"/>
    <col min="6223" max="6223" width="10.7109375" style="9" customWidth="1"/>
    <col min="6224" max="6225" width="10.7109375" style="9"/>
    <col min="6226" max="6228" width="10.7109375" style="9" customWidth="1"/>
    <col min="6229" max="6237" width="10.7109375" style="9"/>
    <col min="6238" max="6238" width="10.7109375" style="9" customWidth="1"/>
    <col min="6239" max="6239" width="10.7109375" style="9"/>
    <col min="6240" max="6240" width="10.7109375" style="9" customWidth="1"/>
    <col min="6241" max="6241" width="10.7109375" style="9"/>
    <col min="6242" max="6243" width="10.7109375" style="9" customWidth="1"/>
    <col min="6244" max="6246" width="10.7109375" style="9"/>
    <col min="6247" max="6250" width="10.7109375" style="9" customWidth="1"/>
    <col min="6251" max="6251" width="10.7109375" style="9"/>
    <col min="6252" max="6252" width="10.7109375" style="9" customWidth="1"/>
    <col min="6253" max="6253" width="10.7109375" style="9"/>
    <col min="6254" max="6255" width="10.7109375" style="9" customWidth="1"/>
    <col min="6256" max="6256" width="10.7109375" style="9"/>
    <col min="6257" max="6268" width="10.7109375" style="9" customWidth="1"/>
    <col min="6269" max="6270" width="10.7109375" style="9"/>
    <col min="6271" max="6271" width="10.7109375" style="9" customWidth="1"/>
    <col min="6272" max="6274" width="10.7109375" style="9"/>
    <col min="6275" max="6275" width="10.7109375" style="9" customWidth="1"/>
    <col min="6276" max="6278" width="10.7109375" style="9"/>
    <col min="6279" max="6282" width="10.7109375" style="9" customWidth="1"/>
    <col min="6283" max="6283" width="10.7109375" style="9"/>
    <col min="6284" max="6289" width="10.7109375" style="9" customWidth="1"/>
    <col min="6290" max="6290" width="10.7109375" style="9"/>
    <col min="6291" max="6317" width="10.7109375" style="9" customWidth="1"/>
    <col min="6318" max="6318" width="10.7109375" style="9"/>
    <col min="6319" max="6324" width="10.7109375" style="9" customWidth="1"/>
    <col min="6325" max="6325" width="10.7109375" style="9"/>
    <col min="6326" max="6326" width="10.7109375" style="9" customWidth="1"/>
    <col min="6327" max="6327" width="10.7109375" style="9"/>
    <col min="6328" max="6481" width="10.7109375" style="9" customWidth="1"/>
    <col min="6482" max="6482" width="10.7109375" style="9"/>
    <col min="6483" max="6509" width="10.7109375" style="9" customWidth="1"/>
    <col min="6510" max="6510" width="10.7109375" style="9"/>
    <col min="6511" max="6519" width="10.7109375" style="9" customWidth="1"/>
    <col min="6520" max="6520" width="10.7109375" style="9"/>
    <col min="6521" max="6524" width="10.7109375" style="9" customWidth="1"/>
    <col min="6525" max="6528" width="10.7109375" style="9"/>
    <col min="6529" max="6530" width="10.7109375" style="9" customWidth="1"/>
    <col min="6531" max="6531" width="10.7109375" style="9"/>
    <col min="6532" max="6532" width="10.7109375" style="9" customWidth="1"/>
    <col min="6533" max="6533" width="10.7109375" style="9"/>
    <col min="6534" max="6539" width="10.7109375" style="9" customWidth="1"/>
    <col min="6540" max="6540" width="10.7109375" style="9"/>
    <col min="6541" max="6550" width="10.7109375" style="9" customWidth="1"/>
    <col min="6551" max="6551" width="10.7109375" style="9"/>
    <col min="6552" max="6553" width="10.7109375" style="9" customWidth="1"/>
    <col min="6554" max="6554" width="10.7109375" style="9"/>
    <col min="6555" max="6556" width="10.7109375" style="9" customWidth="1"/>
    <col min="6557" max="6560" width="10.7109375" style="9"/>
    <col min="6561" max="6562" width="10.7109375" style="9" customWidth="1"/>
    <col min="6563" max="6563" width="10.7109375" style="9"/>
    <col min="6564" max="6564" width="10.7109375" style="9" customWidth="1"/>
    <col min="6565" max="6565" width="10.7109375" style="9"/>
    <col min="6566" max="6571" width="10.7109375" style="9" customWidth="1"/>
    <col min="6572" max="6572" width="10.7109375" style="9"/>
    <col min="6573" max="6576" width="10.7109375" style="9" customWidth="1"/>
    <col min="6577" max="6579" width="10.7109375" style="9"/>
    <col min="6580" max="6612" width="10.7109375" style="9" customWidth="1"/>
    <col min="6613" max="6613" width="10.7109375" style="9"/>
    <col min="6614" max="6614" width="10.7109375" style="9" customWidth="1"/>
    <col min="6615" max="6615" width="10.7109375" style="9"/>
    <col min="6616" max="6617" width="10.7109375" style="9" customWidth="1"/>
    <col min="6618" max="6618" width="10.7109375" style="9"/>
    <col min="6619" max="6620" width="10.7109375" style="9" customWidth="1"/>
    <col min="6621" max="6624" width="10.7109375" style="9"/>
    <col min="6625" max="6626" width="10.7109375" style="9" customWidth="1"/>
    <col min="6627" max="6627" width="10.7109375" style="9"/>
    <col min="6628" max="6628" width="10.7109375" style="9" customWidth="1"/>
    <col min="6629" max="6629" width="10.7109375" style="9"/>
    <col min="6630" max="6635" width="10.7109375" style="9" customWidth="1"/>
    <col min="6636" max="6636" width="10.7109375" style="9"/>
    <col min="6637" max="6640" width="10.7109375" style="9" customWidth="1"/>
    <col min="6641" max="6641" width="10.7109375" style="9"/>
    <col min="6642" max="6642" width="10.7109375" style="9" customWidth="1"/>
    <col min="6643" max="6643" width="10.7109375" style="9"/>
    <col min="6644" max="6648" width="10.7109375" style="9" customWidth="1"/>
    <col min="6649" max="6653" width="10.7109375" style="9"/>
    <col min="6654" max="6654" width="10.7109375" style="9" customWidth="1"/>
    <col min="6655" max="6655" width="10.7109375" style="9"/>
    <col min="6656" max="6656" width="10.7109375" style="9" customWidth="1"/>
    <col min="6657" max="6657" width="10.7109375" style="9"/>
    <col min="6658" max="6659" width="10.7109375" style="9" customWidth="1"/>
    <col min="6660" max="6662" width="10.7109375" style="9"/>
    <col min="6663" max="6666" width="10.7109375" style="9" customWidth="1"/>
    <col min="6667" max="6667" width="10.7109375" style="9"/>
    <col min="6668" max="6668" width="10.7109375" style="9" customWidth="1"/>
    <col min="6669" max="6669" width="10.7109375" style="9"/>
    <col min="6670" max="6671" width="10.7109375" style="9" customWidth="1"/>
    <col min="6672" max="6672" width="10.7109375" style="9"/>
    <col min="6673" max="6673" width="10.7109375" style="9" customWidth="1"/>
    <col min="6674" max="6675" width="10.7109375" style="9"/>
    <col min="6676" max="6707" width="10.7109375" style="9" customWidth="1"/>
    <col min="6708" max="6710" width="10.7109375" style="9"/>
    <col min="6711" max="6716" width="10.7109375" style="9" customWidth="1"/>
    <col min="6717" max="6717" width="10.7109375" style="9"/>
    <col min="6718" max="6718" width="10.7109375" style="9" customWidth="1"/>
    <col min="6719" max="6721" width="10.7109375" style="9"/>
    <col min="6722" max="6722" width="10.7109375" style="9" customWidth="1"/>
    <col min="6723" max="6723" width="10.7109375" style="9"/>
    <col min="6724" max="6724" width="10.7109375" style="9" customWidth="1"/>
    <col min="6725" max="6725" width="10.7109375" style="9"/>
    <col min="6726" max="6726" width="10.7109375" style="9" customWidth="1"/>
    <col min="6727" max="6727" width="10.7109375" style="9"/>
    <col min="6728" max="6733" width="10.7109375" style="9" customWidth="1"/>
    <col min="6734" max="6734" width="10.7109375" style="9"/>
    <col min="6735" max="6735" width="10.7109375" style="9" customWidth="1"/>
    <col min="6736" max="6736" width="10.7109375" style="9"/>
    <col min="6737" max="6743" width="10.7109375" style="9" customWidth="1"/>
    <col min="6744" max="6744" width="10.7109375" style="9"/>
    <col min="6745" max="6748" width="10.7109375" style="9" customWidth="1"/>
    <col min="6749" max="6752" width="10.7109375" style="9"/>
    <col min="6753" max="6754" width="10.7109375" style="9" customWidth="1"/>
    <col min="6755" max="6755" width="10.7109375" style="9"/>
    <col min="6756" max="6756" width="10.7109375" style="9" customWidth="1"/>
    <col min="6757" max="6757" width="10.7109375" style="9"/>
    <col min="6758" max="6763" width="10.7109375" style="9" customWidth="1"/>
    <col min="6764" max="6764" width="10.7109375" style="9"/>
    <col min="6765" max="6771" width="10.7109375" style="9" customWidth="1"/>
    <col min="6772" max="6775" width="10.7109375" style="9"/>
    <col min="6776" max="6776" width="10.7109375" style="9" customWidth="1"/>
    <col min="6777" max="6781" width="10.7109375" style="9"/>
    <col min="6782" max="6782" width="10.7109375" style="9" customWidth="1"/>
    <col min="6783" max="6783" width="10.7109375" style="9"/>
    <col min="6784" max="6788" width="10.7109375" style="9" customWidth="1"/>
    <col min="6789" max="6789" width="10.7109375" style="9"/>
    <col min="6790" max="6791" width="10.7109375" style="9" customWidth="1"/>
    <col min="6792" max="6792" width="10.7109375" style="9"/>
    <col min="6793" max="6797" width="10.7109375" style="9" customWidth="1"/>
    <col min="6798" max="6798" width="10.7109375" style="9"/>
    <col min="6799" max="6799" width="10.7109375" style="9" customWidth="1"/>
    <col min="6800" max="6800" width="10.7109375" style="9"/>
    <col min="6801" max="6805" width="10.7109375" style="9" customWidth="1"/>
    <col min="6806" max="6806" width="10.7109375" style="9"/>
    <col min="6807" max="6835" width="10.7109375" style="9" customWidth="1"/>
    <col min="6836" max="6837" width="10.7109375" style="9"/>
    <col min="6838" max="6839" width="10.7109375" style="9" customWidth="1"/>
    <col min="6840" max="6840" width="10.7109375" style="9"/>
    <col min="6841" max="6841" width="10.7109375" style="9" customWidth="1"/>
    <col min="6842" max="6844" width="10.7109375" style="9"/>
    <col min="6845" max="6845" width="10.7109375" style="9" customWidth="1"/>
    <col min="6846" max="6846" width="10.7109375" style="9"/>
    <col min="6847" max="6847" width="10.7109375" style="9" customWidth="1"/>
    <col min="6848" max="6862" width="10.7109375" style="9"/>
    <col min="6863" max="6863" width="10.7109375" style="9" customWidth="1"/>
    <col min="6864" max="6864" width="10.7109375" style="9"/>
    <col min="6865" max="6865" width="10.7109375" style="9" customWidth="1"/>
    <col min="6866" max="6866" width="10.7109375" style="9"/>
    <col min="6867" max="6867" width="10.7109375" style="9" customWidth="1"/>
    <col min="6868" max="6868" width="10.7109375" style="9"/>
    <col min="6869" max="6869" width="10.7109375" style="9" customWidth="1"/>
    <col min="6870" max="6871" width="10.7109375" style="9"/>
    <col min="6872" max="6872" width="10.7109375" style="9" customWidth="1"/>
    <col min="6873" max="6873" width="10.7109375" style="9"/>
    <col min="6874" max="6874" width="10.7109375" style="9" customWidth="1"/>
    <col min="6875" max="6875" width="10.7109375" style="9"/>
    <col min="6876" max="6876" width="10.7109375" style="9" customWidth="1"/>
    <col min="6877" max="6878" width="10.7109375" style="9"/>
    <col min="6879" max="6881" width="10.7109375" style="9" customWidth="1"/>
    <col min="6882" max="6882" width="10.7109375" style="9"/>
    <col min="6883" max="6886" width="10.7109375" style="9" customWidth="1"/>
    <col min="6887" max="6890" width="10.7109375" style="9"/>
    <col min="6891" max="6891" width="10.7109375" style="9" customWidth="1"/>
    <col min="6892" max="6893" width="10.7109375" style="9"/>
    <col min="6894" max="6895" width="10.7109375" style="9" customWidth="1"/>
    <col min="6896" max="6896" width="10.7109375" style="9"/>
    <col min="6897" max="6903" width="10.7109375" style="9" customWidth="1"/>
    <col min="6904" max="6907" width="10.7109375" style="9"/>
    <col min="6908" max="6908" width="10.7109375" style="9" customWidth="1"/>
    <col min="6909" max="6911" width="10.7109375" style="9"/>
    <col min="6912" max="6912" width="10.7109375" style="9" customWidth="1"/>
    <col min="6913" max="6913" width="10.7109375" style="9"/>
    <col min="6914" max="6916" width="10.7109375" style="9" customWidth="1"/>
    <col min="6917" max="6917" width="10.7109375" style="9"/>
    <col min="6918" max="6918" width="10.7109375" style="9" customWidth="1"/>
    <col min="6919" max="6919" width="10.7109375" style="9"/>
    <col min="6920" max="6922" width="10.7109375" style="9" customWidth="1"/>
    <col min="6923" max="6923" width="10.7109375" style="9"/>
    <col min="6924" max="6936" width="10.7109375" style="9" customWidth="1"/>
    <col min="6937" max="6940" width="10.7109375" style="9"/>
    <col min="6941" max="6942" width="10.7109375" style="9" customWidth="1"/>
    <col min="6943" max="6943" width="10.7109375" style="9"/>
    <col min="6944" max="6944" width="10.7109375" style="9" customWidth="1"/>
    <col min="6945" max="6945" width="10.7109375" style="9"/>
    <col min="6946" max="6947" width="10.7109375" style="9" customWidth="1"/>
    <col min="6948" max="6949" width="10.7109375" style="9"/>
    <col min="6950" max="6951" width="10.7109375" style="9" customWidth="1"/>
    <col min="6952" max="6953" width="10.7109375" style="9"/>
    <col min="6954" max="6954" width="10.7109375" style="9" customWidth="1"/>
    <col min="6955" max="6956" width="10.7109375" style="9"/>
    <col min="6957" max="6968" width="10.7109375" style="9" customWidth="1"/>
    <col min="6969" max="6972" width="10.7109375" style="9"/>
    <col min="6973" max="6974" width="10.7109375" style="9" customWidth="1"/>
    <col min="6975" max="6975" width="10.7109375" style="9"/>
    <col min="6976" max="6976" width="10.7109375" style="9" customWidth="1"/>
    <col min="6977" max="6977" width="10.7109375" style="9"/>
    <col min="6978" max="6979" width="10.7109375" style="9" customWidth="1"/>
    <col min="6980" max="6981" width="10.7109375" style="9"/>
    <col min="6982" max="6983" width="10.7109375" style="9" customWidth="1"/>
    <col min="6984" max="6985" width="10.7109375" style="9"/>
    <col min="6986" max="6986" width="10.7109375" style="9" customWidth="1"/>
    <col min="6987" max="6988" width="10.7109375" style="9"/>
    <col min="6989" max="6994" width="10.7109375" style="9" customWidth="1"/>
    <col min="6995" max="6995" width="10.7109375" style="9"/>
    <col min="6996" max="6998" width="10.7109375" style="9" customWidth="1"/>
    <col min="6999" max="7003" width="10.7109375" style="9"/>
    <col min="7004" max="7005" width="10.7109375" style="9" customWidth="1"/>
    <col min="7006" max="7007" width="10.7109375" style="9"/>
    <col min="7008" max="7009" width="10.7109375" style="9" customWidth="1"/>
    <col min="7010" max="7012" width="10.7109375" style="9"/>
    <col min="7013" max="7013" width="10.7109375" style="9" customWidth="1"/>
    <col min="7014" max="7014" width="10.7109375" style="9"/>
    <col min="7015" max="7015" width="10.7109375" style="9" customWidth="1"/>
    <col min="7016" max="7018" width="10.7109375" style="9"/>
    <col min="7019" max="7020" width="10.7109375" style="9" customWidth="1"/>
    <col min="7021" max="7021" width="10.7109375" style="9"/>
    <col min="7022" max="7023" width="10.7109375" style="9" customWidth="1"/>
    <col min="7024" max="7026" width="10.7109375" style="9"/>
    <col min="7027" max="7032" width="10.7109375" style="9" customWidth="1"/>
    <col min="7033" max="7036" width="10.7109375" style="9"/>
    <col min="7037" max="7038" width="10.7109375" style="9" customWidth="1"/>
    <col min="7039" max="7039" width="10.7109375" style="9"/>
    <col min="7040" max="7040" width="10.7109375" style="9" customWidth="1"/>
    <col min="7041" max="7041" width="10.7109375" style="9"/>
    <col min="7042" max="7043" width="10.7109375" style="9" customWidth="1"/>
    <col min="7044" max="7045" width="10.7109375" style="9"/>
    <col min="7046" max="7047" width="10.7109375" style="9" customWidth="1"/>
    <col min="7048" max="7049" width="10.7109375" style="9"/>
    <col min="7050" max="7050" width="10.7109375" style="9" customWidth="1"/>
    <col min="7051" max="7052" width="10.7109375" style="9"/>
    <col min="7053" max="7065" width="10.7109375" style="9" customWidth="1"/>
    <col min="7066" max="7068" width="10.7109375" style="9"/>
    <col min="7069" max="7070" width="10.7109375" style="9" customWidth="1"/>
    <col min="7071" max="7071" width="10.7109375" style="9"/>
    <col min="7072" max="7072" width="10.7109375" style="9" customWidth="1"/>
    <col min="7073" max="7073" width="10.7109375" style="9"/>
    <col min="7074" max="7075" width="10.7109375" style="9" customWidth="1"/>
    <col min="7076" max="7077" width="10.7109375" style="9"/>
    <col min="7078" max="7079" width="10.7109375" style="9" customWidth="1"/>
    <col min="7080" max="7081" width="10.7109375" style="9"/>
    <col min="7082" max="7082" width="10.7109375" style="9" customWidth="1"/>
    <col min="7083" max="7084" width="10.7109375" style="9"/>
    <col min="7085" max="7096" width="10.7109375" style="9" customWidth="1"/>
    <col min="7097" max="7100" width="10.7109375" style="9"/>
    <col min="7101" max="7102" width="10.7109375" style="9" customWidth="1"/>
    <col min="7103" max="7103" width="10.7109375" style="9"/>
    <col min="7104" max="7104" width="10.7109375" style="9" customWidth="1"/>
    <col min="7105" max="7105" width="10.7109375" style="9"/>
    <col min="7106" max="7107" width="10.7109375" style="9" customWidth="1"/>
    <col min="7108" max="7109" width="10.7109375" style="9"/>
    <col min="7110" max="7111" width="10.7109375" style="9" customWidth="1"/>
    <col min="7112" max="7113" width="10.7109375" style="9"/>
    <col min="7114" max="7114" width="10.7109375" style="9" customWidth="1"/>
    <col min="7115" max="7116" width="10.7109375" style="9"/>
    <col min="7117" max="7128" width="10.7109375" style="9" customWidth="1"/>
    <col min="7129" max="7132" width="10.7109375" style="9"/>
    <col min="7133" max="7134" width="10.7109375" style="9" customWidth="1"/>
    <col min="7135" max="7135" width="10.7109375" style="9"/>
    <col min="7136" max="7136" width="10.7109375" style="9" customWidth="1"/>
    <col min="7137" max="7137" width="10.7109375" style="9"/>
    <col min="7138" max="7139" width="10.7109375" style="9" customWidth="1"/>
    <col min="7140" max="7141" width="10.7109375" style="9"/>
    <col min="7142" max="7143" width="10.7109375" style="9" customWidth="1"/>
    <col min="7144" max="7145" width="10.7109375" style="9"/>
    <col min="7146" max="7146" width="10.7109375" style="9" customWidth="1"/>
    <col min="7147" max="7148" width="10.7109375" style="9"/>
    <col min="7149" max="7159" width="10.7109375" style="9" customWidth="1"/>
    <col min="7160" max="7160" width="10.7109375" style="9"/>
    <col min="7161" max="7164" width="10.7109375" style="9" customWidth="1"/>
    <col min="7165" max="7166" width="10.7109375" style="9"/>
    <col min="7167" max="7167" width="10.7109375" style="9" customWidth="1"/>
    <col min="7168" max="7170" width="10.7109375" style="9"/>
    <col min="7171" max="7171" width="10.7109375" style="9" customWidth="1"/>
    <col min="7172" max="7174" width="10.7109375" style="9"/>
    <col min="7175" max="7178" width="10.7109375" style="9" customWidth="1"/>
    <col min="7179" max="7179" width="10.7109375" style="9"/>
    <col min="7180" max="7192" width="10.7109375" style="9" customWidth="1"/>
    <col min="7193" max="7194" width="10.7109375" style="9"/>
    <col min="7195" max="7198" width="10.7109375" style="9" customWidth="1"/>
    <col min="7199" max="7201" width="10.7109375" style="9"/>
    <col min="7202" max="7202" width="10.7109375" style="9" customWidth="1"/>
    <col min="7203" max="7204" width="10.7109375" style="9"/>
    <col min="7205" max="7205" width="10.7109375" style="9" customWidth="1"/>
    <col min="7206" max="7208" width="10.7109375" style="9"/>
    <col min="7209" max="7209" width="10.7109375" style="9" customWidth="1"/>
    <col min="7210" max="7211" width="10.7109375" style="9"/>
    <col min="7212" max="7226" width="10.7109375" style="9" customWidth="1"/>
    <col min="7227" max="7227" width="10.7109375" style="9"/>
    <col min="7228" max="7230" width="10.7109375" style="9" customWidth="1"/>
    <col min="7231" max="7233" width="10.7109375" style="9"/>
    <col min="7234" max="7234" width="10.7109375" style="9" customWidth="1"/>
    <col min="7235" max="7236" width="10.7109375" style="9"/>
    <col min="7237" max="7237" width="10.7109375" style="9" customWidth="1"/>
    <col min="7238" max="7240" width="10.7109375" style="9"/>
    <col min="7241" max="7241" width="10.7109375" style="9" customWidth="1"/>
    <col min="7242" max="7243" width="10.7109375" style="9"/>
    <col min="7244" max="7257" width="10.7109375" style="9" customWidth="1"/>
    <col min="7258" max="7258" width="10.7109375" style="9"/>
    <col min="7259" max="7260" width="10.7109375" style="9" customWidth="1"/>
    <col min="7261" max="7264" width="10.7109375" style="9"/>
    <col min="7265" max="7266" width="10.7109375" style="9" customWidth="1"/>
    <col min="7267" max="7267" width="10.7109375" style="9"/>
    <col min="7268" max="7268" width="10.7109375" style="9" customWidth="1"/>
    <col min="7269" max="7269" width="10.7109375" style="9"/>
    <col min="7270" max="7275" width="10.7109375" style="9" customWidth="1"/>
    <col min="7276" max="7276" width="10.7109375" style="9"/>
    <col min="7277" max="7283" width="10.7109375" style="9" customWidth="1"/>
    <col min="7284" max="7284" width="10.7109375" style="9"/>
    <col min="7285" max="7298" width="10.7109375" style="9" customWidth="1"/>
    <col min="7299" max="7301" width="10.7109375" style="9"/>
    <col min="7302" max="7306" width="10.7109375" style="9" customWidth="1"/>
    <col min="7307" max="7307" width="10.7109375" style="9"/>
    <col min="7308" max="7320" width="10.7109375" style="9" customWidth="1"/>
    <col min="7321" max="7321" width="10.7109375" style="9"/>
    <col min="7322" max="7322" width="10.7109375" style="9" customWidth="1"/>
    <col min="7323" max="7323" width="10.7109375" style="9"/>
    <col min="7324" max="7328" width="10.7109375" style="9" customWidth="1"/>
    <col min="7329" max="7329" width="10.7109375" style="9"/>
    <col min="7330" max="7330" width="10.7109375" style="9" customWidth="1"/>
    <col min="7331" max="7333" width="10.7109375" style="9"/>
    <col min="7334" max="7338" width="10.7109375" style="9" customWidth="1"/>
    <col min="7339" max="7339" width="10.7109375" style="9"/>
    <col min="7340" max="7347" width="10.7109375" style="9" customWidth="1"/>
    <col min="7348" max="7349" width="10.7109375" style="9"/>
    <col min="7350" max="7351" width="10.7109375" style="9" customWidth="1"/>
    <col min="7352" max="7352" width="10.7109375" style="9"/>
    <col min="7353" max="7353" width="10.7109375" style="9" customWidth="1"/>
    <col min="7354" max="7354" width="10.7109375" style="9"/>
    <col min="7355" max="7355" width="10.7109375" style="9" customWidth="1"/>
    <col min="7356" max="7356" width="10.7109375" style="9"/>
    <col min="7357" max="7357" width="10.7109375" style="9" customWidth="1"/>
    <col min="7358" max="7358" width="10.7109375" style="9"/>
    <col min="7359" max="7359" width="10.7109375" style="9" customWidth="1"/>
    <col min="7360" max="7374" width="10.7109375" style="9"/>
    <col min="7375" max="7375" width="10.7109375" style="9" customWidth="1"/>
    <col min="7376" max="7377" width="10.7109375" style="9"/>
    <col min="7378" max="7378" width="10.7109375" style="9" customWidth="1"/>
    <col min="7379" max="7379" width="10.7109375" style="9"/>
    <col min="7380" max="7380" width="10.7109375" style="9" customWidth="1"/>
    <col min="7381" max="7381" width="10.7109375" style="9"/>
    <col min="7382" max="7382" width="10.7109375" style="9" customWidth="1"/>
    <col min="7383" max="7385" width="10.7109375" style="9"/>
    <col min="7386" max="7386" width="10.7109375" style="9" customWidth="1"/>
    <col min="7387" max="7387" width="10.7109375" style="9"/>
    <col min="7388" max="7388" width="10.7109375" style="9" customWidth="1"/>
    <col min="7389" max="7389" width="10.7109375" style="9"/>
    <col min="7390" max="7390" width="10.7109375" style="9" customWidth="1"/>
    <col min="7391" max="7391" width="10.7109375" style="9"/>
    <col min="7392" max="7392" width="10.7109375" style="9" customWidth="1"/>
    <col min="7393" max="7395" width="10.7109375" style="9"/>
    <col min="7396" max="7397" width="10.7109375" style="9" customWidth="1"/>
    <col min="7398" max="7398" width="10.7109375" style="9"/>
    <col min="7399" max="7401" width="10.7109375" style="9" customWidth="1"/>
    <col min="7402" max="7402" width="10.7109375" style="9"/>
    <col min="7403" max="7403" width="10.7109375" style="9" customWidth="1"/>
    <col min="7404" max="7405" width="10.7109375" style="9"/>
    <col min="7406" max="7407" width="10.7109375" style="9" customWidth="1"/>
    <col min="7408" max="7409" width="10.7109375" style="9"/>
    <col min="7410" max="7452" width="10.7109375" style="9" customWidth="1"/>
    <col min="7453" max="7453" width="10.7109375" style="9"/>
    <col min="7454" max="7454" width="10.7109375" style="9" customWidth="1"/>
    <col min="7455" max="7456" width="10.7109375" style="9"/>
    <col min="7457" max="7458" width="10.7109375" style="9" customWidth="1"/>
    <col min="7459" max="7461" width="10.7109375" style="9"/>
    <col min="7462" max="7466" width="10.7109375" style="9" customWidth="1"/>
    <col min="7467" max="7467" width="10.7109375" style="9"/>
    <col min="7468" max="7480" width="10.7109375" style="9" customWidth="1"/>
    <col min="7481" max="7481" width="10.7109375" style="9"/>
    <col min="7482" max="7482" width="10.7109375" style="9" customWidth="1"/>
    <col min="7483" max="7483" width="10.7109375" style="9"/>
    <col min="7484" max="7488" width="10.7109375" style="9" customWidth="1"/>
    <col min="7489" max="7489" width="10.7109375" style="9"/>
    <col min="7490" max="7490" width="10.7109375" style="9" customWidth="1"/>
    <col min="7491" max="7493" width="10.7109375" style="9"/>
    <col min="7494" max="7498" width="10.7109375" style="9" customWidth="1"/>
    <col min="7499" max="7499" width="10.7109375" style="9"/>
    <col min="7500" max="7508" width="10.7109375" style="9" customWidth="1"/>
    <col min="7509" max="7510" width="10.7109375" style="9"/>
    <col min="7511" max="7514" width="10.7109375" style="9" customWidth="1"/>
    <col min="7515" max="7516" width="10.7109375" style="9"/>
    <col min="7517" max="7517" width="10.7109375" style="9" customWidth="1"/>
    <col min="7518" max="7519" width="10.7109375" style="9"/>
    <col min="7520" max="7521" width="10.7109375" style="9" customWidth="1"/>
    <col min="7522" max="7522" width="10.7109375" style="9"/>
    <col min="7523" max="7524" width="10.7109375" style="9" customWidth="1"/>
    <col min="7525" max="7525" width="10.7109375" style="9"/>
    <col min="7526" max="7529" width="10.7109375" style="9" customWidth="1"/>
    <col min="7530" max="7530" width="10.7109375" style="9"/>
    <col min="7531" max="7532" width="10.7109375" style="9" customWidth="1"/>
    <col min="7533" max="7533" width="10.7109375" style="9"/>
    <col min="7534" max="7544" width="10.7109375" style="9" customWidth="1"/>
    <col min="7545" max="7545" width="10.7109375" style="9"/>
    <col min="7546" max="7546" width="10.7109375" style="9" customWidth="1"/>
    <col min="7547" max="7547" width="10.7109375" style="9"/>
    <col min="7548" max="7552" width="10.7109375" style="9" customWidth="1"/>
    <col min="7553" max="7553" width="10.7109375" style="9"/>
    <col min="7554" max="7554" width="10.7109375" style="9" customWidth="1"/>
    <col min="7555" max="7557" width="10.7109375" style="9"/>
    <col min="7558" max="7562" width="10.7109375" style="9" customWidth="1"/>
    <col min="7563" max="7563" width="10.7109375" style="9"/>
    <col min="7564" max="7572" width="10.7109375" style="9" customWidth="1"/>
    <col min="7573" max="7573" width="10.7109375" style="9"/>
    <col min="7574" max="7605" width="10.7109375" style="9" customWidth="1"/>
    <col min="7606" max="7606" width="10.7109375" style="9"/>
    <col min="7607" max="7608" width="10.7109375" style="9" customWidth="1"/>
    <col min="7609" max="7611" width="10.7109375" style="9"/>
    <col min="7612" max="7612" width="10.7109375" style="9" customWidth="1"/>
    <col min="7613" max="7615" width="10.7109375" style="9"/>
    <col min="7616" max="7624" width="10.7109375" style="9" customWidth="1"/>
    <col min="7625" max="7625" width="10.7109375" style="9"/>
    <col min="7626" max="7626" width="10.7109375" style="9" customWidth="1"/>
    <col min="7627" max="7627" width="10.7109375" style="9"/>
    <col min="7628" max="7628" width="10.7109375" style="9" customWidth="1"/>
    <col min="7629" max="7629" width="10.7109375" style="9"/>
    <col min="7630" max="7636" width="10.7109375" style="9" customWidth="1"/>
    <col min="7637" max="7637" width="10.7109375" style="9"/>
    <col min="7638" max="7638" width="10.7109375" style="9" customWidth="1"/>
    <col min="7639" max="7640" width="10.7109375" style="9"/>
    <col min="7641" max="7641" width="10.7109375" style="9" customWidth="1"/>
    <col min="7642" max="7642" width="10.7109375" style="9"/>
    <col min="7643" max="7645" width="10.7109375" style="9" customWidth="1"/>
    <col min="7646" max="7648" width="10.7109375" style="9"/>
    <col min="7649" max="7649" width="10.7109375" style="9" customWidth="1"/>
    <col min="7650" max="7654" width="10.7109375" style="9"/>
    <col min="7655" max="7656" width="10.7109375" style="9" customWidth="1"/>
    <col min="7657" max="7657" width="10.7109375" style="9"/>
    <col min="7658" max="7660" width="10.7109375" style="9" customWidth="1"/>
    <col min="7661" max="7661" width="10.7109375" style="9"/>
    <col min="7662" max="7676" width="10.7109375" style="9" customWidth="1"/>
    <col min="7677" max="7677" width="10.7109375" style="9"/>
    <col min="7678" max="7678" width="10.7109375" style="9" customWidth="1"/>
    <col min="7679" max="7680" width="10.7109375" style="9"/>
    <col min="7681" max="7682" width="10.7109375" style="9" customWidth="1"/>
    <col min="7683" max="7685" width="10.7109375" style="9"/>
    <col min="7686" max="7690" width="10.7109375" style="9" customWidth="1"/>
    <col min="7691" max="7691" width="10.7109375" style="9"/>
    <col min="7692" max="7696" width="10.7109375" style="9" customWidth="1"/>
    <col min="7697" max="7699" width="10.7109375" style="9"/>
    <col min="7700" max="7728" width="10.7109375" style="9" customWidth="1"/>
    <col min="7729" max="7731" width="10.7109375" style="9"/>
    <col min="7732" max="7772" width="10.7109375" style="9" customWidth="1"/>
    <col min="7773" max="7773" width="10.7109375" style="9"/>
    <col min="7774" max="7774" width="10.7109375" style="9" customWidth="1"/>
    <col min="7775" max="7776" width="10.7109375" style="9"/>
    <col min="7777" max="7778" width="10.7109375" style="9" customWidth="1"/>
    <col min="7779" max="7781" width="10.7109375" style="9"/>
    <col min="7782" max="7786" width="10.7109375" style="9" customWidth="1"/>
    <col min="7787" max="7787" width="10.7109375" style="9"/>
    <col min="7788" max="7832" width="10.7109375" style="9" customWidth="1"/>
    <col min="7833" max="7833" width="10.7109375" style="9"/>
    <col min="7834" max="7834" width="10.7109375" style="9" customWidth="1"/>
    <col min="7835" max="7835" width="10.7109375" style="9"/>
    <col min="7836" max="7840" width="10.7109375" style="9" customWidth="1"/>
    <col min="7841" max="7841" width="10.7109375" style="9"/>
    <col min="7842" max="7842" width="10.7109375" style="9" customWidth="1"/>
    <col min="7843" max="7845" width="10.7109375" style="9"/>
    <col min="7846" max="7850" width="10.7109375" style="9" customWidth="1"/>
    <col min="7851" max="7851" width="10.7109375" style="9"/>
    <col min="7852" max="7859" width="10.7109375" style="9" customWidth="1"/>
    <col min="7860" max="7860" width="10.7109375" style="9"/>
    <col min="7861" max="7861" width="10.7109375" style="9" customWidth="1"/>
    <col min="7862" max="7862" width="10.7109375" style="9"/>
    <col min="7863" max="7864" width="10.7109375" style="9" customWidth="1"/>
    <col min="7865" max="7866" width="10.7109375" style="9"/>
    <col min="7867" max="7867" width="10.7109375" style="9" customWidth="1"/>
    <col min="7868" max="7868" width="10.7109375" style="9"/>
    <col min="7869" max="7869" width="10.7109375" style="9" customWidth="1"/>
    <col min="7870" max="7870" width="10.7109375" style="9"/>
    <col min="7871" max="7871" width="10.7109375" style="9" customWidth="1"/>
    <col min="7872" max="7886" width="10.7109375" style="9"/>
    <col min="7887" max="7887" width="10.7109375" style="9" customWidth="1"/>
    <col min="7888" max="7890" width="10.7109375" style="9"/>
    <col min="7891" max="7891" width="10.7109375" style="9" customWidth="1"/>
    <col min="7892" max="7892" width="10.7109375" style="9"/>
    <col min="7893" max="7894" width="10.7109375" style="9" customWidth="1"/>
    <col min="7895" max="7899" width="10.7109375" style="9"/>
    <col min="7900" max="7902" width="10.7109375" style="9" customWidth="1"/>
    <col min="7903" max="7903" width="10.7109375" style="9"/>
    <col min="7904" max="7904" width="10.7109375" style="9" customWidth="1"/>
    <col min="7905" max="7907" width="10.7109375" style="9"/>
    <col min="7908" max="7909" width="10.7109375" style="9" customWidth="1"/>
    <col min="7910" max="7910" width="10.7109375" style="9"/>
    <col min="7911" max="7913" width="10.7109375" style="9" customWidth="1"/>
    <col min="7914" max="7914" width="10.7109375" style="9"/>
    <col min="7915" max="7915" width="10.7109375" style="9" customWidth="1"/>
    <col min="7916" max="7917" width="10.7109375" style="9"/>
    <col min="7918" max="7919" width="10.7109375" style="9" customWidth="1"/>
    <col min="7920" max="7920" width="10.7109375" style="9"/>
    <col min="7921" max="7928" width="10.7109375" style="9" customWidth="1"/>
    <col min="7929" max="7929" width="10.7109375" style="9"/>
    <col min="7930" max="7930" width="10.7109375" style="9" customWidth="1"/>
    <col min="7931" max="7931" width="10.7109375" style="9"/>
    <col min="7932" max="7936" width="10.7109375" style="9" customWidth="1"/>
    <col min="7937" max="7937" width="10.7109375" style="9"/>
    <col min="7938" max="7938" width="10.7109375" style="9" customWidth="1"/>
    <col min="7939" max="7941" width="10.7109375" style="9"/>
    <col min="7942" max="7946" width="10.7109375" style="9" customWidth="1"/>
    <col min="7947" max="7947" width="10.7109375" style="9"/>
    <col min="7948" max="7952" width="10.7109375" style="9" customWidth="1"/>
    <col min="7953" max="7955" width="10.7109375" style="9"/>
    <col min="7956" max="7971" width="10.7109375" style="9" customWidth="1"/>
    <col min="7972" max="7973" width="10.7109375" style="9"/>
    <col min="7974" max="7974" width="10.7109375" style="9" customWidth="1"/>
    <col min="7975" max="7977" width="10.7109375" style="9"/>
    <col min="7978" max="7980" width="10.7109375" style="9" customWidth="1"/>
    <col min="7981" max="7981" width="10.7109375" style="9"/>
    <col min="7982" max="7984" width="10.7109375" style="9" customWidth="1"/>
    <col min="7985" max="7987" width="10.7109375" style="9"/>
    <col min="7988" max="8028" width="10.7109375" style="9" customWidth="1"/>
    <col min="8029" max="8029" width="10.7109375" style="9"/>
    <col min="8030" max="8030" width="10.7109375" style="9" customWidth="1"/>
    <col min="8031" max="8032" width="10.7109375" style="9"/>
    <col min="8033" max="8034" width="10.7109375" style="9" customWidth="1"/>
    <col min="8035" max="8037" width="10.7109375" style="9"/>
    <col min="8038" max="8042" width="10.7109375" style="9" customWidth="1"/>
    <col min="8043" max="8043" width="10.7109375" style="9"/>
    <col min="8044" max="8088" width="10.7109375" style="9" customWidth="1"/>
    <col min="8089" max="8089" width="10.7109375" style="9"/>
    <col min="8090" max="8090" width="10.7109375" style="9" customWidth="1"/>
    <col min="8091" max="8091" width="10.7109375" style="9"/>
    <col min="8092" max="8096" width="10.7109375" style="9" customWidth="1"/>
    <col min="8097" max="8097" width="10.7109375" style="9"/>
    <col min="8098" max="8098" width="10.7109375" style="9" customWidth="1"/>
    <col min="8099" max="8101" width="10.7109375" style="9"/>
    <col min="8102" max="8106" width="10.7109375" style="9" customWidth="1"/>
    <col min="8107" max="8107" width="10.7109375" style="9"/>
    <col min="8108" max="8115" width="10.7109375" style="9" customWidth="1"/>
    <col min="8116" max="8116" width="10.7109375" style="9"/>
    <col min="8117" max="8118" width="10.7109375" style="9" customWidth="1"/>
    <col min="8119" max="8119" width="10.7109375" style="9"/>
    <col min="8120" max="8120" width="10.7109375" style="9" customWidth="1"/>
    <col min="8121" max="8122" width="10.7109375" style="9"/>
    <col min="8123" max="8123" width="10.7109375" style="9" customWidth="1"/>
    <col min="8124" max="8124" width="10.7109375" style="9"/>
    <col min="8125" max="8125" width="10.7109375" style="9" customWidth="1"/>
    <col min="8126" max="8126" width="10.7109375" style="9"/>
    <col min="8127" max="8127" width="10.7109375" style="9" customWidth="1"/>
    <col min="8128" max="8142" width="10.7109375" style="9"/>
    <col min="8143" max="8143" width="10.7109375" style="9" customWidth="1"/>
    <col min="8144" max="8146" width="10.7109375" style="9"/>
    <col min="8147" max="8147" width="10.7109375" style="9" customWidth="1"/>
    <col min="8148" max="8148" width="10.7109375" style="9"/>
    <col min="8149" max="8150" width="10.7109375" style="9" customWidth="1"/>
    <col min="8151" max="8155" width="10.7109375" style="9"/>
    <col min="8156" max="8158" width="10.7109375" style="9" customWidth="1"/>
    <col min="8159" max="8159" width="10.7109375" style="9"/>
    <col min="8160" max="8160" width="10.7109375" style="9" customWidth="1"/>
    <col min="8161" max="8163" width="10.7109375" style="9"/>
    <col min="8164" max="8165" width="10.7109375" style="9" customWidth="1"/>
    <col min="8166" max="8166" width="10.7109375" style="9"/>
    <col min="8167" max="8169" width="10.7109375" style="9" customWidth="1"/>
    <col min="8170" max="8170" width="10.7109375" style="9"/>
    <col min="8171" max="8171" width="10.7109375" style="9" customWidth="1"/>
    <col min="8172" max="8173" width="10.7109375" style="9"/>
    <col min="8174" max="8175" width="10.7109375" style="9" customWidth="1"/>
    <col min="8176" max="8176" width="10.7109375" style="9"/>
    <col min="8177" max="8184" width="10.7109375" style="9" customWidth="1"/>
    <col min="8185" max="8185" width="10.7109375" style="9"/>
    <col min="8186" max="8186" width="10.7109375" style="9" customWidth="1"/>
    <col min="8187" max="8187" width="10.7109375" style="9"/>
    <col min="8188" max="8192" width="10.7109375" style="9" customWidth="1"/>
    <col min="8193" max="8193" width="10.7109375" style="9"/>
    <col min="8194" max="8194" width="10.7109375" style="9" customWidth="1"/>
    <col min="8195" max="8197" width="10.7109375" style="9"/>
    <col min="8198" max="8202" width="10.7109375" style="9" customWidth="1"/>
    <col min="8203" max="8203" width="10.7109375" style="9"/>
    <col min="8204" max="8212" width="10.7109375" style="9" customWidth="1"/>
    <col min="8213" max="8216" width="10.7109375" style="9"/>
    <col min="8217" max="8217" width="10.7109375" style="9" customWidth="1"/>
    <col min="8218" max="8218" width="10.7109375" style="9"/>
    <col min="8219" max="8219" width="10.7109375" style="9" customWidth="1"/>
    <col min="8220" max="8220" width="10.7109375" style="9"/>
    <col min="8221" max="8221" width="10.7109375" style="9" customWidth="1"/>
    <col min="8222" max="8222" width="10.7109375" style="9"/>
    <col min="8223" max="8223" width="10.7109375" style="9" customWidth="1"/>
    <col min="8224" max="8238" width="10.7109375" style="9"/>
    <col min="8239" max="8239" width="10.7109375" style="9" customWidth="1"/>
    <col min="8240" max="8240" width="10.7109375" style="9"/>
    <col min="8241" max="8275" width="10.7109375" style="9" customWidth="1"/>
    <col min="8276" max="8280" width="10.7109375" style="9"/>
    <col min="8281" max="8281" width="10.7109375" style="9" customWidth="1"/>
    <col min="8282" max="8282" width="10.7109375" style="9"/>
    <col min="8283" max="8283" width="10.7109375" style="9" customWidth="1"/>
    <col min="8284" max="8284" width="10.7109375" style="9"/>
    <col min="8285" max="8285" width="10.7109375" style="9" customWidth="1"/>
    <col min="8286" max="8286" width="10.7109375" style="9"/>
    <col min="8287" max="8287" width="10.7109375" style="9" customWidth="1"/>
    <col min="8288" max="8302" width="10.7109375" style="9"/>
    <col min="8303" max="8303" width="10.7109375" style="9" customWidth="1"/>
    <col min="8304" max="8304" width="10.7109375" style="9"/>
    <col min="8305" max="8306" width="10.7109375" style="9" customWidth="1"/>
    <col min="8307" max="8307" width="10.7109375" style="9"/>
    <col min="8308" max="8308" width="10.7109375" style="9" customWidth="1"/>
    <col min="8309" max="8312" width="10.7109375" style="9"/>
    <col min="8313" max="8313" width="10.7109375" style="9" customWidth="1"/>
    <col min="8314" max="8314" width="10.7109375" style="9"/>
    <col min="8315" max="8315" width="10.7109375" style="9" customWidth="1"/>
    <col min="8316" max="8316" width="10.7109375" style="9"/>
    <col min="8317" max="8317" width="10.7109375" style="9" customWidth="1"/>
    <col min="8318" max="8318" width="10.7109375" style="9"/>
    <col min="8319" max="8319" width="10.7109375" style="9" customWidth="1"/>
    <col min="8320" max="8334" width="10.7109375" style="9"/>
    <col min="8335" max="8335" width="10.7109375" style="9" customWidth="1"/>
    <col min="8336" max="8336" width="10.7109375" style="9"/>
    <col min="8337" max="8376" width="10.7109375" style="9" customWidth="1"/>
    <col min="8377" max="8377" width="10.7109375" style="9"/>
    <col min="8378" max="8378" width="10.7109375" style="9" customWidth="1"/>
    <col min="8379" max="8379" width="10.7109375" style="9"/>
    <col min="8380" max="8384" width="10.7109375" style="9" customWidth="1"/>
    <col min="8385" max="8385" width="10.7109375" style="9"/>
    <col min="8386" max="8386" width="10.7109375" style="9" customWidth="1"/>
    <col min="8387" max="8389" width="10.7109375" style="9"/>
    <col min="8390" max="8394" width="10.7109375" style="9" customWidth="1"/>
    <col min="8395" max="8395" width="10.7109375" style="9"/>
    <col min="8396" max="8435" width="10.7109375" style="9" customWidth="1"/>
    <col min="8436" max="8439" width="10.7109375" style="9"/>
    <col min="8440" max="8444" width="10.7109375" style="9" customWidth="1"/>
    <col min="8445" max="8446" width="10.7109375" style="9"/>
    <col min="8447" max="8447" width="10.7109375" style="9" customWidth="1"/>
    <col min="8448" max="8450" width="10.7109375" style="9"/>
    <col min="8451" max="8451" width="10.7109375" style="9" customWidth="1"/>
    <col min="8452" max="8454" width="10.7109375" style="9"/>
    <col min="8455" max="8458" width="10.7109375" style="9" customWidth="1"/>
    <col min="8459" max="8459" width="10.7109375" style="9"/>
    <col min="8460" max="8496" width="10.7109375" style="9" customWidth="1"/>
    <col min="8497" max="8497" width="10.7109375" style="9"/>
    <col min="8498" max="8499" width="10.7109375" style="9" customWidth="1"/>
    <col min="8500" max="8506" width="10.7109375" style="9"/>
    <col min="8507" max="8510" width="10.7109375" style="9" customWidth="1"/>
    <col min="8511" max="8511" width="10.7109375" style="9"/>
    <col min="8512" max="8512" width="10.7109375" style="9" customWidth="1"/>
    <col min="8513" max="8515" width="10.7109375" style="9"/>
    <col min="8516" max="8517" width="10.7109375" style="9" customWidth="1"/>
    <col min="8518" max="8518" width="10.7109375" style="9"/>
    <col min="8519" max="8521" width="10.7109375" style="9" customWidth="1"/>
    <col min="8522" max="8522" width="10.7109375" style="9"/>
    <col min="8523" max="8523" width="10.7109375" style="9" customWidth="1"/>
    <col min="8524" max="8525" width="10.7109375" style="9"/>
    <col min="8526" max="8527" width="10.7109375" style="9" customWidth="1"/>
    <col min="8528" max="8528" width="10.7109375" style="9"/>
    <col min="8529" max="8529" width="10.7109375" style="9" customWidth="1"/>
    <col min="8530" max="8530" width="10.7109375" style="9"/>
    <col min="8531" max="8538" width="10.7109375" style="9" customWidth="1"/>
    <col min="8539" max="8539" width="10.7109375" style="9"/>
    <col min="8540" max="8541" width="10.7109375" style="9" customWidth="1"/>
    <col min="8542" max="8543" width="10.7109375" style="9"/>
    <col min="8544" max="8544" width="10.7109375" style="9" customWidth="1"/>
    <col min="8545" max="8545" width="10.7109375" style="9"/>
    <col min="8546" max="8547" width="10.7109375" style="9" customWidth="1"/>
    <col min="8548" max="8550" width="10.7109375" style="9"/>
    <col min="8551" max="8554" width="10.7109375" style="9" customWidth="1"/>
    <col min="8555" max="8555" width="10.7109375" style="9"/>
    <col min="8556" max="8556" width="10.7109375" style="9" customWidth="1"/>
    <col min="8557" max="8557" width="10.7109375" style="9"/>
    <col min="8558" max="8559" width="10.7109375" style="9" customWidth="1"/>
    <col min="8560" max="8560" width="10.7109375" style="9"/>
    <col min="8561" max="8599" width="10.7109375" style="9" customWidth="1"/>
    <col min="8600" max="8600" width="10.7109375" style="9"/>
    <col min="8601" max="8632" width="10.7109375" style="9" customWidth="1"/>
    <col min="8633" max="8633" width="10.7109375" style="9"/>
    <col min="8634" max="8634" width="10.7109375" style="9" customWidth="1"/>
    <col min="8635" max="8635" width="10.7109375" style="9"/>
    <col min="8636" max="8640" width="10.7109375" style="9" customWidth="1"/>
    <col min="8641" max="8641" width="10.7109375" style="9"/>
    <col min="8642" max="8642" width="10.7109375" style="9" customWidth="1"/>
    <col min="8643" max="8645" width="10.7109375" style="9"/>
    <col min="8646" max="8650" width="10.7109375" style="9" customWidth="1"/>
    <col min="8651" max="8651" width="10.7109375" style="9"/>
    <col min="8652" max="8668" width="10.7109375" style="9" customWidth="1"/>
    <col min="8669" max="8669" width="10.7109375" style="9"/>
    <col min="8670" max="8670" width="10.7109375" style="9" customWidth="1"/>
    <col min="8671" max="8672" width="10.7109375" style="9"/>
    <col min="8673" max="8674" width="10.7109375" style="9" customWidth="1"/>
    <col min="8675" max="8677" width="10.7109375" style="9"/>
    <col min="8678" max="8682" width="10.7109375" style="9" customWidth="1"/>
    <col min="8683" max="8683" width="10.7109375" style="9"/>
    <col min="8684" max="8692" width="10.7109375" style="9" customWidth="1"/>
    <col min="8693" max="8693" width="10.7109375" style="9"/>
    <col min="8694" max="8694" width="10.7109375" style="9" customWidth="1"/>
    <col min="8695" max="8695" width="10.7109375" style="9"/>
    <col min="8696" max="8696" width="10.7109375" style="9" customWidth="1"/>
    <col min="8697" max="8697" width="10.7109375" style="9"/>
    <col min="8698" max="8700" width="10.7109375" style="9" customWidth="1"/>
    <col min="8701" max="8702" width="10.7109375" style="9"/>
    <col min="8703" max="8703" width="10.7109375" style="9" customWidth="1"/>
    <col min="8704" max="8718" width="10.7109375" style="9"/>
    <col min="8719" max="8719" width="10.7109375" style="9" customWidth="1"/>
    <col min="8720" max="8720" width="10.7109375" style="9"/>
    <col min="8721" max="8723" width="10.7109375" style="9" customWidth="1"/>
    <col min="8724" max="8724" width="10.7109375" style="9"/>
    <col min="8725" max="8760" width="10.7109375" style="9" customWidth="1"/>
    <col min="8761" max="8761" width="10.7109375" style="9"/>
    <col min="8762" max="8762" width="10.7109375" style="9" customWidth="1"/>
    <col min="8763" max="8763" width="10.7109375" style="9"/>
    <col min="8764" max="8768" width="10.7109375" style="9" customWidth="1"/>
    <col min="8769" max="8769" width="10.7109375" style="9"/>
    <col min="8770" max="8770" width="10.7109375" style="9" customWidth="1"/>
    <col min="8771" max="8773" width="10.7109375" style="9"/>
    <col min="8774" max="8778" width="10.7109375" style="9" customWidth="1"/>
    <col min="8779" max="8779" width="10.7109375" style="9"/>
    <col min="8780" max="8801" width="10.7109375" style="9" customWidth="1"/>
    <col min="8802" max="8803" width="10.7109375" style="9"/>
    <col min="8804" max="8804" width="10.7109375" style="9" customWidth="1"/>
    <col min="8805" max="8808" width="10.7109375" style="9"/>
    <col min="8809" max="8812" width="10.7109375" style="9" customWidth="1"/>
    <col min="8813" max="8813" width="10.7109375" style="9"/>
    <col min="8814" max="8815" width="10.7109375" style="9" customWidth="1"/>
    <col min="8816" max="8816" width="10.7109375" style="9"/>
    <col min="8817" max="8855" width="10.7109375" style="9" customWidth="1"/>
    <col min="8856" max="8856" width="10.7109375" style="9"/>
    <col min="8857" max="8888" width="10.7109375" style="9" customWidth="1"/>
    <col min="8889" max="8889" width="10.7109375" style="9"/>
    <col min="8890" max="8890" width="10.7109375" style="9" customWidth="1"/>
    <col min="8891" max="8891" width="10.7109375" style="9"/>
    <col min="8892" max="8896" width="10.7109375" style="9" customWidth="1"/>
    <col min="8897" max="8897" width="10.7109375" style="9"/>
    <col min="8898" max="8898" width="10.7109375" style="9" customWidth="1"/>
    <col min="8899" max="8901" width="10.7109375" style="9"/>
    <col min="8902" max="8906" width="10.7109375" style="9" customWidth="1"/>
    <col min="8907" max="8907" width="10.7109375" style="9"/>
    <col min="8908" max="8924" width="10.7109375" style="9" customWidth="1"/>
    <col min="8925" max="8925" width="10.7109375" style="9"/>
    <col min="8926" max="8926" width="10.7109375" style="9" customWidth="1"/>
    <col min="8927" max="8928" width="10.7109375" style="9"/>
    <col min="8929" max="8930" width="10.7109375" style="9" customWidth="1"/>
    <col min="8931" max="8933" width="10.7109375" style="9"/>
    <col min="8934" max="8938" width="10.7109375" style="9" customWidth="1"/>
    <col min="8939" max="8939" width="10.7109375" style="9"/>
    <col min="8940" max="8944" width="10.7109375" style="9" customWidth="1"/>
    <col min="8945" max="8948" width="10.7109375" style="9"/>
    <col min="8949" max="8950" width="10.7109375" style="9" customWidth="1"/>
    <col min="8951" max="8951" width="10.7109375" style="9"/>
    <col min="8952" max="8952" width="10.7109375" style="9" customWidth="1"/>
    <col min="8953" max="8954" width="10.7109375" style="9"/>
    <col min="8955" max="8958" width="10.7109375" style="9" customWidth="1"/>
    <col min="8959" max="8959" width="10.7109375" style="9"/>
    <col min="8960" max="8960" width="10.7109375" style="9" customWidth="1"/>
    <col min="8961" max="8963" width="10.7109375" style="9"/>
    <col min="8964" max="8965" width="10.7109375" style="9" customWidth="1"/>
    <col min="8966" max="8966" width="10.7109375" style="9"/>
    <col min="8967" max="8969" width="10.7109375" style="9" customWidth="1"/>
    <col min="8970" max="8970" width="10.7109375" style="9"/>
    <col min="8971" max="8971" width="10.7109375" style="9" customWidth="1"/>
    <col min="8972" max="8973" width="10.7109375" style="9"/>
    <col min="8974" max="8975" width="10.7109375" style="9" customWidth="1"/>
    <col min="8976" max="8976" width="10.7109375" style="9"/>
    <col min="8977" max="8983" width="10.7109375" style="9" customWidth="1"/>
    <col min="8984" max="8984" width="10.7109375" style="9"/>
    <col min="8985" max="9011" width="10.7109375" style="9" customWidth="1"/>
    <col min="9012" max="9014" width="10.7109375" style="9"/>
    <col min="9015" max="9016" width="10.7109375" style="9" customWidth="1"/>
    <col min="9017" max="9018" width="10.7109375" style="9"/>
    <col min="9019" max="9019" width="10.7109375" style="9" customWidth="1"/>
    <col min="9020" max="9020" width="10.7109375" style="9"/>
    <col min="9021" max="9021" width="10.7109375" style="9" customWidth="1"/>
    <col min="9022" max="9022" width="10.7109375" style="9"/>
    <col min="9023" max="9023" width="10.7109375" style="9" customWidth="1"/>
    <col min="9024" max="9038" width="10.7109375" style="9"/>
    <col min="9039" max="9039" width="10.7109375" style="9" customWidth="1"/>
    <col min="9040" max="9041" width="10.7109375" style="9"/>
    <col min="9042" max="9045" width="10.7109375" style="9" customWidth="1"/>
    <col min="9046" max="9050" width="10.7109375" style="9"/>
    <col min="9051" max="9054" width="10.7109375" style="9" customWidth="1"/>
    <col min="9055" max="9055" width="10.7109375" style="9"/>
    <col min="9056" max="9056" width="10.7109375" style="9" customWidth="1"/>
    <col min="9057" max="9059" width="10.7109375" style="9"/>
    <col min="9060" max="9061" width="10.7109375" style="9" customWidth="1"/>
    <col min="9062" max="9062" width="10.7109375" style="9"/>
    <col min="9063" max="9065" width="10.7109375" style="9" customWidth="1"/>
    <col min="9066" max="9066" width="10.7109375" style="9"/>
    <col min="9067" max="9067" width="10.7109375" style="9" customWidth="1"/>
    <col min="9068" max="9069" width="10.7109375" style="9"/>
    <col min="9070" max="9071" width="10.7109375" style="9" customWidth="1"/>
    <col min="9072" max="9072" width="10.7109375" style="9"/>
    <col min="9073" max="9104" width="10.7109375" style="9" customWidth="1"/>
    <col min="9105" max="9105" width="10.7109375" style="9"/>
    <col min="9106" max="9106" width="10.7109375" style="9" customWidth="1"/>
    <col min="9107" max="9136" width="10.7109375" style="9"/>
    <col min="9137" max="9139" width="10.7109375" style="9" customWidth="1"/>
    <col min="9140" max="9140" width="10.7109375" style="9"/>
    <col min="9141" max="9141" width="10.7109375" style="9" customWidth="1"/>
    <col min="9142" max="9143" width="10.7109375" style="9"/>
    <col min="9144" max="9144" width="10.7109375" style="9" customWidth="1"/>
    <col min="9145" max="9146" width="10.7109375" style="9"/>
    <col min="9147" max="9147" width="10.7109375" style="9" customWidth="1"/>
    <col min="9148" max="9148" width="10.7109375" style="9"/>
    <col min="9149" max="9149" width="10.7109375" style="9" customWidth="1"/>
    <col min="9150" max="9150" width="10.7109375" style="9"/>
    <col min="9151" max="9151" width="10.7109375" style="9" customWidth="1"/>
    <col min="9152" max="9166" width="10.7109375" style="9"/>
    <col min="9167" max="9167" width="10.7109375" style="9" customWidth="1"/>
    <col min="9168" max="9168" width="10.7109375" style="9"/>
    <col min="9169" max="9170" width="10.7109375" style="9" customWidth="1"/>
    <col min="9171" max="9172" width="10.7109375" style="9"/>
    <col min="9173" max="9175" width="10.7109375" style="9" customWidth="1"/>
    <col min="9176" max="9178" width="10.7109375" style="9"/>
    <col min="9179" max="9182" width="10.7109375" style="9" customWidth="1"/>
    <col min="9183" max="9183" width="10.7109375" style="9"/>
    <col min="9184" max="9184" width="10.7109375" style="9" customWidth="1"/>
    <col min="9185" max="9187" width="10.7109375" style="9"/>
    <col min="9188" max="9189" width="10.7109375" style="9" customWidth="1"/>
    <col min="9190" max="9190" width="10.7109375" style="9"/>
    <col min="9191" max="9193" width="10.7109375" style="9" customWidth="1"/>
    <col min="9194" max="9194" width="10.7109375" style="9"/>
    <col min="9195" max="9195" width="10.7109375" style="9" customWidth="1"/>
    <col min="9196" max="9197" width="10.7109375" style="9"/>
    <col min="9198" max="9199" width="10.7109375" style="9" customWidth="1"/>
    <col min="9200" max="9200" width="10.7109375" style="9"/>
    <col min="9201" max="9212" width="10.7109375" style="9" customWidth="1"/>
    <col min="9213" max="9213" width="10.7109375" style="9"/>
    <col min="9214" max="9214" width="10.7109375" style="9" customWidth="1"/>
    <col min="9215" max="9216" width="10.7109375" style="9"/>
    <col min="9217" max="9218" width="10.7109375" style="9" customWidth="1"/>
    <col min="9219" max="9221" width="10.7109375" style="9"/>
    <col min="9222" max="9226" width="10.7109375" style="9" customWidth="1"/>
    <col min="9227" max="9227" width="10.7109375" style="9"/>
    <col min="9228" max="9239" width="10.7109375" style="9" customWidth="1"/>
    <col min="9240" max="9240" width="10.7109375" style="9"/>
    <col min="9241" max="9265" width="10.7109375" style="9" customWidth="1"/>
    <col min="9266" max="9269" width="10.7109375" style="9"/>
    <col min="9270" max="9271" width="10.7109375" style="9" customWidth="1"/>
    <col min="9272" max="9273" width="10.7109375" style="9"/>
    <col min="9274" max="9274" width="10.7109375" style="9" customWidth="1"/>
    <col min="9275" max="9277" width="10.7109375" style="9"/>
    <col min="9278" max="9279" width="10.7109375" style="9" customWidth="1"/>
    <col min="9280" max="9280" width="10.7109375" style="9"/>
    <col min="9281" max="9281" width="10.7109375" style="9" customWidth="1"/>
    <col min="9282" max="9282" width="10.7109375" style="9"/>
    <col min="9283" max="9283" width="10.7109375" style="9" customWidth="1"/>
    <col min="9284" max="9288" width="10.7109375" style="9"/>
    <col min="9289" max="9292" width="10.7109375" style="9" customWidth="1"/>
    <col min="9293" max="9293" width="10.7109375" style="9"/>
    <col min="9294" max="9295" width="10.7109375" style="9" customWidth="1"/>
    <col min="9296" max="9297" width="10.7109375" style="9"/>
    <col min="9298" max="9301" width="10.7109375" style="9" customWidth="1"/>
    <col min="9302" max="9306" width="10.7109375" style="9"/>
    <col min="9307" max="9310" width="10.7109375" style="9" customWidth="1"/>
    <col min="9311" max="9311" width="10.7109375" style="9"/>
    <col min="9312" max="9312" width="10.7109375" style="9" customWidth="1"/>
    <col min="9313" max="9315" width="10.7109375" style="9"/>
    <col min="9316" max="9317" width="10.7109375" style="9" customWidth="1"/>
    <col min="9318" max="9318" width="10.7109375" style="9"/>
    <col min="9319" max="9321" width="10.7109375" style="9" customWidth="1"/>
    <col min="9322" max="9322" width="10.7109375" style="9"/>
    <col min="9323" max="9323" width="10.7109375" style="9" customWidth="1"/>
    <col min="9324" max="9325" width="10.7109375" style="9"/>
    <col min="9326" max="9327" width="10.7109375" style="9" customWidth="1"/>
    <col min="9328" max="9328" width="10.7109375" style="9"/>
    <col min="9329" max="9360" width="10.7109375" style="9" customWidth="1"/>
    <col min="9361" max="9361" width="10.7109375" style="9"/>
    <col min="9362" max="9362" width="10.7109375" style="9" customWidth="1"/>
    <col min="9363" max="9392" width="10.7109375" style="9"/>
    <col min="9393" max="9395" width="10.7109375" style="9" customWidth="1"/>
    <col min="9396" max="9396" width="10.7109375" style="9"/>
    <col min="9397" max="9399" width="10.7109375" style="9" customWidth="1"/>
    <col min="9400" max="9402" width="10.7109375" style="9"/>
    <col min="9403" max="9403" width="10.7109375" style="9" customWidth="1"/>
    <col min="9404" max="9404" width="10.7109375" style="9"/>
    <col min="9405" max="9405" width="10.7109375" style="9" customWidth="1"/>
    <col min="9406" max="9406" width="10.7109375" style="9"/>
    <col min="9407" max="9407" width="10.7109375" style="9" customWidth="1"/>
    <col min="9408" max="9422" width="10.7109375" style="9"/>
    <col min="9423" max="9423" width="10.7109375" style="9" customWidth="1"/>
    <col min="9424" max="9424" width="10.7109375" style="9"/>
    <col min="9425" max="9431" width="10.7109375" style="9" customWidth="1"/>
    <col min="9432" max="9432" width="10.7109375" style="9"/>
    <col min="9433" max="9457" width="10.7109375" style="9" customWidth="1"/>
    <col min="9458" max="9461" width="10.7109375" style="9"/>
    <col min="9462" max="9463" width="10.7109375" style="9" customWidth="1"/>
    <col min="9464" max="9464" width="10.7109375" style="9"/>
    <col min="9465" max="9465" width="10.7109375" style="9" customWidth="1"/>
    <col min="9466" max="9468" width="10.7109375" style="9"/>
    <col min="9469" max="9471" width="10.7109375" style="9" customWidth="1"/>
    <col min="9472" max="9472" width="10.7109375" style="9"/>
    <col min="9473" max="9478" width="10.7109375" style="9" customWidth="1"/>
    <col min="9479" max="9482" width="10.7109375" style="9"/>
    <col min="9483" max="9483" width="10.7109375" style="9" customWidth="1"/>
    <col min="9484" max="9485" width="10.7109375" style="9"/>
    <col min="9486" max="9487" width="10.7109375" style="9" customWidth="1"/>
    <col min="9488" max="9488" width="10.7109375" style="9"/>
    <col min="9489" max="9489" width="10.7109375" style="9" customWidth="1"/>
    <col min="9490" max="9490" width="10.7109375" style="9"/>
    <col min="9491" max="9523" width="10.7109375" style="9" customWidth="1"/>
    <col min="9524" max="9527" width="10.7109375" style="9"/>
    <col min="9528" max="9528" width="10.7109375" style="9" customWidth="1"/>
    <col min="9529" max="9530" width="10.7109375" style="9"/>
    <col min="9531" max="9531" width="10.7109375" style="9" customWidth="1"/>
    <col min="9532" max="9532" width="10.7109375" style="9"/>
    <col min="9533" max="9533" width="10.7109375" style="9" customWidth="1"/>
    <col min="9534" max="9534" width="10.7109375" style="9"/>
    <col min="9535" max="9535" width="10.7109375" style="9" customWidth="1"/>
    <col min="9536" max="9550" width="10.7109375" style="9"/>
    <col min="9551" max="9551" width="10.7109375" style="9" customWidth="1"/>
    <col min="9552" max="9552" width="10.7109375" style="9"/>
    <col min="9553" max="9555" width="10.7109375" style="9" customWidth="1"/>
    <col min="9556" max="9559" width="10.7109375" style="9"/>
    <col min="9560" max="9560" width="10.7109375" style="9" customWidth="1"/>
    <col min="9561" max="9564" width="10.7109375" style="9"/>
    <col min="9565" max="9567" width="10.7109375" style="9" customWidth="1"/>
    <col min="9568" max="9568" width="10.7109375" style="9"/>
    <col min="9569" max="9574" width="10.7109375" style="9" customWidth="1"/>
    <col min="9575" max="9578" width="10.7109375" style="9"/>
    <col min="9579" max="9579" width="10.7109375" style="9" customWidth="1"/>
    <col min="9580" max="9581" width="10.7109375" style="9"/>
    <col min="9582" max="9583" width="10.7109375" style="9" customWidth="1"/>
    <col min="9584" max="9584" width="10.7109375" style="9"/>
    <col min="9585" max="9596" width="10.7109375" style="9" customWidth="1"/>
    <col min="9597" max="9597" width="10.7109375" style="9"/>
    <col min="9598" max="9598" width="10.7109375" style="9" customWidth="1"/>
    <col min="9599" max="9600" width="10.7109375" style="9"/>
    <col min="9601" max="9602" width="10.7109375" style="9" customWidth="1"/>
    <col min="9603" max="9605" width="10.7109375" style="9"/>
    <col min="9606" max="9610" width="10.7109375" style="9" customWidth="1"/>
    <col min="9611" max="9611" width="10.7109375" style="9"/>
    <col min="9612" max="9623" width="10.7109375" style="9" customWidth="1"/>
    <col min="9624" max="9624" width="10.7109375" style="9"/>
    <col min="9625" max="9651" width="10.7109375" style="9" customWidth="1"/>
    <col min="9652" max="9652" width="10.7109375" style="9"/>
    <col min="9653" max="9653" width="10.7109375" style="9" customWidth="1"/>
    <col min="9654" max="9654" width="10.7109375" style="9"/>
    <col min="9655" max="9655" width="10.7109375" style="9" customWidth="1"/>
    <col min="9656" max="9658" width="10.7109375" style="9"/>
    <col min="9659" max="9659" width="10.7109375" style="9" customWidth="1"/>
    <col min="9660" max="9660" width="10.7109375" style="9"/>
    <col min="9661" max="9661" width="10.7109375" style="9" customWidth="1"/>
    <col min="9662" max="9662" width="10.7109375" style="9"/>
    <col min="9663" max="9663" width="10.7109375" style="9" customWidth="1"/>
    <col min="9664" max="9678" width="10.7109375" style="9"/>
    <col min="9679" max="9679" width="10.7109375" style="9" customWidth="1"/>
    <col min="9680" max="9680" width="10.7109375" style="9"/>
    <col min="9681" max="9681" width="10.7109375" style="9" customWidth="1"/>
    <col min="9682" max="9683" width="10.7109375" style="9"/>
    <col min="9684" max="9684" width="10.7109375" style="9" customWidth="1"/>
    <col min="9685" max="9685" width="10.7109375" style="9"/>
    <col min="9686" max="9688" width="10.7109375" style="9" customWidth="1"/>
    <col min="9689" max="9692" width="10.7109375" style="9"/>
    <col min="9693" max="9695" width="10.7109375" style="9" customWidth="1"/>
    <col min="9696" max="9696" width="10.7109375" style="9"/>
    <col min="9697" max="9702" width="10.7109375" style="9" customWidth="1"/>
    <col min="9703" max="9706" width="10.7109375" style="9"/>
    <col min="9707" max="9707" width="10.7109375" style="9" customWidth="1"/>
    <col min="9708" max="9709" width="10.7109375" style="9"/>
    <col min="9710" max="9711" width="10.7109375" style="9" customWidth="1"/>
    <col min="9712" max="9712" width="10.7109375" style="9"/>
    <col min="9713" max="9719" width="10.7109375" style="9" customWidth="1"/>
    <col min="9720" max="9720" width="10.7109375" style="9"/>
    <col min="9721" max="9788" width="10.7109375" style="9" customWidth="1"/>
    <col min="9789" max="9789" width="10.7109375" style="9"/>
    <col min="9790" max="9790" width="10.7109375" style="9" customWidth="1"/>
    <col min="9791" max="9792" width="10.7109375" style="9"/>
    <col min="9793" max="9794" width="10.7109375" style="9" customWidth="1"/>
    <col min="9795" max="9797" width="10.7109375" style="9"/>
    <col min="9798" max="9802" width="10.7109375" style="9" customWidth="1"/>
    <col min="9803" max="9803" width="10.7109375" style="9"/>
    <col min="9804" max="9808" width="10.7109375" style="9" customWidth="1"/>
    <col min="9809" max="9812" width="10.7109375" style="9"/>
    <col min="9813" max="9814" width="10.7109375" style="9" customWidth="1"/>
    <col min="9815" max="9815" width="10.7109375" style="9"/>
    <col min="9816" max="9819" width="10.7109375" style="9" customWidth="1"/>
    <col min="9820" max="9820" width="10.7109375" style="9"/>
    <col min="9821" max="9821" width="10.7109375" style="9" customWidth="1"/>
    <col min="9822" max="9822" width="10.7109375" style="9"/>
    <col min="9823" max="9823" width="10.7109375" style="9" customWidth="1"/>
    <col min="9824" max="9827" width="10.7109375" style="9"/>
    <col min="9828" max="9829" width="10.7109375" style="9" customWidth="1"/>
    <col min="9830" max="9830" width="10.7109375" style="9"/>
    <col min="9831" max="9833" width="10.7109375" style="9" customWidth="1"/>
    <col min="9834" max="9834" width="10.7109375" style="9"/>
    <col min="9835" max="9835" width="10.7109375" style="9" customWidth="1"/>
    <col min="9836" max="9837" width="10.7109375" style="9"/>
    <col min="9838" max="9839" width="10.7109375" style="9" customWidth="1"/>
    <col min="9840" max="9840" width="10.7109375" style="9"/>
    <col min="9841" max="9852" width="10.7109375" style="9" customWidth="1"/>
    <col min="9853" max="9853" width="10.7109375" style="9"/>
    <col min="9854" max="9854" width="10.7109375" style="9" customWidth="1"/>
    <col min="9855" max="9856" width="10.7109375" style="9"/>
    <col min="9857" max="9858" width="10.7109375" style="9" customWidth="1"/>
    <col min="9859" max="9861" width="10.7109375" style="9"/>
    <col min="9862" max="9866" width="10.7109375" style="9" customWidth="1"/>
    <col min="9867" max="9867" width="10.7109375" style="9"/>
    <col min="9868" max="9875" width="10.7109375" style="9" customWidth="1"/>
    <col min="9876" max="9879" width="10.7109375" style="9"/>
    <col min="9880" max="9906" width="10.7109375" style="9" customWidth="1"/>
    <col min="9907" max="9908" width="10.7109375" style="9"/>
    <col min="9909" max="9909" width="10.7109375" style="9" customWidth="1"/>
    <col min="9910" max="9912" width="10.7109375" style="9"/>
    <col min="9913" max="9914" width="10.7109375" style="9" customWidth="1"/>
    <col min="9915" max="9915" width="10.7109375" style="9"/>
    <col min="9916" max="9916" width="10.7109375" style="9" customWidth="1"/>
    <col min="9917" max="9918" width="10.7109375" style="9"/>
    <col min="9919" max="9919" width="10.7109375" style="9" customWidth="1"/>
    <col min="9920" max="9934" width="10.7109375" style="9"/>
    <col min="9935" max="9935" width="10.7109375" style="9" customWidth="1"/>
    <col min="9936" max="9936" width="10.7109375" style="9"/>
    <col min="9937" max="9943" width="10.7109375" style="9" customWidth="1"/>
    <col min="9944" max="9944" width="10.7109375" style="9"/>
    <col min="9945" max="9968" width="10.7109375" style="9" customWidth="1"/>
    <col min="9969" max="9970" width="10.7109375" style="9"/>
    <col min="9971" max="9972" width="10.7109375" style="9" customWidth="1"/>
    <col min="9973" max="9973" width="10.7109375" style="9"/>
    <col min="9974" max="9975" width="10.7109375" style="9" customWidth="1"/>
    <col min="9976" max="9976" width="10.7109375" style="9"/>
    <col min="9977" max="9977" width="10.7109375" style="9" customWidth="1"/>
    <col min="9978" max="9978" width="10.7109375" style="9"/>
    <col min="9979" max="9979" width="10.7109375" style="9" customWidth="1"/>
    <col min="9980" max="9983" width="10.7109375" style="9"/>
    <col min="9984" max="9984" width="10.7109375" style="9" customWidth="1"/>
    <col min="9985" max="9985" width="10.7109375" style="9"/>
    <col min="9986" max="9990" width="10.7109375" style="9" customWidth="1"/>
    <col min="9991" max="9994" width="10.7109375" style="9"/>
    <col min="9995" max="9995" width="10.7109375" style="9" customWidth="1"/>
    <col min="9996" max="9997" width="10.7109375" style="9"/>
    <col min="9998" max="9999" width="10.7109375" style="9" customWidth="1"/>
    <col min="10000" max="10000" width="10.7109375" style="9"/>
    <col min="10001" max="10007" width="10.7109375" style="9" customWidth="1"/>
    <col min="10008" max="10008" width="10.7109375" style="9"/>
    <col min="10009" max="10035" width="10.7109375" style="9" customWidth="1"/>
    <col min="10036" max="10036" width="10.7109375" style="9"/>
    <col min="10037" max="10038" width="10.7109375" style="9" customWidth="1"/>
    <col min="10039" max="10040" width="10.7109375" style="9"/>
    <col min="10041" max="10042" width="10.7109375" style="9" customWidth="1"/>
    <col min="10043" max="10044" width="10.7109375" style="9"/>
    <col min="10045" max="10045" width="10.7109375" style="9" customWidth="1"/>
    <col min="10046" max="10046" width="10.7109375" style="9"/>
    <col min="10047" max="10047" width="10.7109375" style="9" customWidth="1"/>
    <col min="10048" max="10062" width="10.7109375" style="9"/>
    <col min="10063" max="10063" width="10.7109375" style="9" customWidth="1"/>
    <col min="10064" max="10065" width="10.7109375" style="9"/>
    <col min="10066" max="10066" width="10.7109375" style="9" customWidth="1"/>
    <col min="10067" max="10067" width="10.7109375" style="9"/>
    <col min="10068" max="10068" width="10.7109375" style="9" customWidth="1"/>
    <col min="10069" max="10069" width="10.7109375" style="9"/>
    <col min="10070" max="10071" width="10.7109375" style="9" customWidth="1"/>
    <col min="10072" max="10079" width="10.7109375" style="9"/>
    <col min="10080" max="10080" width="10.7109375" style="9" customWidth="1"/>
    <col min="10081" max="10081" width="10.7109375" style="9"/>
    <col min="10082" max="10086" width="10.7109375" style="9" customWidth="1"/>
    <col min="10087" max="10090" width="10.7109375" style="9"/>
    <col min="10091" max="10091" width="10.7109375" style="9" customWidth="1"/>
    <col min="10092" max="10093" width="10.7109375" style="9"/>
    <col min="10094" max="10095" width="10.7109375" style="9" customWidth="1"/>
    <col min="10096" max="10096" width="10.7109375" style="9"/>
    <col min="10097" max="10102" width="10.7109375" style="9" customWidth="1"/>
    <col min="10103" max="10104" width="10.7109375" style="9"/>
    <col min="10105" max="10106" width="10.7109375" style="9" customWidth="1"/>
    <col min="10107" max="10109" width="10.7109375" style="9"/>
    <col min="10110" max="10110" width="10.7109375" style="9" customWidth="1"/>
    <col min="10111" max="10111" width="10.7109375" style="9"/>
    <col min="10112" max="10113" width="10.7109375" style="9" customWidth="1"/>
    <col min="10114" max="10115" width="10.7109375" style="9"/>
    <col min="10116" max="10116" width="10.7109375" style="9" customWidth="1"/>
    <col min="10117" max="10117" width="10.7109375" style="9"/>
    <col min="10118" max="10120" width="10.7109375" style="9" customWidth="1"/>
    <col min="10121" max="10121" width="10.7109375" style="9"/>
    <col min="10122" max="10125" width="10.7109375" style="9" customWidth="1"/>
    <col min="10126" max="10126" width="10.7109375" style="9"/>
    <col min="10127" max="10127" width="10.7109375" style="9" customWidth="1"/>
    <col min="10128" max="10128" width="10.7109375" style="9"/>
    <col min="10129" max="10135" width="10.7109375" style="9" customWidth="1"/>
    <col min="10136" max="10136" width="10.7109375" style="9"/>
    <col min="10137" max="10193" width="10.7109375" style="9" customWidth="1"/>
    <col min="10194" max="10198" width="10.7109375" style="9"/>
    <col min="10199" max="10199" width="10.7109375" style="9" customWidth="1"/>
    <col min="10200" max="10201" width="10.7109375" style="9"/>
    <col min="10202" max="10202" width="10.7109375" style="9" customWidth="1"/>
    <col min="10203" max="10205" width="10.7109375" style="9"/>
    <col min="10206" max="10207" width="10.7109375" style="9" customWidth="1"/>
    <col min="10208" max="10208" width="10.7109375" style="9"/>
    <col min="10209" max="10209" width="10.7109375" style="9" customWidth="1"/>
    <col min="10210" max="10210" width="10.7109375" style="9"/>
    <col min="10211" max="10211" width="10.7109375" style="9" customWidth="1"/>
    <col min="10212" max="10216" width="10.7109375" style="9"/>
    <col min="10217" max="10220" width="10.7109375" style="9" customWidth="1"/>
    <col min="10221" max="10221" width="10.7109375" style="9"/>
    <col min="10222" max="10223" width="10.7109375" style="9" customWidth="1"/>
    <col min="10224" max="10224" width="10.7109375" style="9"/>
    <col min="10225" max="10225" width="10.7109375" style="9" customWidth="1"/>
    <col min="10226" max="10229" width="10.7109375" style="9"/>
    <col min="10230" max="10231" width="10.7109375" style="9" customWidth="1"/>
    <col min="10232" max="10233" width="10.7109375" style="9"/>
    <col min="10234" max="10234" width="10.7109375" style="9" customWidth="1"/>
    <col min="10235" max="10237" width="10.7109375" style="9"/>
    <col min="10238" max="10239" width="10.7109375" style="9" customWidth="1"/>
    <col min="10240" max="10240" width="10.7109375" style="9"/>
    <col min="10241" max="10241" width="10.7109375" style="9" customWidth="1"/>
    <col min="10242" max="10242" width="10.7109375" style="9"/>
    <col min="10243" max="10243" width="10.7109375" style="9" customWidth="1"/>
    <col min="10244" max="10248" width="10.7109375" style="9"/>
    <col min="10249" max="10252" width="10.7109375" style="9" customWidth="1"/>
    <col min="10253" max="10253" width="10.7109375" style="9"/>
    <col min="10254" max="10255" width="10.7109375" style="9" customWidth="1"/>
    <col min="10256" max="10288" width="10.7109375" style="9"/>
    <col min="10289" max="10289" width="10.7109375" style="9" customWidth="1"/>
    <col min="10290" max="10292" width="10.7109375" style="9"/>
    <col min="10293" max="10294" width="10.7109375" style="9" customWidth="1"/>
    <col min="10295" max="10297" width="10.7109375" style="9"/>
    <col min="10298" max="10298" width="10.7109375" style="9" customWidth="1"/>
    <col min="10299" max="10301" width="10.7109375" style="9"/>
    <col min="10302" max="10303" width="10.7109375" style="9" customWidth="1"/>
    <col min="10304" max="10304" width="10.7109375" style="9"/>
    <col min="10305" max="10305" width="10.7109375" style="9" customWidth="1"/>
    <col min="10306" max="10306" width="10.7109375" style="9"/>
    <col min="10307" max="10307" width="10.7109375" style="9" customWidth="1"/>
    <col min="10308" max="10312" width="10.7109375" style="9"/>
    <col min="10313" max="10316" width="10.7109375" style="9" customWidth="1"/>
    <col min="10317" max="10317" width="10.7109375" style="9"/>
    <col min="10318" max="10319" width="10.7109375" style="9" customWidth="1"/>
    <col min="10320" max="10321" width="10.7109375" style="9"/>
    <col min="10322" max="10322" width="10.7109375" style="9" customWidth="1"/>
    <col min="10323" max="10352" width="10.7109375" style="9"/>
    <col min="10353" max="10384" width="10.7109375" style="9" customWidth="1"/>
    <col min="10385" max="10387" width="10.7109375" style="9"/>
    <col min="10388" max="10388" width="10.7109375" style="9" customWidth="1"/>
    <col min="10389" max="10392" width="10.7109375" style="9"/>
    <col min="10393" max="10394" width="10.7109375" style="9" customWidth="1"/>
    <col min="10395" max="10396" width="10.7109375" style="9"/>
    <col min="10397" max="10397" width="10.7109375" style="9" customWidth="1"/>
    <col min="10398" max="10401" width="10.7109375" style="9"/>
    <col min="10402" max="10402" width="10.7109375" style="9" customWidth="1"/>
    <col min="10403" max="10403" width="10.7109375" style="9"/>
    <col min="10404" max="10404" width="10.7109375" style="9" customWidth="1"/>
    <col min="10405" max="10408" width="10.7109375" style="9"/>
    <col min="10409" max="10412" width="10.7109375" style="9" customWidth="1"/>
    <col min="10413" max="10413" width="10.7109375" style="9"/>
    <col min="10414" max="10415" width="10.7109375" style="9" customWidth="1"/>
    <col min="10416" max="10416" width="10.7109375" style="9"/>
    <col min="10417" max="10417" width="10.7109375" style="9" customWidth="1"/>
    <col min="10418" max="10420" width="10.7109375" style="9"/>
    <col min="10421" max="10421" width="10.7109375" style="9" customWidth="1"/>
    <col min="10422" max="10424" width="10.7109375" style="9"/>
    <col min="10425" max="10426" width="10.7109375" style="9" customWidth="1"/>
    <col min="10427" max="10427" width="10.7109375" style="9"/>
    <col min="10428" max="10428" width="10.7109375" style="9" customWidth="1"/>
    <col min="10429" max="10430" width="10.7109375" style="9"/>
    <col min="10431" max="10431" width="10.7109375" style="9" customWidth="1"/>
    <col min="10432" max="10446" width="10.7109375" style="9"/>
    <col min="10447" max="10447" width="10.7109375" style="9" customWidth="1"/>
    <col min="10448" max="10448" width="10.7109375" style="9"/>
    <col min="10449" max="10512" width="10.7109375" style="9" customWidth="1"/>
    <col min="10513" max="10544" width="10.7109375" style="9"/>
    <col min="10545" max="10548" width="10.7109375" style="9" customWidth="1"/>
    <col min="10549" max="10549" width="10.7109375" style="9"/>
    <col min="10550" max="10550" width="10.7109375" style="9" customWidth="1"/>
    <col min="10551" max="10552" width="10.7109375" style="9"/>
    <col min="10553" max="10553" width="10.7109375" style="9" customWidth="1"/>
    <col min="10554" max="10554" width="10.7109375" style="9"/>
    <col min="10555" max="10557" width="10.7109375" style="9" customWidth="1"/>
    <col min="10558" max="10560" width="10.7109375" style="9"/>
    <col min="10561" max="10561" width="10.7109375" style="9" customWidth="1"/>
    <col min="10562" max="10566" width="10.7109375" style="9"/>
    <col min="10567" max="10568" width="10.7109375" style="9" customWidth="1"/>
    <col min="10569" max="10569" width="10.7109375" style="9"/>
    <col min="10570" max="10572" width="10.7109375" style="9" customWidth="1"/>
    <col min="10573" max="10573" width="10.7109375" style="9"/>
    <col min="10574" max="10576" width="10.7109375" style="9" customWidth="1"/>
    <col min="10577" max="10577" width="10.7109375" style="9"/>
    <col min="10578" max="10578" width="10.7109375" style="9" customWidth="1"/>
    <col min="10579" max="10600" width="10.7109375" style="9"/>
    <col min="10601" max="10610" width="10.7109375" style="9" customWidth="1"/>
    <col min="10611" max="10612" width="10.7109375" style="9"/>
    <col min="10613" max="10613" width="10.7109375" style="9" customWidth="1"/>
    <col min="10614" max="10616" width="10.7109375" style="9"/>
    <col min="10617" max="10618" width="10.7109375" style="9" customWidth="1"/>
    <col min="10619" max="10619" width="10.7109375" style="9"/>
    <col min="10620" max="10620" width="10.7109375" style="9" customWidth="1"/>
    <col min="10621" max="10622" width="10.7109375" style="9"/>
    <col min="10623" max="10623" width="10.7109375" style="9" customWidth="1"/>
    <col min="10624" max="10638" width="10.7109375" style="9"/>
    <col min="10639" max="10639" width="10.7109375" style="9" customWidth="1"/>
    <col min="10640" max="10640" width="10.7109375" style="9"/>
    <col min="10641" max="10643" width="10.7109375" style="9" customWidth="1"/>
    <col min="10644" max="10644" width="10.7109375" style="9"/>
    <col min="10645" max="10645" width="10.7109375" style="9" customWidth="1"/>
    <col min="10646" max="10646" width="10.7109375" style="9"/>
    <col min="10647" max="10648" width="10.7109375" style="9" customWidth="1"/>
    <col min="10649" max="10650" width="10.7109375" style="9"/>
    <col min="10651" max="10651" width="10.7109375" style="9" customWidth="1"/>
    <col min="10652" max="10653" width="10.7109375" style="9"/>
    <col min="10654" max="10654" width="10.7109375" style="9" customWidth="1"/>
    <col min="10655" max="10656" width="10.7109375" style="9"/>
    <col min="10657" max="10657" width="10.7109375" style="9" customWidth="1"/>
    <col min="10658" max="10662" width="10.7109375" style="9"/>
    <col min="10663" max="10664" width="10.7109375" style="9" customWidth="1"/>
    <col min="10665" max="10665" width="10.7109375" style="9"/>
    <col min="10666" max="10668" width="10.7109375" style="9" customWidth="1"/>
    <col min="10669" max="10669" width="10.7109375" style="9"/>
    <col min="10670" max="10673" width="10.7109375" style="9" customWidth="1"/>
    <col min="10674" max="10676" width="10.7109375" style="9"/>
    <col min="10677" max="10680" width="10.7109375" style="9" customWidth="1"/>
    <col min="10681" max="10681" width="10.7109375" style="9"/>
    <col min="10682" max="10682" width="10.7109375" style="9" customWidth="1"/>
    <col min="10683" max="10683" width="10.7109375" style="9"/>
    <col min="10684" max="10684" width="10.7109375" style="9" customWidth="1"/>
    <col min="10685" max="10686" width="10.7109375" style="9"/>
    <col min="10687" max="10687" width="10.7109375" style="9" customWidth="1"/>
    <col min="10688" max="10702" width="10.7109375" style="9"/>
    <col min="10703" max="10703" width="10.7109375" style="9" customWidth="1"/>
    <col min="10704" max="10704" width="10.7109375" style="9"/>
    <col min="10705" max="10707" width="10.7109375" style="9" customWidth="1"/>
    <col min="10708" max="10708" width="10.7109375" style="9"/>
    <col min="10709" max="10711" width="10.7109375" style="9" customWidth="1"/>
    <col min="10712" max="10712" width="10.7109375" style="9"/>
    <col min="10713" max="10713" width="10.7109375" style="9" customWidth="1"/>
    <col min="10714" max="10714" width="10.7109375" style="9"/>
    <col min="10715" max="10717" width="10.7109375" style="9" customWidth="1"/>
    <col min="10718" max="10718" width="10.7109375" style="9"/>
    <col min="10719" max="10719" width="10.7109375" style="9" customWidth="1"/>
    <col min="10720" max="10720" width="10.7109375" style="9"/>
    <col min="10721" max="10721" width="10.7109375" style="9" customWidth="1"/>
    <col min="10722" max="10723" width="10.7109375" style="9"/>
    <col min="10724" max="10724" width="10.7109375" style="9" customWidth="1"/>
    <col min="10725" max="10725" width="10.7109375" style="9"/>
    <col min="10726" max="10728" width="10.7109375" style="9" customWidth="1"/>
    <col min="10729" max="10729" width="10.7109375" style="9"/>
    <col min="10730" max="10733" width="10.7109375" style="9" customWidth="1"/>
    <col min="10734" max="10734" width="10.7109375" style="9"/>
    <col min="10735" max="10735" width="10.7109375" style="9" customWidth="1"/>
    <col min="10736" max="10737" width="10.7109375" style="9"/>
    <col min="10738" max="10745" width="10.7109375" style="9" customWidth="1"/>
    <col min="10746" max="10746" width="10.7109375" style="9"/>
    <col min="10747" max="10747" width="10.7109375" style="9" customWidth="1"/>
    <col min="10748" max="10751" width="10.7109375" style="9"/>
    <col min="10752" max="10752" width="10.7109375" style="9" customWidth="1"/>
    <col min="10753" max="10753" width="10.7109375" style="9"/>
    <col min="10754" max="10758" width="10.7109375" style="9" customWidth="1"/>
    <col min="10759" max="10762" width="10.7109375" style="9"/>
    <col min="10763" max="10763" width="10.7109375" style="9" customWidth="1"/>
    <col min="10764" max="10765" width="10.7109375" style="9"/>
    <col min="10766" max="10767" width="10.7109375" style="9" customWidth="1"/>
    <col min="10768" max="10770" width="10.7109375" style="9"/>
    <col min="10771" max="10800" width="10.7109375" style="9" customWidth="1"/>
    <col min="10801" max="10801" width="10.7109375" style="9"/>
    <col min="10802" max="10832" width="10.7109375" style="9" customWidth="1"/>
    <col min="10833" max="10833" width="10.7109375" style="9"/>
    <col min="10834" max="10834" width="10.7109375" style="9" customWidth="1"/>
    <col min="10835" max="10835" width="10.7109375" style="9"/>
    <col min="10836" max="10864" width="10.7109375" style="9" customWidth="1"/>
    <col min="10865" max="10865" width="10.7109375" style="9"/>
    <col min="10866" max="10866" width="10.7109375" style="9" customWidth="1"/>
    <col min="10867" max="10867" width="10.7109375" style="9"/>
    <col min="10868" max="10899" width="10.7109375" style="9" customWidth="1"/>
    <col min="10900" max="10902" width="10.7109375" style="9"/>
    <col min="10903" max="10908" width="10.7109375" style="9" customWidth="1"/>
    <col min="10909" max="10909" width="10.7109375" style="9"/>
    <col min="10910" max="10910" width="10.7109375" style="9" customWidth="1"/>
    <col min="10911" max="10913" width="10.7109375" style="9"/>
    <col min="10914" max="10914" width="10.7109375" style="9" customWidth="1"/>
    <col min="10915" max="10915" width="10.7109375" style="9"/>
    <col min="10916" max="10916" width="10.7109375" style="9" customWidth="1"/>
    <col min="10917" max="10917" width="10.7109375" style="9"/>
    <col min="10918" max="10918" width="10.7109375" style="9" customWidth="1"/>
    <col min="10919" max="10919" width="10.7109375" style="9"/>
    <col min="10920" max="10925" width="10.7109375" style="9" customWidth="1"/>
    <col min="10926" max="10926" width="10.7109375" style="9"/>
    <col min="10927" max="10927" width="10.7109375" style="9" customWidth="1"/>
    <col min="10928" max="10928" width="10.7109375" style="9"/>
    <col min="10929" max="10960" width="10.7109375" style="9" customWidth="1"/>
    <col min="10961" max="10962" width="10.7109375" style="9"/>
    <col min="10963" max="10999" width="10.7109375" style="9" customWidth="1"/>
    <col min="11000" max="11000" width="10.7109375" style="9"/>
    <col min="11001" max="11061" width="10.7109375" style="9" customWidth="1"/>
    <col min="11062" max="11062" width="10.7109375" style="9"/>
    <col min="11063" max="11064" width="10.7109375" style="9" customWidth="1"/>
    <col min="11065" max="11065" width="10.7109375" style="9"/>
    <col min="11066" max="11066" width="10.7109375" style="9" customWidth="1"/>
    <col min="11067" max="11068" width="10.7109375" style="9"/>
    <col min="11069" max="11069" width="10.7109375" style="9" customWidth="1"/>
    <col min="11070" max="11070" width="10.7109375" style="9"/>
    <col min="11071" max="11071" width="10.7109375" style="9" customWidth="1"/>
    <col min="11072" max="11086" width="10.7109375" style="9"/>
    <col min="11087" max="11087" width="10.7109375" style="9" customWidth="1"/>
    <col min="11088" max="11088" width="10.7109375" style="9"/>
    <col min="11089" max="11152" width="10.7109375" style="9" customWidth="1"/>
    <col min="11153" max="11154" width="10.7109375" style="9"/>
    <col min="11155" max="11156" width="10.7109375" style="9" customWidth="1"/>
    <col min="11157" max="11157" width="10.7109375" style="9"/>
    <col min="11158" max="11159" width="10.7109375" style="9" customWidth="1"/>
    <col min="11160" max="11160" width="10.7109375" style="9"/>
    <col min="11161" max="11161" width="10.7109375" style="9" customWidth="1"/>
    <col min="11162" max="11162" width="10.7109375" style="9"/>
    <col min="11163" max="11163" width="10.7109375" style="9" customWidth="1"/>
    <col min="11164" max="11167" width="10.7109375" style="9"/>
    <col min="11168" max="11168" width="10.7109375" style="9" customWidth="1"/>
    <col min="11169" max="11169" width="10.7109375" style="9"/>
    <col min="11170" max="11174" width="10.7109375" style="9" customWidth="1"/>
    <col min="11175" max="11178" width="10.7109375" style="9"/>
    <col min="11179" max="11179" width="10.7109375" style="9" customWidth="1"/>
    <col min="11180" max="11181" width="10.7109375" style="9"/>
    <col min="11182" max="11183" width="10.7109375" style="9" customWidth="1"/>
    <col min="11184" max="11184" width="10.7109375" style="9"/>
    <col min="11185" max="11221" width="10.7109375" style="9" customWidth="1"/>
    <col min="11222" max="11222" width="10.7109375" style="9"/>
    <col min="11223" max="11224" width="10.7109375" style="9" customWidth="1"/>
    <col min="11225" max="11226" width="10.7109375" style="9"/>
    <col min="11227" max="11227" width="10.7109375" style="9" customWidth="1"/>
    <col min="11228" max="11229" width="10.7109375" style="9"/>
    <col min="11230" max="11230" width="10.7109375" style="9" customWidth="1"/>
    <col min="11231" max="11232" width="10.7109375" style="9"/>
    <col min="11233" max="11233" width="10.7109375" style="9" customWidth="1"/>
    <col min="11234" max="11238" width="10.7109375" style="9"/>
    <col min="11239" max="11240" width="10.7109375" style="9" customWidth="1"/>
    <col min="11241" max="11241" width="10.7109375" style="9"/>
    <col min="11242" max="11244" width="10.7109375" style="9" customWidth="1"/>
    <col min="11245" max="11245" width="10.7109375" style="9"/>
    <col min="11246" max="11255" width="10.7109375" style="9" customWidth="1"/>
    <col min="11256" max="11256" width="10.7109375" style="9"/>
    <col min="11257" max="11318" width="10.7109375" style="9" customWidth="1"/>
    <col min="11319" max="11319" width="10.7109375" style="9"/>
    <col min="11320" max="11320" width="10.7109375" style="9" customWidth="1"/>
    <col min="11321" max="11321" width="10.7109375" style="9"/>
    <col min="11322" max="11322" width="10.7109375" style="9" customWidth="1"/>
    <col min="11323" max="11324" width="10.7109375" style="9"/>
    <col min="11325" max="11325" width="10.7109375" style="9" customWidth="1"/>
    <col min="11326" max="11326" width="10.7109375" style="9"/>
    <col min="11327" max="11327" width="10.7109375" style="9" customWidth="1"/>
    <col min="11328" max="11342" width="10.7109375" style="9"/>
    <col min="11343" max="11343" width="10.7109375" style="9" customWidth="1"/>
    <col min="11344" max="11344" width="10.7109375" style="9"/>
    <col min="11345" max="11353" width="10.7109375" style="9" customWidth="1"/>
    <col min="11354" max="11356" width="10.7109375" style="9"/>
    <col min="11357" max="11358" width="10.7109375" style="9" customWidth="1"/>
    <col min="11359" max="11359" width="10.7109375" style="9"/>
    <col min="11360" max="11360" width="10.7109375" style="9" customWidth="1"/>
    <col min="11361" max="11362" width="10.7109375" style="9"/>
    <col min="11363" max="11363" width="10.7109375" style="9" customWidth="1"/>
    <col min="11364" max="11364" width="10.7109375" style="9"/>
    <col min="11365" max="11366" width="10.7109375" style="9" customWidth="1"/>
    <col min="11367" max="11367" width="10.7109375" style="9"/>
    <col min="11368" max="11368" width="10.7109375" style="9" customWidth="1"/>
    <col min="11369" max="11372" width="10.7109375" style="9"/>
    <col min="11373" max="11374" width="10.7109375" style="9" customWidth="1"/>
    <col min="11375" max="11375" width="10.7109375" style="9"/>
    <col min="11376" max="11408" width="10.7109375" style="9" customWidth="1"/>
    <col min="11409" max="11410" width="10.7109375" style="9"/>
    <col min="11411" max="11412" width="10.7109375" style="9" customWidth="1"/>
    <col min="11413" max="11413" width="10.7109375" style="9"/>
    <col min="11414" max="11415" width="10.7109375" style="9" customWidth="1"/>
    <col min="11416" max="11416" width="10.7109375" style="9"/>
    <col min="11417" max="11417" width="10.7109375" style="9" customWidth="1"/>
    <col min="11418" max="11418" width="10.7109375" style="9"/>
    <col min="11419" max="11419" width="10.7109375" style="9" customWidth="1"/>
    <col min="11420" max="11423" width="10.7109375" style="9"/>
    <col min="11424" max="11424" width="10.7109375" style="9" customWidth="1"/>
    <col min="11425" max="11425" width="10.7109375" style="9"/>
    <col min="11426" max="11430" width="10.7109375" style="9" customWidth="1"/>
    <col min="11431" max="11434" width="10.7109375" style="9"/>
    <col min="11435" max="11435" width="10.7109375" style="9" customWidth="1"/>
    <col min="11436" max="11437" width="10.7109375" style="9"/>
    <col min="11438" max="11439" width="10.7109375" style="9" customWidth="1"/>
    <col min="11440" max="11442" width="10.7109375" style="9"/>
    <col min="11443" max="11443" width="10.7109375" style="9" customWidth="1"/>
    <col min="11444" max="11444" width="10.7109375" style="9"/>
    <col min="11445" max="11445" width="10.7109375" style="9" customWidth="1"/>
    <col min="11446" max="11447" width="10.7109375" style="9"/>
    <col min="11448" max="11448" width="10.7109375" style="9" customWidth="1"/>
    <col min="11449" max="11450" width="10.7109375" style="9"/>
    <col min="11451" max="11451" width="10.7109375" style="9" customWidth="1"/>
    <col min="11452" max="11452" width="10.7109375" style="9"/>
    <col min="11453" max="11453" width="10.7109375" style="9" customWidth="1"/>
    <col min="11454" max="11455" width="10.7109375" style="9"/>
    <col min="11456" max="11456" width="10.7109375" style="9" customWidth="1"/>
    <col min="11457" max="11458" width="10.7109375" style="9"/>
    <col min="11459" max="11459" width="10.7109375" style="9" customWidth="1"/>
    <col min="11460" max="11460" width="10.7109375" style="9"/>
    <col min="11461" max="11461" width="10.7109375" style="9" customWidth="1"/>
    <col min="11462" max="11463" width="10.7109375" style="9"/>
    <col min="11464" max="11477" width="10.7109375" style="9" customWidth="1"/>
    <col min="11478" max="11478" width="10.7109375" style="9"/>
    <col min="11479" max="11480" width="10.7109375" style="9" customWidth="1"/>
    <col min="11481" max="11482" width="10.7109375" style="9"/>
    <col min="11483" max="11483" width="10.7109375" style="9" customWidth="1"/>
    <col min="11484" max="11485" width="10.7109375" style="9"/>
    <col min="11486" max="11486" width="10.7109375" style="9" customWidth="1"/>
    <col min="11487" max="11488" width="10.7109375" style="9"/>
    <col min="11489" max="11489" width="10.7109375" style="9" customWidth="1"/>
    <col min="11490" max="11494" width="10.7109375" style="9"/>
    <col min="11495" max="11499" width="10.7109375" style="9" customWidth="1"/>
    <col min="11500" max="11501" width="10.7109375" style="9"/>
    <col min="11502" max="11502" width="10.7109375" style="9" customWidth="1"/>
    <col min="11503" max="11503" width="10.7109375" style="9"/>
    <col min="11504" max="11504" width="10.7109375" style="9" customWidth="1"/>
    <col min="11505" max="11505" width="10.7109375" style="9"/>
    <col min="11506" max="11506" width="10.7109375" style="9" customWidth="1"/>
    <col min="11507" max="11508" width="10.7109375" style="9"/>
    <col min="11509" max="11509" width="10.7109375" style="9" customWidth="1"/>
    <col min="11510" max="11510" width="10.7109375" style="9"/>
    <col min="11511" max="11512" width="10.7109375" style="9" customWidth="1"/>
    <col min="11513" max="11513" width="10.7109375" style="9"/>
    <col min="11514" max="11514" width="10.7109375" style="9" customWidth="1"/>
    <col min="11515" max="11516" width="10.7109375" style="9"/>
    <col min="11517" max="11517" width="10.7109375" style="9" customWidth="1"/>
    <col min="11518" max="11518" width="10.7109375" style="9"/>
    <col min="11519" max="11520" width="10.7109375" style="9" customWidth="1"/>
    <col min="11521" max="11521" width="10.7109375" style="9"/>
    <col min="11522" max="11522" width="10.7109375" style="9" customWidth="1"/>
    <col min="11523" max="11524" width="10.7109375" style="9"/>
    <col min="11525" max="11525" width="10.7109375" style="9" customWidth="1"/>
    <col min="11526" max="11526" width="10.7109375" style="9"/>
    <col min="11527" max="11528" width="10.7109375" style="9" customWidth="1"/>
    <col min="11529" max="11529" width="10.7109375" style="9"/>
    <col min="11530" max="11530" width="10.7109375" style="9" customWidth="1"/>
    <col min="11531" max="11532" width="10.7109375" style="9"/>
    <col min="11533" max="11533" width="10.7109375" style="9" customWidth="1"/>
    <col min="11534" max="11534" width="10.7109375" style="9"/>
    <col min="11535" max="11536" width="10.7109375" style="9" customWidth="1"/>
    <col min="11537" max="11537" width="10.7109375" style="9"/>
    <col min="11538" max="11538" width="10.7109375" style="9" customWidth="1"/>
    <col min="11539" max="11540" width="10.7109375" style="9"/>
    <col min="11541" max="11541" width="10.7109375" style="9" customWidth="1"/>
    <col min="11542" max="11542" width="10.7109375" style="9"/>
    <col min="11543" max="11554" width="10.7109375" style="9" customWidth="1"/>
    <col min="11555" max="11557" width="10.7109375" style="9"/>
    <col min="11558" max="11562" width="10.7109375" style="9" customWidth="1"/>
    <col min="11563" max="11563" width="10.7109375" style="9"/>
    <col min="11564" max="11568" width="10.7109375" style="9" customWidth="1"/>
    <col min="11569" max="11569" width="10.7109375" style="9"/>
    <col min="11570" max="11570" width="10.7109375" style="9" customWidth="1"/>
    <col min="11571" max="11572" width="10.7109375" style="9"/>
    <col min="11573" max="11574" width="10.7109375" style="9" customWidth="1"/>
    <col min="11575" max="11575" width="10.7109375" style="9"/>
    <col min="11576" max="11576" width="10.7109375" style="9" customWidth="1"/>
    <col min="11577" max="11577" width="10.7109375" style="9"/>
    <col min="11578" max="11581" width="10.7109375" style="9" customWidth="1"/>
    <col min="11582" max="11583" width="10.7109375" style="9"/>
    <col min="11584" max="11584" width="10.7109375" style="9" customWidth="1"/>
    <col min="11585" max="11586" width="10.7109375" style="9"/>
    <col min="11587" max="11589" width="10.7109375" style="9" customWidth="1"/>
    <col min="11590" max="11591" width="10.7109375" style="9"/>
    <col min="11592" max="11592" width="10.7109375" style="9" customWidth="1"/>
    <col min="11593" max="11593" width="10.7109375" style="9"/>
    <col min="11594" max="11595" width="10.7109375" style="9" customWidth="1"/>
    <col min="11596" max="11596" width="10.7109375" style="9"/>
    <col min="11597" max="11597" width="10.7109375" style="9" customWidth="1"/>
    <col min="11598" max="11599" width="10.7109375" style="9"/>
    <col min="11600" max="11601" width="10.7109375" style="9" customWidth="1"/>
    <col min="11602" max="11604" width="10.7109375" style="9"/>
    <col min="11605" max="11605" width="10.7109375" style="9" customWidth="1"/>
    <col min="11606" max="11607" width="10.7109375" style="9"/>
    <col min="11608" max="11610" width="10.7109375" style="9" customWidth="1"/>
    <col min="11611" max="11611" width="10.7109375" style="9"/>
    <col min="11612" max="11612" width="10.7109375" style="9" customWidth="1"/>
    <col min="11613" max="11615" width="10.7109375" style="9"/>
    <col min="11616" max="11616" width="10.7109375" style="9" customWidth="1"/>
    <col min="11617" max="11620" width="10.7109375" style="9"/>
    <col min="11621" max="11621" width="10.7109375" style="9" customWidth="1"/>
    <col min="11622" max="11623" width="10.7109375" style="9"/>
    <col min="11624" max="11624" width="10.7109375" style="9" customWidth="1"/>
    <col min="11625" max="11626" width="10.7109375" style="9"/>
    <col min="11627" max="11628" width="10.7109375" style="9" customWidth="1"/>
    <col min="11629" max="11631" width="10.7109375" style="9"/>
    <col min="11632" max="11635" width="10.7109375" style="9" customWidth="1"/>
    <col min="11636" max="11636" width="10.7109375" style="9"/>
    <col min="11637" max="11637" width="10.7109375" style="9" customWidth="1"/>
    <col min="11638" max="11639" width="10.7109375" style="9"/>
    <col min="11640" max="11645" width="10.7109375" style="9" customWidth="1"/>
    <col min="11646" max="11646" width="10.7109375" style="9"/>
    <col min="11647" max="11651" width="10.7109375" style="9" customWidth="1"/>
    <col min="11652" max="11652" width="10.7109375" style="9"/>
    <col min="11653" max="11654" width="10.7109375" style="9" customWidth="1"/>
    <col min="11655" max="11655" width="10.7109375" style="9"/>
    <col min="11656" max="11658" width="10.7109375" style="9" customWidth="1"/>
    <col min="11659" max="11659" width="10.7109375" style="9"/>
    <col min="11660" max="11662" width="10.7109375" style="9" customWidth="1"/>
    <col min="11663" max="11663" width="10.7109375" style="9"/>
    <col min="11664" max="11665" width="10.7109375" style="9" customWidth="1"/>
    <col min="11666" max="11666" width="10.7109375" style="9"/>
    <col min="11667" max="11667" width="10.7109375" style="9" customWidth="1"/>
    <col min="11668" max="11670" width="10.7109375" style="9"/>
    <col min="11671" max="11672" width="10.7109375" style="9" customWidth="1"/>
    <col min="11673" max="11673" width="10.7109375" style="9"/>
    <col min="11674" max="11674" width="10.7109375" style="9" customWidth="1"/>
    <col min="11675" max="11675" width="10.7109375" style="9"/>
    <col min="11676" max="11676" width="10.7109375" style="9" customWidth="1"/>
    <col min="11677" max="11677" width="10.7109375" style="9"/>
    <col min="11678" max="11678" width="10.7109375" style="9" customWidth="1"/>
    <col min="11679" max="11679" width="10.7109375" style="9"/>
    <col min="11680" max="11680" width="10.7109375" style="9" customWidth="1"/>
    <col min="11681" max="11682" width="10.7109375" style="9"/>
    <col min="11683" max="11684" width="10.7109375" style="9" customWidth="1"/>
    <col min="11685" max="11687" width="10.7109375" style="9"/>
    <col min="11688" max="11688" width="10.7109375" style="9" customWidth="1"/>
    <col min="11689" max="11689" width="10.7109375" style="9"/>
    <col min="11690" max="11690" width="10.7109375" style="9" customWidth="1"/>
    <col min="11691" max="11691" width="10.7109375" style="9"/>
    <col min="11692" max="11693" width="10.7109375" style="9" customWidth="1"/>
    <col min="11694" max="11695" width="10.7109375" style="9"/>
    <col min="11696" max="11697" width="10.7109375" style="9" customWidth="1"/>
    <col min="11698" max="11698" width="10.7109375" style="9"/>
    <col min="11699" max="11700" width="10.7109375" style="9" customWidth="1"/>
    <col min="11701" max="11703" width="10.7109375" style="9"/>
    <col min="11704" max="11704" width="10.7109375" style="9" customWidth="1"/>
    <col min="11705" max="11706" width="10.7109375" style="9"/>
    <col min="11707" max="11708" width="10.7109375" style="9" customWidth="1"/>
    <col min="11709" max="11711" width="10.7109375" style="9"/>
    <col min="11712" max="11713" width="10.7109375" style="9" customWidth="1"/>
    <col min="11714" max="11714" width="10.7109375" style="9"/>
    <col min="11715" max="11715" width="10.7109375" style="9" customWidth="1"/>
    <col min="11716" max="11718" width="10.7109375" style="9"/>
    <col min="11719" max="11729" width="10.7109375" style="9" customWidth="1"/>
    <col min="11730" max="11732" width="10.7109375" style="9"/>
    <col min="11733" max="11733" width="10.7109375" style="9" customWidth="1"/>
    <col min="11734" max="11734" width="10.7109375" style="9"/>
    <col min="11735" max="11741" width="10.7109375" style="9" customWidth="1"/>
    <col min="11742" max="11742" width="10.7109375" style="9"/>
    <col min="11743" max="11743" width="10.7109375" style="9" customWidth="1"/>
    <col min="11744" max="11744" width="10.7109375" style="9"/>
    <col min="11745" max="11750" width="10.7109375" style="9" customWidth="1"/>
    <col min="11751" max="11752" width="10.7109375" style="9"/>
    <col min="11753" max="11755" width="10.7109375" style="9" customWidth="1"/>
    <col min="11756" max="11757" width="10.7109375" style="9"/>
    <col min="11758" max="11758" width="10.7109375" style="9" customWidth="1"/>
    <col min="11759" max="11759" width="10.7109375" style="9"/>
    <col min="11760" max="11760" width="10.7109375" style="9" customWidth="1"/>
    <col min="11761" max="11761" width="10.7109375" style="9"/>
    <col min="11762" max="11763" width="10.7109375" style="9" customWidth="1"/>
    <col min="11764" max="11764" width="10.7109375" style="9"/>
    <col min="11765" max="11765" width="10.7109375" style="9" customWidth="1"/>
    <col min="11766" max="11767" width="10.7109375" style="9"/>
    <col min="11768" max="11768" width="10.7109375" style="9" customWidth="1"/>
    <col min="11769" max="11769" width="10.7109375" style="9"/>
    <col min="11770" max="11773" width="10.7109375" style="9" customWidth="1"/>
    <col min="11774" max="11775" width="10.7109375" style="9"/>
    <col min="11776" max="11776" width="10.7109375" style="9" customWidth="1"/>
    <col min="11777" max="11777" width="10.7109375" style="9"/>
    <col min="11778" max="11778" width="10.7109375" style="9" customWidth="1"/>
    <col min="11779" max="11780" width="10.7109375" style="9"/>
    <col min="11781" max="11781" width="10.7109375" style="9" customWidth="1"/>
    <col min="11782" max="11783" width="10.7109375" style="9"/>
    <col min="11784" max="11786" width="10.7109375" style="9" customWidth="1"/>
    <col min="11787" max="11788" width="10.7109375" style="9"/>
    <col min="11789" max="11789" width="10.7109375" style="9" customWidth="1"/>
    <col min="11790" max="11791" width="10.7109375" style="9"/>
    <col min="11792" max="11792" width="10.7109375" style="9" customWidth="1"/>
    <col min="11793" max="11793" width="10.7109375" style="9"/>
    <col min="11794" max="11794" width="10.7109375" style="9" customWidth="1"/>
    <col min="11795" max="11795" width="10.7109375" style="9"/>
    <col min="11796" max="11797" width="10.7109375" style="9" customWidth="1"/>
    <col min="11798" max="11799" width="10.7109375" style="9"/>
    <col min="11800" max="11801" width="10.7109375" style="9" customWidth="1"/>
    <col min="11802" max="11804" width="10.7109375" style="9"/>
    <col min="11805" max="11805" width="10.7109375" style="9" customWidth="1"/>
    <col min="11806" max="11807" width="10.7109375" style="9"/>
    <col min="11808" max="11808" width="10.7109375" style="9" customWidth="1"/>
    <col min="11809" max="11812" width="10.7109375" style="9"/>
    <col min="11813" max="11813" width="10.7109375" style="9" customWidth="1"/>
    <col min="11814" max="11815" width="10.7109375" style="9"/>
    <col min="11816" max="11819" width="10.7109375" style="9" customWidth="1"/>
    <col min="11820" max="11823" width="10.7109375" style="9"/>
    <col min="11824" max="11825" width="10.7109375" style="9" customWidth="1"/>
    <col min="11826" max="11826" width="10.7109375" style="9"/>
    <col min="11827" max="11827" width="10.7109375" style="9" customWidth="1"/>
    <col min="11828" max="11830" width="10.7109375" style="9"/>
    <col min="11831" max="11842" width="10.7109375" style="9" customWidth="1"/>
    <col min="11843" max="11844" width="10.7109375" style="9"/>
    <col min="11845" max="11846" width="10.7109375" style="9" customWidth="1"/>
    <col min="11847" max="11847" width="10.7109375" style="9"/>
    <col min="11848" max="11848" width="10.7109375" style="9" customWidth="1"/>
    <col min="11849" max="11849" width="10.7109375" style="9"/>
    <col min="11850" max="11851" width="10.7109375" style="9" customWidth="1"/>
    <col min="11852" max="11852" width="10.7109375" style="9"/>
    <col min="11853" max="11853" width="10.7109375" style="9" customWidth="1"/>
    <col min="11854" max="11855" width="10.7109375" style="9"/>
    <col min="11856" max="11857" width="10.7109375" style="9" customWidth="1"/>
    <col min="11858" max="11860" width="10.7109375" style="9"/>
    <col min="11861" max="11862" width="10.7109375" style="9" customWidth="1"/>
    <col min="11863" max="11866" width="10.7109375" style="9"/>
    <col min="11867" max="11867" width="10.7109375" style="9" customWidth="1"/>
    <col min="11868" max="11868" width="10.7109375" style="9"/>
    <col min="11869" max="11870" width="10.7109375" style="9" customWidth="1"/>
    <col min="11871" max="11873" width="10.7109375" style="9"/>
    <col min="11874" max="11878" width="10.7109375" style="9" customWidth="1"/>
    <col min="11879" max="11882" width="10.7109375" style="9"/>
    <col min="11883" max="11883" width="10.7109375" style="9" customWidth="1"/>
    <col min="11884" max="11885" width="10.7109375" style="9"/>
    <col min="11886" max="11887" width="10.7109375" style="9" customWidth="1"/>
    <col min="11888" max="11889" width="10.7109375" style="9"/>
    <col min="11890" max="11891" width="10.7109375" style="9" customWidth="1"/>
    <col min="11892" max="11895" width="10.7109375" style="9"/>
    <col min="11896" max="11897" width="10.7109375" style="9" customWidth="1"/>
    <col min="11898" max="11898" width="10.7109375" style="9"/>
    <col min="11899" max="11899" width="10.7109375" style="9" customWidth="1"/>
    <col min="11900" max="11902" width="10.7109375" style="9"/>
    <col min="11903" max="11912" width="10.7109375" style="9" customWidth="1"/>
    <col min="11913" max="11914" width="10.7109375" style="9"/>
    <col min="11915" max="11918" width="10.7109375" style="9" customWidth="1"/>
    <col min="11919" max="11919" width="10.7109375" style="9"/>
    <col min="11920" max="11920" width="10.7109375" style="9" customWidth="1"/>
    <col min="11921" max="11921" width="10.7109375" style="9"/>
    <col min="11922" max="11925" width="10.7109375" style="9" customWidth="1"/>
    <col min="11926" max="11927" width="10.7109375" style="9"/>
    <col min="11928" max="11928" width="10.7109375" style="9" customWidth="1"/>
    <col min="11929" max="11930" width="10.7109375" style="9"/>
    <col min="11931" max="11933" width="10.7109375" style="9" customWidth="1"/>
    <col min="11934" max="11935" width="10.7109375" style="9"/>
    <col min="11936" max="11939" width="10.7109375" style="9" customWidth="1"/>
    <col min="11940" max="11940" width="10.7109375" style="9"/>
    <col min="11941" max="11941" width="10.7109375" style="9" customWidth="1"/>
    <col min="11942" max="11943" width="10.7109375" style="9"/>
    <col min="11944" max="11944" width="10.7109375" style="9" customWidth="1"/>
    <col min="11945" max="11945" width="10.7109375" style="9"/>
    <col min="11946" max="11946" width="10.7109375" style="9" customWidth="1"/>
    <col min="11947" max="11947" width="10.7109375" style="9"/>
    <col min="11948" max="11949" width="10.7109375" style="9" customWidth="1"/>
    <col min="11950" max="11951" width="10.7109375" style="9"/>
    <col min="11952" max="11952" width="10.7109375" style="9" customWidth="1"/>
    <col min="11953" max="11954" width="10.7109375" style="9"/>
    <col min="11955" max="11956" width="10.7109375" style="9" customWidth="1"/>
    <col min="11957" max="11959" width="10.7109375" style="9"/>
    <col min="11960" max="11961" width="10.7109375" style="9" customWidth="1"/>
    <col min="11962" max="11962" width="10.7109375" style="9"/>
    <col min="11963" max="11963" width="10.7109375" style="9" customWidth="1"/>
    <col min="11964" max="11966" width="10.7109375" style="9"/>
    <col min="11967" max="11978" width="10.7109375" style="9" customWidth="1"/>
    <col min="11979" max="11979" width="10.7109375" style="9"/>
    <col min="11980" max="11980" width="10.7109375" style="9" customWidth="1"/>
    <col min="11981" max="11981" width="10.7109375" style="9"/>
    <col min="11982" max="11982" width="10.7109375" style="9" customWidth="1"/>
    <col min="11983" max="11983" width="10.7109375" style="9"/>
    <col min="11984" max="11985" width="10.7109375" style="9" customWidth="1"/>
    <col min="11986" max="11986" width="10.7109375" style="9"/>
    <col min="11987" max="11987" width="10.7109375" style="9" customWidth="1"/>
    <col min="11988" max="11988" width="10.7109375" style="9"/>
    <col min="11989" max="11990" width="10.7109375" style="9" customWidth="1"/>
    <col min="11991" max="11991" width="10.7109375" style="9"/>
    <col min="11992" max="12017" width="10.7109375" style="9" customWidth="1"/>
    <col min="12018" max="12018" width="10.7109375" style="9"/>
    <col min="12019" max="12020" width="10.7109375" style="9" customWidth="1"/>
    <col min="12021" max="12023" width="10.7109375" style="9"/>
    <col min="12024" max="12024" width="10.7109375" style="9" customWidth="1"/>
    <col min="12025" max="12028" width="10.7109375" style="9"/>
    <col min="12029" max="12029" width="10.7109375" style="9" customWidth="1"/>
    <col min="12030" max="12030" width="10.7109375" style="9"/>
    <col min="12031" max="12031" width="10.7109375" style="9" customWidth="1"/>
    <col min="12032" max="12046" width="10.7109375" style="9"/>
    <col min="12047" max="12047" width="10.7109375" style="9" customWidth="1"/>
    <col min="12048" max="12048" width="10.7109375" style="9"/>
    <col min="12049" max="12049" width="10.7109375" style="9" customWidth="1"/>
    <col min="12050" max="12050" width="10.7109375" style="9"/>
    <col min="12051" max="12051" width="10.7109375" style="9" customWidth="1"/>
    <col min="12052" max="12052" width="10.7109375" style="9"/>
    <col min="12053" max="12054" width="10.7109375" style="9" customWidth="1"/>
    <col min="12055" max="12055" width="10.7109375" style="9"/>
    <col min="12056" max="12113" width="10.7109375" style="9" customWidth="1"/>
    <col min="12114" max="12114" width="10.7109375" style="9"/>
    <col min="12115" max="12115" width="10.7109375" style="9" customWidth="1"/>
    <col min="12116" max="12116" width="10.7109375" style="9"/>
    <col min="12117" max="12118" width="10.7109375" style="9" customWidth="1"/>
    <col min="12119" max="12119" width="10.7109375" style="9"/>
    <col min="12120" max="12120" width="10.7109375" style="9" customWidth="1"/>
    <col min="12121" max="12122" width="10.7109375" style="9"/>
    <col min="12123" max="12124" width="10.7109375" style="9" customWidth="1"/>
    <col min="12125" max="12125" width="10.7109375" style="9"/>
    <col min="12126" max="12126" width="10.7109375" style="9" customWidth="1"/>
    <col min="12127" max="12129" width="10.7109375" style="9"/>
    <col min="12130" max="12134" width="10.7109375" style="9" customWidth="1"/>
    <col min="12135" max="12138" width="10.7109375" style="9"/>
    <col min="12139" max="12139" width="10.7109375" style="9" customWidth="1"/>
    <col min="12140" max="12141" width="10.7109375" style="9"/>
    <col min="12142" max="12143" width="10.7109375" style="9" customWidth="1"/>
    <col min="12144" max="12147" width="10.7109375" style="9"/>
    <col min="12148" max="12209" width="10.7109375" style="9" customWidth="1"/>
    <col min="12210" max="12211" width="10.7109375" style="9"/>
    <col min="12212" max="12212" width="10.7109375" style="9" customWidth="1"/>
    <col min="12213" max="12216" width="10.7109375" style="9"/>
    <col min="12217" max="12217" width="10.7109375" style="9" customWidth="1"/>
    <col min="12218" max="12218" width="10.7109375" style="9"/>
    <col min="12219" max="12220" width="10.7109375" style="9" customWidth="1"/>
    <col min="12221" max="12221" width="10.7109375" style="9"/>
    <col min="12222" max="12223" width="10.7109375" style="9" customWidth="1"/>
    <col min="12224" max="12224" width="10.7109375" style="9"/>
    <col min="12225" max="12225" width="10.7109375" style="9" customWidth="1"/>
    <col min="12226" max="12228" width="10.7109375" style="9"/>
    <col min="12229" max="12229" width="10.7109375" style="9" customWidth="1"/>
    <col min="12230" max="12230" width="10.7109375" style="9"/>
    <col min="12231" max="12231" width="10.7109375" style="9" customWidth="1"/>
    <col min="12232" max="12232" width="10.7109375" style="9"/>
    <col min="12233" max="12234" width="10.7109375" style="9" customWidth="1"/>
    <col min="12235" max="12235" width="10.7109375" style="9"/>
    <col min="12236" max="12237" width="10.7109375" style="9" customWidth="1"/>
    <col min="12238" max="12240" width="10.7109375" style="9"/>
    <col min="12241" max="12245" width="10.7109375" style="9" customWidth="1"/>
    <col min="12246" max="12246" width="10.7109375" style="9"/>
    <col min="12247" max="12248" width="10.7109375" style="9" customWidth="1"/>
    <col min="12249" max="12250" width="10.7109375" style="9"/>
    <col min="12251" max="12251" width="10.7109375" style="9" customWidth="1"/>
    <col min="12252" max="12253" width="10.7109375" style="9"/>
    <col min="12254" max="12254" width="10.7109375" style="9" customWidth="1"/>
    <col min="12255" max="12256" width="10.7109375" style="9"/>
    <col min="12257" max="12257" width="10.7109375" style="9" customWidth="1"/>
    <col min="12258" max="12262" width="10.7109375" style="9"/>
    <col min="12263" max="12264" width="10.7109375" style="9" customWidth="1"/>
    <col min="12265" max="12265" width="10.7109375" style="9"/>
    <col min="12266" max="12268" width="10.7109375" style="9" customWidth="1"/>
    <col min="12269" max="12269" width="10.7109375" style="9"/>
    <col min="12270" max="12272" width="10.7109375" style="9" customWidth="1"/>
    <col min="12273" max="12274" width="10.7109375" style="9"/>
    <col min="12275" max="12307" width="10.7109375" style="9" customWidth="1"/>
    <col min="12308" max="12308" width="10.7109375" style="9"/>
    <col min="12309" max="12309" width="10.7109375" style="9" customWidth="1"/>
    <col min="12310" max="12310" width="10.7109375" style="9"/>
    <col min="12311" max="12312" width="10.7109375" style="9" customWidth="1"/>
    <col min="12313" max="12314" width="10.7109375" style="9"/>
    <col min="12315" max="12315" width="10.7109375" style="9" customWidth="1"/>
    <col min="12316" max="12317" width="10.7109375" style="9"/>
    <col min="12318" max="12318" width="10.7109375" style="9" customWidth="1"/>
    <col min="12319" max="12320" width="10.7109375" style="9"/>
    <col min="12321" max="12321" width="10.7109375" style="9" customWidth="1"/>
    <col min="12322" max="12326" width="10.7109375" style="9"/>
    <col min="12327" max="12328" width="10.7109375" style="9" customWidth="1"/>
    <col min="12329" max="12329" width="10.7109375" style="9"/>
    <col min="12330" max="12332" width="10.7109375" style="9" customWidth="1"/>
    <col min="12333" max="12333" width="10.7109375" style="9"/>
    <col min="12334" max="12339" width="10.7109375" style="9" customWidth="1"/>
    <col min="12340" max="12342" width="10.7109375" style="9"/>
    <col min="12343" max="12344" width="10.7109375" style="9" customWidth="1"/>
    <col min="12345" max="12345" width="10.7109375" style="9"/>
    <col min="12346" max="12348" width="10.7109375" style="9" customWidth="1"/>
    <col min="12349" max="12350" width="10.7109375" style="9"/>
    <col min="12351" max="12351" width="10.7109375" style="9" customWidth="1"/>
    <col min="12352" max="12366" width="10.7109375" style="9"/>
    <col min="12367" max="12367" width="10.7109375" style="9" customWidth="1"/>
    <col min="12368" max="12370" width="10.7109375" style="9"/>
    <col min="12371" max="12371" width="10.7109375" style="9" customWidth="1"/>
    <col min="12372" max="12377" width="10.7109375" style="9"/>
    <col min="12378" max="12380" width="10.7109375" style="9" customWidth="1"/>
    <col min="12381" max="12381" width="10.7109375" style="9"/>
    <col min="12382" max="12383" width="10.7109375" style="9" customWidth="1"/>
    <col min="12384" max="12384" width="10.7109375" style="9"/>
    <col min="12385" max="12386" width="10.7109375" style="9" customWidth="1"/>
    <col min="12387" max="12387" width="10.7109375" style="9"/>
    <col min="12388" max="12390" width="10.7109375" style="9" customWidth="1"/>
    <col min="12391" max="12394" width="10.7109375" style="9"/>
    <col min="12395" max="12395" width="10.7109375" style="9" customWidth="1"/>
    <col min="12396" max="12397" width="10.7109375" style="9"/>
    <col min="12398" max="12399" width="10.7109375" style="9" customWidth="1"/>
    <col min="12400" max="12401" width="10.7109375" style="9"/>
    <col min="12402" max="12404" width="10.7109375" style="9" customWidth="1"/>
    <col min="12405" max="12405" width="10.7109375" style="9"/>
    <col min="12406" max="12406" width="10.7109375" style="9" customWidth="1"/>
    <col min="12407" max="12408" width="10.7109375" style="9"/>
    <col min="12409" max="12409" width="10.7109375" style="9" customWidth="1"/>
    <col min="12410" max="12410" width="10.7109375" style="9"/>
    <col min="12411" max="12413" width="10.7109375" style="9" customWidth="1"/>
    <col min="12414" max="12416" width="10.7109375" style="9"/>
    <col min="12417" max="12417" width="10.7109375" style="9" customWidth="1"/>
    <col min="12418" max="12422" width="10.7109375" style="9"/>
    <col min="12423" max="12424" width="10.7109375" style="9" customWidth="1"/>
    <col min="12425" max="12425" width="10.7109375" style="9"/>
    <col min="12426" max="12428" width="10.7109375" style="9" customWidth="1"/>
    <col min="12429" max="12429" width="10.7109375" style="9"/>
    <col min="12430" max="12436" width="10.7109375" style="9" customWidth="1"/>
    <col min="12437" max="12437" width="10.7109375" style="9"/>
    <col min="12438" max="12438" width="10.7109375" style="9" customWidth="1"/>
    <col min="12439" max="12439" width="10.7109375" style="9"/>
    <col min="12440" max="12440" width="10.7109375" style="9" customWidth="1"/>
    <col min="12441" max="12441" width="10.7109375" style="9"/>
    <col min="12442" max="12444" width="10.7109375" style="9" customWidth="1"/>
    <col min="12445" max="12446" width="10.7109375" style="9"/>
    <col min="12447" max="12447" width="10.7109375" style="9" customWidth="1"/>
    <col min="12448" max="12462" width="10.7109375" style="9"/>
    <col min="12463" max="12463" width="10.7109375" style="9" customWidth="1"/>
    <col min="12464" max="12466" width="10.7109375" style="9"/>
    <col min="12467" max="12501" width="10.7109375" style="9" customWidth="1"/>
    <col min="12502" max="12502" width="10.7109375" style="9"/>
    <col min="12503" max="12504" width="10.7109375" style="9" customWidth="1"/>
    <col min="12505" max="12506" width="10.7109375" style="9"/>
    <col min="12507" max="12507" width="10.7109375" style="9" customWidth="1"/>
    <col min="12508" max="12509" width="10.7109375" style="9"/>
    <col min="12510" max="12510" width="10.7109375" style="9" customWidth="1"/>
    <col min="12511" max="12512" width="10.7109375" style="9"/>
    <col min="12513" max="12513" width="10.7109375" style="9" customWidth="1"/>
    <col min="12514" max="12518" width="10.7109375" style="9"/>
    <col min="12519" max="12520" width="10.7109375" style="9" customWidth="1"/>
    <col min="12521" max="12521" width="10.7109375" style="9"/>
    <col min="12522" max="12524" width="10.7109375" style="9" customWidth="1"/>
    <col min="12525" max="12525" width="10.7109375" style="9"/>
    <col min="12526" max="12528" width="10.7109375" style="9" customWidth="1"/>
    <col min="12529" max="12530" width="10.7109375" style="9"/>
    <col min="12531" max="12563" width="10.7109375" style="9" customWidth="1"/>
    <col min="12564" max="12564" width="10.7109375" style="9"/>
    <col min="12565" max="12565" width="10.7109375" style="9" customWidth="1"/>
    <col min="12566" max="12566" width="10.7109375" style="9"/>
    <col min="12567" max="12568" width="10.7109375" style="9" customWidth="1"/>
    <col min="12569" max="12570" width="10.7109375" style="9"/>
    <col min="12571" max="12571" width="10.7109375" style="9" customWidth="1"/>
    <col min="12572" max="12573" width="10.7109375" style="9"/>
    <col min="12574" max="12574" width="10.7109375" style="9" customWidth="1"/>
    <col min="12575" max="12576" width="10.7109375" style="9"/>
    <col min="12577" max="12577" width="10.7109375" style="9" customWidth="1"/>
    <col min="12578" max="12582" width="10.7109375" style="9"/>
    <col min="12583" max="12584" width="10.7109375" style="9" customWidth="1"/>
    <col min="12585" max="12585" width="10.7109375" style="9"/>
    <col min="12586" max="12588" width="10.7109375" style="9" customWidth="1"/>
    <col min="12589" max="12589" width="10.7109375" style="9"/>
    <col min="12590" max="12595" width="10.7109375" style="9" customWidth="1"/>
    <col min="12596" max="12597" width="10.7109375" style="9"/>
    <col min="12598" max="12598" width="10.7109375" style="9" customWidth="1"/>
    <col min="12599" max="12599" width="10.7109375" style="9"/>
    <col min="12600" max="12600" width="10.7109375" style="9" customWidth="1"/>
    <col min="12601" max="12601" width="10.7109375" style="9"/>
    <col min="12602" max="12604" width="10.7109375" style="9" customWidth="1"/>
    <col min="12605" max="12606" width="10.7109375" style="9"/>
    <col min="12607" max="12607" width="10.7109375" style="9" customWidth="1"/>
    <col min="12608" max="12622" width="10.7109375" style="9"/>
    <col min="12623" max="12623" width="10.7109375" style="9" customWidth="1"/>
    <col min="12624" max="12626" width="10.7109375" style="9"/>
    <col min="12627" max="12627" width="10.7109375" style="9" customWidth="1"/>
    <col min="12628" max="12633" width="10.7109375" style="9"/>
    <col min="12634" max="12636" width="10.7109375" style="9" customWidth="1"/>
    <col min="12637" max="12637" width="10.7109375" style="9"/>
    <col min="12638" max="12639" width="10.7109375" style="9" customWidth="1"/>
    <col min="12640" max="12640" width="10.7109375" style="9"/>
    <col min="12641" max="12642" width="10.7109375" style="9" customWidth="1"/>
    <col min="12643" max="12643" width="10.7109375" style="9"/>
    <col min="12644" max="12646" width="10.7109375" style="9" customWidth="1"/>
    <col min="12647" max="12650" width="10.7109375" style="9"/>
    <col min="12651" max="12651" width="10.7109375" style="9" customWidth="1"/>
    <col min="12652" max="12653" width="10.7109375" style="9"/>
    <col min="12654" max="12655" width="10.7109375" style="9" customWidth="1"/>
    <col min="12656" max="12657" width="10.7109375" style="9"/>
    <col min="12658" max="12660" width="10.7109375" style="9" customWidth="1"/>
    <col min="12661" max="12662" width="10.7109375" style="9"/>
    <col min="12663" max="12663" width="10.7109375" style="9" customWidth="1"/>
    <col min="12664" max="12666" width="10.7109375" style="9"/>
    <col min="12667" max="12667" width="10.7109375" style="9" customWidth="1"/>
    <col min="12668" max="12668" width="10.7109375" style="9"/>
    <col min="12669" max="12669" width="10.7109375" style="9" customWidth="1"/>
    <col min="12670" max="12671" width="10.7109375" style="9"/>
    <col min="12672" max="12673" width="10.7109375" style="9" customWidth="1"/>
    <col min="12674" max="12674" width="10.7109375" style="9"/>
    <col min="12675" max="12676" width="10.7109375" style="9" customWidth="1"/>
    <col min="12677" max="12677" width="10.7109375" style="9"/>
    <col min="12678" max="12681" width="10.7109375" style="9" customWidth="1"/>
    <col min="12682" max="12682" width="10.7109375" style="9"/>
    <col min="12683" max="12684" width="10.7109375" style="9" customWidth="1"/>
    <col min="12685" max="12685" width="10.7109375" style="9"/>
    <col min="12686" max="12692" width="10.7109375" style="9" customWidth="1"/>
    <col min="12693" max="12695" width="10.7109375" style="9"/>
    <col min="12696" max="12696" width="10.7109375" style="9" customWidth="1"/>
    <col min="12697" max="12697" width="10.7109375" style="9"/>
    <col min="12698" max="12700" width="10.7109375" style="9" customWidth="1"/>
    <col min="12701" max="12702" width="10.7109375" style="9"/>
    <col min="12703" max="12703" width="10.7109375" style="9" customWidth="1"/>
    <col min="12704" max="12718" width="10.7109375" style="9"/>
    <col min="12719" max="12719" width="10.7109375" style="9" customWidth="1"/>
    <col min="12720" max="12722" width="10.7109375" style="9"/>
    <col min="12723" max="12754" width="10.7109375" style="9" customWidth="1"/>
    <col min="12755" max="12755" width="10.7109375" style="9"/>
    <col min="12756" max="12757" width="10.7109375" style="9" customWidth="1"/>
    <col min="12758" max="12760" width="10.7109375" style="9"/>
    <col min="12761" max="12761" width="10.7109375" style="9" customWidth="1"/>
    <col min="12762" max="12763" width="10.7109375" style="9"/>
    <col min="12764" max="12765" width="10.7109375" style="9" customWidth="1"/>
    <col min="12766" max="12768" width="10.7109375" style="9"/>
    <col min="12769" max="12769" width="10.7109375" style="9" customWidth="1"/>
    <col min="12770" max="12771" width="10.7109375" style="9"/>
    <col min="12772" max="12772" width="10.7109375" style="9" customWidth="1"/>
    <col min="12773" max="12773" width="10.7109375" style="9"/>
    <col min="12774" max="12776" width="10.7109375" style="9" customWidth="1"/>
    <col min="12777" max="12777" width="10.7109375" style="9"/>
    <col min="12778" max="12781" width="10.7109375" style="9" customWidth="1"/>
    <col min="12782" max="12782" width="10.7109375" style="9"/>
    <col min="12783" max="12783" width="10.7109375" style="9" customWidth="1"/>
    <col min="12784" max="12784" width="10.7109375" style="9"/>
    <col min="12785" max="12786" width="10.7109375" style="9" customWidth="1"/>
    <col min="12787" max="12789" width="10.7109375" style="9"/>
    <col min="12790" max="12791" width="10.7109375" style="9" customWidth="1"/>
    <col min="12792" max="12792" width="10.7109375" style="9"/>
    <col min="12793" max="12793" width="10.7109375" style="9" customWidth="1"/>
    <col min="12794" max="12794" width="10.7109375" style="9"/>
    <col min="12795" max="12798" width="10.7109375" style="9" customWidth="1"/>
    <col min="12799" max="12800" width="10.7109375" style="9"/>
    <col min="12801" max="12801" width="10.7109375" style="9" customWidth="1"/>
    <col min="12802" max="12803" width="10.7109375" style="9"/>
    <col min="12804" max="12804" width="10.7109375" style="9" customWidth="1"/>
    <col min="12805" max="12805" width="10.7109375" style="9"/>
    <col min="12806" max="12808" width="10.7109375" style="9" customWidth="1"/>
    <col min="12809" max="12809" width="10.7109375" style="9"/>
    <col min="12810" max="12813" width="10.7109375" style="9" customWidth="1"/>
    <col min="12814" max="12814" width="10.7109375" style="9"/>
    <col min="12815" max="12815" width="10.7109375" style="9" customWidth="1"/>
    <col min="12816" max="12816" width="10.7109375" style="9"/>
    <col min="12817" max="12851" width="10.7109375" style="9" customWidth="1"/>
    <col min="12852" max="12854" width="10.7109375" style="9"/>
    <col min="12855" max="12860" width="10.7109375" style="9" customWidth="1"/>
    <col min="12861" max="12861" width="10.7109375" style="9"/>
    <col min="12862" max="12862" width="10.7109375" style="9" customWidth="1"/>
    <col min="12863" max="12865" width="10.7109375" style="9"/>
    <col min="12866" max="12866" width="10.7109375" style="9" customWidth="1"/>
    <col min="12867" max="12867" width="10.7109375" style="9"/>
    <col min="12868" max="12868" width="10.7109375" style="9" customWidth="1"/>
    <col min="12869" max="12869" width="10.7109375" style="9"/>
    <col min="12870" max="12870" width="10.7109375" style="9" customWidth="1"/>
    <col min="12871" max="12871" width="10.7109375" style="9"/>
    <col min="12872" max="12877" width="10.7109375" style="9" customWidth="1"/>
    <col min="12878" max="12878" width="10.7109375" style="9"/>
    <col min="12879" max="12879" width="10.7109375" style="9" customWidth="1"/>
    <col min="12880" max="12880" width="10.7109375" style="9"/>
    <col min="12881" max="12948" width="10.7109375" style="9" customWidth="1"/>
    <col min="12949" max="12949" width="10.7109375" style="9"/>
    <col min="12950" max="12950" width="10.7109375" style="9" customWidth="1"/>
    <col min="12951" max="12951" width="10.7109375" style="9"/>
    <col min="12952" max="12952" width="10.7109375" style="9" customWidth="1"/>
    <col min="12953" max="12953" width="10.7109375" style="9"/>
    <col min="12954" max="12956" width="10.7109375" style="9" customWidth="1"/>
    <col min="12957" max="12958" width="10.7109375" style="9"/>
    <col min="12959" max="12959" width="10.7109375" style="9" customWidth="1"/>
    <col min="12960" max="12974" width="10.7109375" style="9"/>
    <col min="12975" max="12975" width="10.7109375" style="9" customWidth="1"/>
    <col min="12976" max="12977" width="10.7109375" style="9"/>
    <col min="12978" max="12980" width="10.7109375" style="9" customWidth="1"/>
    <col min="12981" max="12982" width="10.7109375" style="9"/>
    <col min="12983" max="12983" width="10.7109375" style="9" customWidth="1"/>
    <col min="12984" max="12984" width="10.7109375" style="9"/>
    <col min="12985" max="12986" width="10.7109375" style="9" customWidth="1"/>
    <col min="12987" max="12988" width="10.7109375" style="9"/>
    <col min="12989" max="12991" width="10.7109375" style="9" customWidth="1"/>
    <col min="12992" max="12992" width="10.7109375" style="9"/>
    <col min="12993" max="12994" width="10.7109375" style="9" customWidth="1"/>
    <col min="12995" max="12995" width="10.7109375" style="9"/>
    <col min="12996" max="12998" width="10.7109375" style="9" customWidth="1"/>
    <col min="12999" max="13002" width="10.7109375" style="9"/>
    <col min="13003" max="13003" width="10.7109375" style="9" customWidth="1"/>
    <col min="13004" max="13005" width="10.7109375" style="9"/>
    <col min="13006" max="13007" width="10.7109375" style="9" customWidth="1"/>
    <col min="13008" max="13008" width="10.7109375" style="9"/>
    <col min="13009" max="13010" width="10.7109375" style="9" customWidth="1"/>
    <col min="13011" max="13011" width="10.7109375" style="9"/>
    <col min="13012" max="13013" width="10.7109375" style="9" customWidth="1"/>
    <col min="13014" max="13016" width="10.7109375" style="9"/>
    <col min="13017" max="13017" width="10.7109375" style="9" customWidth="1"/>
    <col min="13018" max="13019" width="10.7109375" style="9"/>
    <col min="13020" max="13021" width="10.7109375" style="9" customWidth="1"/>
    <col min="13022" max="13024" width="10.7109375" style="9"/>
    <col min="13025" max="13025" width="10.7109375" style="9" customWidth="1"/>
    <col min="13026" max="13027" width="10.7109375" style="9"/>
    <col min="13028" max="13028" width="10.7109375" style="9" customWidth="1"/>
    <col min="13029" max="13029" width="10.7109375" style="9"/>
    <col min="13030" max="13032" width="10.7109375" style="9" customWidth="1"/>
    <col min="13033" max="13033" width="10.7109375" style="9"/>
    <col min="13034" max="13037" width="10.7109375" style="9" customWidth="1"/>
    <col min="13038" max="13038" width="10.7109375" style="9"/>
    <col min="13039" max="13039" width="10.7109375" style="9" customWidth="1"/>
    <col min="13040" max="13040" width="10.7109375" style="9"/>
    <col min="13041" max="13107" width="10.7109375" style="9" customWidth="1"/>
    <col min="13108" max="13110" width="10.7109375" style="9"/>
    <col min="13111" max="13116" width="10.7109375" style="9" customWidth="1"/>
    <col min="13117" max="13117" width="10.7109375" style="9"/>
    <col min="13118" max="13118" width="10.7109375" style="9" customWidth="1"/>
    <col min="13119" max="13121" width="10.7109375" style="9"/>
    <col min="13122" max="13122" width="10.7109375" style="9" customWidth="1"/>
    <col min="13123" max="13123" width="10.7109375" style="9"/>
    <col min="13124" max="13124" width="10.7109375" style="9" customWidth="1"/>
    <col min="13125" max="13125" width="10.7109375" style="9"/>
    <col min="13126" max="13126" width="10.7109375" style="9" customWidth="1"/>
    <col min="13127" max="13127" width="10.7109375" style="9"/>
    <col min="13128" max="13133" width="10.7109375" style="9" customWidth="1"/>
    <col min="13134" max="13134" width="10.7109375" style="9"/>
    <col min="13135" max="13135" width="10.7109375" style="9" customWidth="1"/>
    <col min="13136" max="13136" width="10.7109375" style="9"/>
    <col min="13137" max="13204" width="10.7109375" style="9" customWidth="1"/>
    <col min="13205" max="13207" width="10.7109375" style="9"/>
    <col min="13208" max="13208" width="10.7109375" style="9" customWidth="1"/>
    <col min="13209" max="13209" width="10.7109375" style="9"/>
    <col min="13210" max="13212" width="10.7109375" style="9" customWidth="1"/>
    <col min="13213" max="13214" width="10.7109375" style="9"/>
    <col min="13215" max="13215" width="10.7109375" style="9" customWidth="1"/>
    <col min="13216" max="13230" width="10.7109375" style="9"/>
    <col min="13231" max="13231" width="10.7109375" style="9" customWidth="1"/>
    <col min="13232" max="13233" width="10.7109375" style="9"/>
    <col min="13234" max="13236" width="10.7109375" style="9" customWidth="1"/>
    <col min="13237" max="13238" width="10.7109375" style="9"/>
    <col min="13239" max="13239" width="10.7109375" style="9" customWidth="1"/>
    <col min="13240" max="13240" width="10.7109375" style="9"/>
    <col min="13241" max="13242" width="10.7109375" style="9" customWidth="1"/>
    <col min="13243" max="13244" width="10.7109375" style="9"/>
    <col min="13245" max="13247" width="10.7109375" style="9" customWidth="1"/>
    <col min="13248" max="13248" width="10.7109375" style="9"/>
    <col min="13249" max="13250" width="10.7109375" style="9" customWidth="1"/>
    <col min="13251" max="13251" width="10.7109375" style="9"/>
    <col min="13252" max="13254" width="10.7109375" style="9" customWidth="1"/>
    <col min="13255" max="13258" width="10.7109375" style="9"/>
    <col min="13259" max="13259" width="10.7109375" style="9" customWidth="1"/>
    <col min="13260" max="13261" width="10.7109375" style="9"/>
    <col min="13262" max="13263" width="10.7109375" style="9" customWidth="1"/>
    <col min="13264" max="13264" width="10.7109375" style="9"/>
    <col min="13265" max="13272" width="10.7109375" style="9" customWidth="1"/>
    <col min="13273" max="13273" width="10.7109375" style="9"/>
    <col min="13274" max="13274" width="10.7109375" style="9" customWidth="1"/>
    <col min="13275" max="13275" width="10.7109375" style="9"/>
    <col min="13276" max="13280" width="10.7109375" style="9" customWidth="1"/>
    <col min="13281" max="13281" width="10.7109375" style="9"/>
    <col min="13282" max="13282" width="10.7109375" style="9" customWidth="1"/>
    <col min="13283" max="13285" width="10.7109375" style="9"/>
    <col min="13286" max="13290" width="10.7109375" style="9" customWidth="1"/>
    <col min="13291" max="13291" width="10.7109375" style="9"/>
    <col min="13292" max="13363" width="10.7109375" style="9" customWidth="1"/>
    <col min="13364" max="13364" width="10.7109375" style="9"/>
    <col min="13365" max="13366" width="10.7109375" style="9" customWidth="1"/>
    <col min="13367" max="13369" width="10.7109375" style="9"/>
    <col min="13370" max="13370" width="10.7109375" style="9" customWidth="1"/>
    <col min="13371" max="13372" width="10.7109375" style="9"/>
    <col min="13373" max="13373" width="10.7109375" style="9" customWidth="1"/>
    <col min="13374" max="13374" width="10.7109375" style="9"/>
    <col min="13375" max="13375" width="10.7109375" style="9" customWidth="1"/>
    <col min="13376" max="13390" width="10.7109375" style="9"/>
    <col min="13391" max="13391" width="10.7109375" style="9" customWidth="1"/>
    <col min="13392" max="13392" width="10.7109375" style="9"/>
    <col min="13393" max="13395" width="10.7109375" style="9" customWidth="1"/>
    <col min="13396" max="13396" width="10.7109375" style="9"/>
    <col min="13397" max="13399" width="10.7109375" style="9" customWidth="1"/>
    <col min="13400" max="13400" width="10.7109375" style="9"/>
    <col min="13401" max="13404" width="10.7109375" style="9" customWidth="1"/>
    <col min="13405" max="13407" width="10.7109375" style="9"/>
    <col min="13408" max="13408" width="10.7109375" style="9" customWidth="1"/>
    <col min="13409" max="13411" width="10.7109375" style="9"/>
    <col min="13412" max="13413" width="10.7109375" style="9" customWidth="1"/>
    <col min="13414" max="13414" width="10.7109375" style="9"/>
    <col min="13415" max="13417" width="10.7109375" style="9" customWidth="1"/>
    <col min="13418" max="13418" width="10.7109375" style="9"/>
    <col min="13419" max="13419" width="10.7109375" style="9" customWidth="1"/>
    <col min="13420" max="13421" width="10.7109375" style="9"/>
    <col min="13422" max="13423" width="10.7109375" style="9" customWidth="1"/>
    <col min="13424" max="13424" width="10.7109375" style="9"/>
    <col min="13425" max="13432" width="10.7109375" style="9" customWidth="1"/>
    <col min="13433" max="13433" width="10.7109375" style="9"/>
    <col min="13434" max="13434" width="10.7109375" style="9" customWidth="1"/>
    <col min="13435" max="13435" width="10.7109375" style="9"/>
    <col min="13436" max="13440" width="10.7109375" style="9" customWidth="1"/>
    <col min="13441" max="13441" width="10.7109375" style="9"/>
    <col min="13442" max="13442" width="10.7109375" style="9" customWidth="1"/>
    <col min="13443" max="13445" width="10.7109375" style="9"/>
    <col min="13446" max="13450" width="10.7109375" style="9" customWidth="1"/>
    <col min="13451" max="13451" width="10.7109375" style="9"/>
    <col min="13452" max="13457" width="10.7109375" style="9" customWidth="1"/>
    <col min="13458" max="13458" width="10.7109375" style="9"/>
    <col min="13459" max="13491" width="10.7109375" style="9" customWidth="1"/>
    <col min="13492" max="13492" width="10.7109375" style="9"/>
    <col min="13493" max="13495" width="10.7109375" style="9" customWidth="1"/>
    <col min="13496" max="13497" width="10.7109375" style="9"/>
    <col min="13498" max="13498" width="10.7109375" style="9" customWidth="1"/>
    <col min="13499" max="13500" width="10.7109375" style="9"/>
    <col min="13501" max="13501" width="10.7109375" style="9" customWidth="1"/>
    <col min="13502" max="13502" width="10.7109375" style="9"/>
    <col min="13503" max="13503" width="10.7109375" style="9" customWidth="1"/>
    <col min="13504" max="13518" width="10.7109375" style="9"/>
    <col min="13519" max="13519" width="10.7109375" style="9" customWidth="1"/>
    <col min="13520" max="13520" width="10.7109375" style="9"/>
    <col min="13521" max="13522" width="10.7109375" style="9" customWidth="1"/>
    <col min="13523" max="13524" width="10.7109375" style="9"/>
    <col min="13525" max="13527" width="10.7109375" style="9" customWidth="1"/>
    <col min="13528" max="13530" width="10.7109375" style="9"/>
    <col min="13531" max="13534" width="10.7109375" style="9" customWidth="1"/>
    <col min="13535" max="13535" width="10.7109375" style="9"/>
    <col min="13536" max="13536" width="10.7109375" style="9" customWidth="1"/>
    <col min="13537" max="13539" width="10.7109375" style="9"/>
    <col min="13540" max="13541" width="10.7109375" style="9" customWidth="1"/>
    <col min="13542" max="13542" width="10.7109375" style="9"/>
    <col min="13543" max="13545" width="10.7109375" style="9" customWidth="1"/>
    <col min="13546" max="13546" width="10.7109375" style="9"/>
    <col min="13547" max="13547" width="10.7109375" style="9" customWidth="1"/>
    <col min="13548" max="13549" width="10.7109375" style="9"/>
    <col min="13550" max="13551" width="10.7109375" style="9" customWidth="1"/>
    <col min="13552" max="13556" width="10.7109375" style="9"/>
    <col min="13557" max="13557" width="10.7109375" style="9" customWidth="1"/>
    <col min="13558" max="13558" width="10.7109375" style="9"/>
    <col min="13559" max="13568" width="10.7109375" style="9" customWidth="1"/>
    <col min="13569" max="13582" width="10.7109375" style="9"/>
    <col min="13583" max="13583" width="10.7109375" style="9" customWidth="1"/>
    <col min="13584" max="13584" width="10.7109375" style="9"/>
    <col min="13585" max="13585" width="10.7109375" style="9" customWidth="1"/>
    <col min="13586" max="13616" width="10.7109375" style="9"/>
    <col min="13617" max="13617" width="10.7109375" style="9" customWidth="1"/>
    <col min="13618" max="13618" width="10.7109375" style="9"/>
    <col min="13619" max="13680" width="10.7109375" style="9" customWidth="1"/>
    <col min="13681" max="13683" width="10.7109375" style="9"/>
    <col min="13684" max="13724" width="10.7109375" style="9" customWidth="1"/>
    <col min="13725" max="13725" width="10.7109375" style="9"/>
    <col min="13726" max="13726" width="10.7109375" style="9" customWidth="1"/>
    <col min="13727" max="13728" width="10.7109375" style="9"/>
    <col min="13729" max="13730" width="10.7109375" style="9" customWidth="1"/>
    <col min="13731" max="13733" width="10.7109375" style="9"/>
    <col min="13734" max="13738" width="10.7109375" style="9" customWidth="1"/>
    <col min="13739" max="13739" width="10.7109375" style="9"/>
    <col min="13740" max="13752" width="10.7109375" style="9" customWidth="1"/>
    <col min="13753" max="13753" width="10.7109375" style="9"/>
    <col min="13754" max="13754" width="10.7109375" style="9" customWidth="1"/>
    <col min="13755" max="13755" width="10.7109375" style="9"/>
    <col min="13756" max="13760" width="10.7109375" style="9" customWidth="1"/>
    <col min="13761" max="13761" width="10.7109375" style="9"/>
    <col min="13762" max="13762" width="10.7109375" style="9" customWidth="1"/>
    <col min="13763" max="13765" width="10.7109375" style="9"/>
    <col min="13766" max="13770" width="10.7109375" style="9" customWidth="1"/>
    <col min="13771" max="13771" width="10.7109375" style="9"/>
    <col min="13772" max="13784" width="10.7109375" style="9" customWidth="1"/>
    <col min="13785" max="13785" width="10.7109375" style="9"/>
    <col min="13786" max="13786" width="10.7109375" style="9" customWidth="1"/>
    <col min="13787" max="13787" width="10.7109375" style="9"/>
    <col min="13788" max="13792" width="10.7109375" style="9" customWidth="1"/>
    <col min="13793" max="13793" width="10.7109375" style="9"/>
    <col min="13794" max="13794" width="10.7109375" style="9" customWidth="1"/>
    <col min="13795" max="13797" width="10.7109375" style="9"/>
    <col min="13798" max="13802" width="10.7109375" style="9" customWidth="1"/>
    <col min="13803" max="13803" width="10.7109375" style="9"/>
    <col min="13804" max="13816" width="10.7109375" style="9" customWidth="1"/>
    <col min="13817" max="13817" width="10.7109375" style="9"/>
    <col min="13818" max="13818" width="10.7109375" style="9" customWidth="1"/>
    <col min="13819" max="13819" width="10.7109375" style="9"/>
    <col min="13820" max="13824" width="10.7109375" style="9" customWidth="1"/>
    <col min="13825" max="13825" width="10.7109375" style="9"/>
    <col min="13826" max="13826" width="10.7109375" style="9" customWidth="1"/>
    <col min="13827" max="13829" width="10.7109375" style="9"/>
    <col min="13830" max="13834" width="10.7109375" style="9" customWidth="1"/>
    <col min="13835" max="13835" width="10.7109375" style="9"/>
    <col min="13836" max="13852" width="10.7109375" style="9" customWidth="1"/>
    <col min="13853" max="13853" width="10.7109375" style="9"/>
    <col min="13854" max="13854" width="10.7109375" style="9" customWidth="1"/>
    <col min="13855" max="13856" width="10.7109375" style="9"/>
    <col min="13857" max="13858" width="10.7109375" style="9" customWidth="1"/>
    <col min="13859" max="13861" width="10.7109375" style="9"/>
    <col min="13862" max="13866" width="10.7109375" style="9" customWidth="1"/>
    <col min="13867" max="13867" width="10.7109375" style="9"/>
    <col min="13868" max="13875" width="10.7109375" style="9" customWidth="1"/>
    <col min="13876" max="13876" width="10.7109375" style="9"/>
    <col min="13877" max="13881" width="10.7109375" style="9" customWidth="1"/>
    <col min="13882" max="13884" width="10.7109375" style="9"/>
    <col min="13885" max="13885" width="10.7109375" style="9" customWidth="1"/>
    <col min="13886" max="13886" width="10.7109375" style="9"/>
    <col min="13887" max="13887" width="10.7109375" style="9" customWidth="1"/>
    <col min="13888" max="13902" width="10.7109375" style="9"/>
    <col min="13903" max="13903" width="10.7109375" style="9" customWidth="1"/>
    <col min="13904" max="13904" width="10.7109375" style="9"/>
    <col min="13905" max="13907" width="10.7109375" style="9" customWidth="1"/>
    <col min="13908" max="13908" width="10.7109375" style="9"/>
    <col min="13909" max="13911" width="10.7109375" style="9" customWidth="1"/>
    <col min="13912" max="13912" width="10.7109375" style="9"/>
    <col min="13913" max="13916" width="10.7109375" style="9" customWidth="1"/>
    <col min="13917" max="13919" width="10.7109375" style="9"/>
    <col min="13920" max="13920" width="10.7109375" style="9" customWidth="1"/>
    <col min="13921" max="13923" width="10.7109375" style="9"/>
    <col min="13924" max="13925" width="10.7109375" style="9" customWidth="1"/>
    <col min="13926" max="13926" width="10.7109375" style="9"/>
    <col min="13927" max="13929" width="10.7109375" style="9" customWidth="1"/>
    <col min="13930" max="13930" width="10.7109375" style="9"/>
    <col min="13931" max="13931" width="10.7109375" style="9" customWidth="1"/>
    <col min="13932" max="13933" width="10.7109375" style="9"/>
    <col min="13934" max="13935" width="10.7109375" style="9" customWidth="1"/>
    <col min="13936" max="13936" width="10.7109375" style="9"/>
    <col min="13937" max="13944" width="10.7109375" style="9" customWidth="1"/>
    <col min="13945" max="13945" width="10.7109375" style="9"/>
    <col min="13946" max="13946" width="10.7109375" style="9" customWidth="1"/>
    <col min="13947" max="13947" width="10.7109375" style="9"/>
    <col min="13948" max="13952" width="10.7109375" style="9" customWidth="1"/>
    <col min="13953" max="13953" width="10.7109375" style="9"/>
    <col min="13954" max="13954" width="10.7109375" style="9" customWidth="1"/>
    <col min="13955" max="13957" width="10.7109375" style="9"/>
    <col min="13958" max="13962" width="10.7109375" style="9" customWidth="1"/>
    <col min="13963" max="13963" width="10.7109375" style="9"/>
    <col min="13964" max="13971" width="10.7109375" style="9" customWidth="1"/>
    <col min="13972" max="13972" width="10.7109375" style="9"/>
    <col min="13973" max="14005" width="10.7109375" style="9" customWidth="1"/>
    <col min="14006" max="14006" width="10.7109375" style="9"/>
    <col min="14007" max="14037" width="10.7109375" style="9" customWidth="1"/>
    <col min="14038" max="14039" width="10.7109375" style="9"/>
    <col min="14040" max="14040" width="10.7109375" style="9" customWidth="1"/>
    <col min="14041" max="14041" width="10.7109375" style="9"/>
    <col min="14042" max="14042" width="10.7109375" style="9" customWidth="1"/>
    <col min="14043" max="14043" width="10.7109375" style="9"/>
    <col min="14044" max="14044" width="10.7109375" style="9" customWidth="1"/>
    <col min="14045" max="14046" width="10.7109375" style="9"/>
    <col min="14047" max="14048" width="10.7109375" style="9" customWidth="1"/>
    <col min="14049" max="14049" width="10.7109375" style="9"/>
    <col min="14050" max="14051" width="10.7109375" style="9" customWidth="1"/>
    <col min="14052" max="14054" width="10.7109375" style="9"/>
    <col min="14055" max="14056" width="10.7109375" style="9" customWidth="1"/>
    <col min="14057" max="14057" width="10.7109375" style="9"/>
    <col min="14058" max="14060" width="10.7109375" style="9" customWidth="1"/>
    <col min="14061" max="14061" width="10.7109375" style="9"/>
    <col min="14062" max="14068" width="10.7109375" style="9" customWidth="1"/>
    <col min="14069" max="14070" width="10.7109375" style="9"/>
    <col min="14071" max="14071" width="10.7109375" style="9" customWidth="1"/>
    <col min="14072" max="14072" width="10.7109375" style="9"/>
    <col min="14073" max="14073" width="10.7109375" style="9" customWidth="1"/>
    <col min="14074" max="14074" width="10.7109375" style="9"/>
    <col min="14075" max="14076" width="10.7109375" style="9" customWidth="1"/>
    <col min="14077" max="14077" width="10.7109375" style="9"/>
    <col min="14078" max="14078" width="10.7109375" style="9" customWidth="1"/>
    <col min="14079" max="14080" width="10.7109375" style="9"/>
    <col min="14081" max="14081" width="10.7109375" style="9" customWidth="1"/>
    <col min="14082" max="14084" width="10.7109375" style="9"/>
    <col min="14085" max="14101" width="10.7109375" style="9" customWidth="1"/>
    <col min="14102" max="14103" width="10.7109375" style="9"/>
    <col min="14104" max="14104" width="10.7109375" style="9" customWidth="1"/>
    <col min="14105" max="14105" width="10.7109375" style="9"/>
    <col min="14106" max="14106" width="10.7109375" style="9" customWidth="1"/>
    <col min="14107" max="14107" width="10.7109375" style="9"/>
    <col min="14108" max="14108" width="10.7109375" style="9" customWidth="1"/>
    <col min="14109" max="14110" width="10.7109375" style="9"/>
    <col min="14111" max="14112" width="10.7109375" style="9" customWidth="1"/>
    <col min="14113" max="14113" width="10.7109375" style="9"/>
    <col min="14114" max="14115" width="10.7109375" style="9" customWidth="1"/>
    <col min="14116" max="14118" width="10.7109375" style="9"/>
    <col min="14119" max="14120" width="10.7109375" style="9" customWidth="1"/>
    <col min="14121" max="14121" width="10.7109375" style="9"/>
    <col min="14122" max="14124" width="10.7109375" style="9" customWidth="1"/>
    <col min="14125" max="14125" width="10.7109375" style="9"/>
    <col min="14126" max="14148" width="10.7109375" style="9" customWidth="1"/>
    <col min="14149" max="14150" width="10.7109375" style="9"/>
    <col min="14151" max="14152" width="10.7109375" style="9" customWidth="1"/>
    <col min="14153" max="14153" width="10.7109375" style="9"/>
    <col min="14154" max="14156" width="10.7109375" style="9" customWidth="1"/>
    <col min="14157" max="14157" width="10.7109375" style="9"/>
    <col min="14158" max="14193" width="10.7109375" style="9" customWidth="1"/>
    <col min="14194" max="14194" width="10.7109375" style="9"/>
    <col min="14195" max="14232" width="10.7109375" style="9" customWidth="1"/>
    <col min="14233" max="14233" width="10.7109375" style="9"/>
    <col min="14234" max="14234" width="10.7109375" style="9" customWidth="1"/>
    <col min="14235" max="14235" width="10.7109375" style="9"/>
    <col min="14236" max="14240" width="10.7109375" style="9" customWidth="1"/>
    <col min="14241" max="14241" width="10.7109375" style="9"/>
    <col min="14242" max="14242" width="10.7109375" style="9" customWidth="1"/>
    <col min="14243" max="14245" width="10.7109375" style="9"/>
    <col min="14246" max="14250" width="10.7109375" style="9" customWidth="1"/>
    <col min="14251" max="14251" width="10.7109375" style="9"/>
    <col min="14252" max="14264" width="10.7109375" style="9" customWidth="1"/>
    <col min="14265" max="14265" width="10.7109375" style="9"/>
    <col min="14266" max="14266" width="10.7109375" style="9" customWidth="1"/>
    <col min="14267" max="14267" width="10.7109375" style="9"/>
    <col min="14268" max="14272" width="10.7109375" style="9" customWidth="1"/>
    <col min="14273" max="14273" width="10.7109375" style="9"/>
    <col min="14274" max="14274" width="10.7109375" style="9" customWidth="1"/>
    <col min="14275" max="14277" width="10.7109375" style="9"/>
    <col min="14278" max="14282" width="10.7109375" style="9" customWidth="1"/>
    <col min="14283" max="14283" width="10.7109375" style="9"/>
    <col min="14284" max="14293" width="10.7109375" style="9" customWidth="1"/>
    <col min="14294" max="14295" width="10.7109375" style="9"/>
    <col min="14296" max="14320" width="10.7109375" style="9" customWidth="1"/>
    <col min="14321" max="14321" width="10.7109375" style="9"/>
    <col min="14322" max="14325" width="10.7109375" style="9" customWidth="1"/>
    <col min="14326" max="14328" width="10.7109375" style="9"/>
    <col min="14329" max="14329" width="10.7109375" style="9" customWidth="1"/>
    <col min="14330" max="14332" width="10.7109375" style="9"/>
    <col min="14333" max="14379" width="10.7109375" style="9" customWidth="1"/>
    <col min="14380" max="14380" width="10.7109375" style="9"/>
    <col min="14381" max="14389" width="10.7109375" style="9" customWidth="1"/>
    <col min="14390" max="14392" width="10.7109375" style="9"/>
    <col min="14393" max="14393" width="10.7109375" style="9" customWidth="1"/>
    <col min="14394" max="14396" width="10.7109375" style="9"/>
    <col min="14397" max="14436" width="10.7109375" style="9" customWidth="1"/>
    <col min="14437" max="14438" width="10.7109375" style="9"/>
    <col min="14439" max="14440" width="10.7109375" style="9" customWidth="1"/>
    <col min="14441" max="14441" width="10.7109375" style="9"/>
    <col min="14442" max="14444" width="10.7109375" style="9" customWidth="1"/>
    <col min="14445" max="14445" width="10.7109375" style="9"/>
    <col min="14446" max="14452" width="10.7109375" style="9" customWidth="1"/>
    <col min="14453" max="14454" width="10.7109375" style="9"/>
    <col min="14455" max="14455" width="10.7109375" style="9" customWidth="1"/>
    <col min="14456" max="14457" width="10.7109375" style="9"/>
    <col min="14458" max="14461" width="10.7109375" style="9" customWidth="1"/>
    <col min="14462" max="14464" width="10.7109375" style="9"/>
    <col min="14465" max="14465" width="10.7109375" style="9" customWidth="1"/>
    <col min="14466" max="14470" width="10.7109375" style="9"/>
    <col min="14471" max="14472" width="10.7109375" style="9" customWidth="1"/>
    <col min="14473" max="14473" width="10.7109375" style="9"/>
    <col min="14474" max="14476" width="10.7109375" style="9" customWidth="1"/>
    <col min="14477" max="14477" width="10.7109375" style="9"/>
    <col min="14478" max="14487" width="10.7109375" style="9" customWidth="1"/>
    <col min="14488" max="14488" width="10.7109375" style="9"/>
    <col min="14489" max="14494" width="10.7109375" style="9" customWidth="1"/>
    <col min="14495" max="14502" width="10.7109375" style="9"/>
    <col min="14503" max="14504" width="10.7109375" style="9" customWidth="1"/>
    <col min="14505" max="14505" width="10.7109375" style="9"/>
    <col min="14506" max="14508" width="10.7109375" style="9" customWidth="1"/>
    <col min="14509" max="14509" width="10.7109375" style="9"/>
    <col min="14510" max="14517" width="10.7109375" style="9" customWidth="1"/>
    <col min="14518" max="14519" width="10.7109375" style="9"/>
    <col min="14520" max="14548" width="10.7109375" style="9" customWidth="1"/>
    <col min="14549" max="14549" width="10.7109375" style="9"/>
    <col min="14550" max="14550" width="10.7109375" style="9" customWidth="1"/>
    <col min="14551" max="14551" width="10.7109375" style="9"/>
    <col min="14552" max="14552" width="10.7109375" style="9" customWidth="1"/>
    <col min="14553" max="14553" width="10.7109375" style="9"/>
    <col min="14554" max="14557" width="10.7109375" style="9" customWidth="1"/>
    <col min="14558" max="14560" width="10.7109375" style="9"/>
    <col min="14561" max="14561" width="10.7109375" style="9" customWidth="1"/>
    <col min="14562" max="14566" width="10.7109375" style="9"/>
    <col min="14567" max="14568" width="10.7109375" style="9" customWidth="1"/>
    <col min="14569" max="14569" width="10.7109375" style="9"/>
    <col min="14570" max="14572" width="10.7109375" style="9" customWidth="1"/>
    <col min="14573" max="14573" width="10.7109375" style="9"/>
    <col min="14574" max="14580" width="10.7109375" style="9" customWidth="1"/>
    <col min="14581" max="14581" width="10.7109375" style="9"/>
    <col min="14582" max="14583" width="10.7109375" style="9" customWidth="1"/>
    <col min="14584" max="14584" width="10.7109375" style="9"/>
    <col min="14585" max="14585" width="10.7109375" style="9" customWidth="1"/>
    <col min="14586" max="14586" width="10.7109375" style="9"/>
    <col min="14587" max="14588" width="10.7109375" style="9" customWidth="1"/>
    <col min="14589" max="14589" width="10.7109375" style="9"/>
    <col min="14590" max="14590" width="10.7109375" style="9" customWidth="1"/>
    <col min="14591" max="14592" width="10.7109375" style="9"/>
    <col min="14593" max="14593" width="10.7109375" style="9" customWidth="1"/>
    <col min="14594" max="14596" width="10.7109375" style="9"/>
    <col min="14597" max="14612" width="10.7109375" style="9" customWidth="1"/>
    <col min="14613" max="14613" width="10.7109375" style="9"/>
    <col min="14614" max="14614" width="10.7109375" style="9" customWidth="1"/>
    <col min="14615" max="14615" width="10.7109375" style="9"/>
    <col min="14616" max="14616" width="10.7109375" style="9" customWidth="1"/>
    <col min="14617" max="14617" width="10.7109375" style="9"/>
    <col min="14618" max="14621" width="10.7109375" style="9" customWidth="1"/>
    <col min="14622" max="14624" width="10.7109375" style="9"/>
    <col min="14625" max="14625" width="10.7109375" style="9" customWidth="1"/>
    <col min="14626" max="14630" width="10.7109375" style="9"/>
    <col min="14631" max="14632" width="10.7109375" style="9" customWidth="1"/>
    <col min="14633" max="14633" width="10.7109375" style="9"/>
    <col min="14634" max="14636" width="10.7109375" style="9" customWidth="1"/>
    <col min="14637" max="14637" width="10.7109375" style="9"/>
    <col min="14638" max="14660" width="10.7109375" style="9" customWidth="1"/>
    <col min="14661" max="14662" width="10.7109375" style="9"/>
    <col min="14663" max="14664" width="10.7109375" style="9" customWidth="1"/>
    <col min="14665" max="14665" width="10.7109375" style="9"/>
    <col min="14666" max="14668" width="10.7109375" style="9" customWidth="1"/>
    <col min="14669" max="14669" width="10.7109375" style="9"/>
    <col min="14670" max="14707" width="10.7109375" style="9" customWidth="1"/>
    <col min="14708" max="14708" width="10.7109375" style="9"/>
    <col min="14709" max="14744" width="10.7109375" style="9" customWidth="1"/>
    <col min="14745" max="14745" width="10.7109375" style="9"/>
    <col min="14746" max="14746" width="10.7109375" style="9" customWidth="1"/>
    <col min="14747" max="14747" width="10.7109375" style="9"/>
    <col min="14748" max="14752" width="10.7109375" style="9" customWidth="1"/>
    <col min="14753" max="14753" width="10.7109375" style="9"/>
    <col min="14754" max="14754" width="10.7109375" style="9" customWidth="1"/>
    <col min="14755" max="14757" width="10.7109375" style="9"/>
    <col min="14758" max="14762" width="10.7109375" style="9" customWidth="1"/>
    <col min="14763" max="14763" width="10.7109375" style="9"/>
    <col min="14764" max="14776" width="10.7109375" style="9" customWidth="1"/>
    <col min="14777" max="14777" width="10.7109375" style="9"/>
    <col min="14778" max="14778" width="10.7109375" style="9" customWidth="1"/>
    <col min="14779" max="14779" width="10.7109375" style="9"/>
    <col min="14780" max="14784" width="10.7109375" style="9" customWidth="1"/>
    <col min="14785" max="14785" width="10.7109375" style="9"/>
    <col min="14786" max="14786" width="10.7109375" style="9" customWidth="1"/>
    <col min="14787" max="14789" width="10.7109375" style="9"/>
    <col min="14790" max="14794" width="10.7109375" style="9" customWidth="1"/>
    <col min="14795" max="14795" width="10.7109375" style="9"/>
    <col min="14796" max="14805" width="10.7109375" style="9" customWidth="1"/>
    <col min="14806" max="14807" width="10.7109375" style="9"/>
    <col min="14808" max="14833" width="10.7109375" style="9" customWidth="1"/>
    <col min="14834" max="14834" width="10.7109375" style="9"/>
    <col min="14835" max="14835" width="10.7109375" style="9" customWidth="1"/>
    <col min="14836" max="14836" width="10.7109375" style="9"/>
    <col min="14837" max="14839" width="10.7109375" style="9" customWidth="1"/>
    <col min="14840" max="14842" width="10.7109375" style="9"/>
    <col min="14843" max="14843" width="10.7109375" style="9" customWidth="1"/>
    <col min="14844" max="14845" width="10.7109375" style="9"/>
    <col min="14846" max="14846" width="10.7109375" style="9" customWidth="1"/>
    <col min="14847" max="14847" width="10.7109375" style="9"/>
    <col min="14848" max="14848" width="10.7109375" style="9" customWidth="1"/>
    <col min="14849" max="14851" width="10.7109375" style="9"/>
    <col min="14852" max="14853" width="10.7109375" style="9" customWidth="1"/>
    <col min="14854" max="14854" width="10.7109375" style="9"/>
    <col min="14855" max="14857" width="10.7109375" style="9" customWidth="1"/>
    <col min="14858" max="14858" width="10.7109375" style="9"/>
    <col min="14859" max="14859" width="10.7109375" style="9" customWidth="1"/>
    <col min="14860" max="14861" width="10.7109375" style="9"/>
    <col min="14862" max="14863" width="10.7109375" style="9" customWidth="1"/>
    <col min="14864" max="14864" width="10.7109375" style="9"/>
    <col min="14865" max="14876" width="10.7109375" style="9" customWidth="1"/>
    <col min="14877" max="14877" width="10.7109375" style="9"/>
    <col min="14878" max="14878" width="10.7109375" style="9" customWidth="1"/>
    <col min="14879" max="14880" width="10.7109375" style="9"/>
    <col min="14881" max="14882" width="10.7109375" style="9" customWidth="1"/>
    <col min="14883" max="14885" width="10.7109375" style="9"/>
    <col min="14886" max="14890" width="10.7109375" style="9" customWidth="1"/>
    <col min="14891" max="14891" width="10.7109375" style="9"/>
    <col min="14892" max="14899" width="10.7109375" style="9" customWidth="1"/>
    <col min="14900" max="14900" width="10.7109375" style="9"/>
    <col min="14901" max="14902" width="10.7109375" style="9" customWidth="1"/>
    <col min="14903" max="14903" width="10.7109375" style="9"/>
    <col min="14904" max="14905" width="10.7109375" style="9" customWidth="1"/>
    <col min="14906" max="14908" width="10.7109375" style="9"/>
    <col min="14909" max="14909" width="10.7109375" style="9" customWidth="1"/>
    <col min="14910" max="14910" width="10.7109375" style="9"/>
    <col min="14911" max="14911" width="10.7109375" style="9" customWidth="1"/>
    <col min="14912" max="14926" width="10.7109375" style="9"/>
    <col min="14927" max="14927" width="10.7109375" style="9" customWidth="1"/>
    <col min="14928" max="14929" width="10.7109375" style="9"/>
    <col min="14930" max="14931" width="10.7109375" style="9" customWidth="1"/>
    <col min="14932" max="14932" width="10.7109375" style="9"/>
    <col min="14933" max="14933" width="10.7109375" style="9" customWidth="1"/>
    <col min="14934" max="14934" width="10.7109375" style="9"/>
    <col min="14935" max="14935" width="10.7109375" style="9" customWidth="1"/>
    <col min="14936" max="14936" width="10.7109375" style="9"/>
    <col min="14937" max="14938" width="10.7109375" style="9" customWidth="1"/>
    <col min="14939" max="14941" width="10.7109375" style="9"/>
    <col min="14942" max="14942" width="10.7109375" style="9" customWidth="1"/>
    <col min="14943" max="14943" width="10.7109375" style="9"/>
    <col min="14944" max="14944" width="10.7109375" style="9" customWidth="1"/>
    <col min="14945" max="14947" width="10.7109375" style="9"/>
    <col min="14948" max="14949" width="10.7109375" style="9" customWidth="1"/>
    <col min="14950" max="14950" width="10.7109375" style="9"/>
    <col min="14951" max="14953" width="10.7109375" style="9" customWidth="1"/>
    <col min="14954" max="14954" width="10.7109375" style="9"/>
    <col min="14955" max="14955" width="10.7109375" style="9" customWidth="1"/>
    <col min="14956" max="14957" width="10.7109375" style="9"/>
    <col min="14958" max="14959" width="10.7109375" style="9" customWidth="1"/>
    <col min="14960" max="14960" width="10.7109375" style="9"/>
    <col min="14961" max="14972" width="10.7109375" style="9" customWidth="1"/>
    <col min="14973" max="14973" width="10.7109375" style="9"/>
    <col min="14974" max="14974" width="10.7109375" style="9" customWidth="1"/>
    <col min="14975" max="14976" width="10.7109375" style="9"/>
    <col min="14977" max="14978" width="10.7109375" style="9" customWidth="1"/>
    <col min="14979" max="14981" width="10.7109375" style="9"/>
    <col min="14982" max="14986" width="10.7109375" style="9" customWidth="1"/>
    <col min="14987" max="14987" width="10.7109375" style="9"/>
    <col min="14988" max="14996" width="10.7109375" style="9" customWidth="1"/>
    <col min="14997" max="14998" width="10.7109375" style="9"/>
    <col min="14999" max="14999" width="10.7109375" style="9" customWidth="1"/>
    <col min="15000" max="15001" width="10.7109375" style="9"/>
    <col min="15002" max="15004" width="10.7109375" style="9" customWidth="1"/>
    <col min="15005" max="15006" width="10.7109375" style="9"/>
    <col min="15007" max="15008" width="10.7109375" style="9" customWidth="1"/>
    <col min="15009" max="15009" width="10.7109375" style="9"/>
    <col min="15010" max="15010" width="10.7109375" style="9" customWidth="1"/>
    <col min="15011" max="15011" width="10.7109375" style="9"/>
    <col min="15012" max="15012" width="10.7109375" style="9" customWidth="1"/>
    <col min="15013" max="15014" width="10.7109375" style="9"/>
    <col min="15015" max="15018" width="10.7109375" style="9" customWidth="1"/>
    <col min="15019" max="15019" width="10.7109375" style="9"/>
    <col min="15020" max="15021" width="10.7109375" style="9" customWidth="1"/>
    <col min="15022" max="15023" width="10.7109375" style="9"/>
    <col min="15024" max="15029" width="10.7109375" style="9" customWidth="1"/>
    <col min="15030" max="15031" width="10.7109375" style="9"/>
    <col min="15032" max="15059" width="10.7109375" style="9" customWidth="1"/>
    <col min="15060" max="15061" width="10.7109375" style="9"/>
    <col min="15062" max="15063" width="10.7109375" style="9" customWidth="1"/>
    <col min="15064" max="15064" width="10.7109375" style="9"/>
    <col min="15065" max="15065" width="10.7109375" style="9" customWidth="1"/>
    <col min="15066" max="15066" width="10.7109375" style="9"/>
    <col min="15067" max="15068" width="10.7109375" style="9" customWidth="1"/>
    <col min="15069" max="15070" width="10.7109375" style="9"/>
    <col min="15071" max="15071" width="10.7109375" style="9" customWidth="1"/>
    <col min="15072" max="15072" width="10.7109375" style="9"/>
    <col min="15073" max="15073" width="10.7109375" style="9" customWidth="1"/>
    <col min="15074" max="15075" width="10.7109375" style="9"/>
    <col min="15076" max="15076" width="10.7109375" style="9" customWidth="1"/>
    <col min="15077" max="15077" width="10.7109375" style="9"/>
    <col min="15078" max="15080" width="10.7109375" style="9" customWidth="1"/>
    <col min="15081" max="15081" width="10.7109375" style="9"/>
    <col min="15082" max="15085" width="10.7109375" style="9" customWidth="1"/>
    <col min="15086" max="15086" width="10.7109375" style="9"/>
    <col min="15087" max="15087" width="10.7109375" style="9" customWidth="1"/>
    <col min="15088" max="15088" width="10.7109375" style="9"/>
    <col min="15089" max="15092" width="10.7109375" style="9" customWidth="1"/>
    <col min="15093" max="15094" width="10.7109375" style="9"/>
    <col min="15095" max="15095" width="10.7109375" style="9" customWidth="1"/>
    <col min="15096" max="15098" width="10.7109375" style="9"/>
    <col min="15099" max="15099" width="10.7109375" style="9" customWidth="1"/>
    <col min="15100" max="15100" width="10.7109375" style="9"/>
    <col min="15101" max="15101" width="10.7109375" style="9" customWidth="1"/>
    <col min="15102" max="15103" width="10.7109375" style="9"/>
    <col min="15104" max="15105" width="10.7109375" style="9" customWidth="1"/>
    <col min="15106" max="15106" width="10.7109375" style="9"/>
    <col min="15107" max="15108" width="10.7109375" style="9" customWidth="1"/>
    <col min="15109" max="15109" width="10.7109375" style="9"/>
    <col min="15110" max="15113" width="10.7109375" style="9" customWidth="1"/>
    <col min="15114" max="15114" width="10.7109375" style="9"/>
    <col min="15115" max="15116" width="10.7109375" style="9" customWidth="1"/>
    <col min="15117" max="15117" width="10.7109375" style="9"/>
    <col min="15118" max="15123" width="10.7109375" style="9" customWidth="1"/>
    <col min="15124" max="15129" width="10.7109375" style="9"/>
    <col min="15130" max="15130" width="10.7109375" style="9" customWidth="1"/>
    <col min="15131" max="15134" width="10.7109375" style="9"/>
    <col min="15135" max="15135" width="10.7109375" style="9" customWidth="1"/>
    <col min="15136" max="15139" width="10.7109375" style="9"/>
    <col min="15140" max="15141" width="10.7109375" style="9" customWidth="1"/>
    <col min="15142" max="15142" width="10.7109375" style="9"/>
    <col min="15143" max="15145" width="10.7109375" style="9" customWidth="1"/>
    <col min="15146" max="15146" width="10.7109375" style="9"/>
    <col min="15147" max="15147" width="10.7109375" style="9" customWidth="1"/>
    <col min="15148" max="15149" width="10.7109375" style="9"/>
    <col min="15150" max="15151" width="10.7109375" style="9" customWidth="1"/>
    <col min="15152" max="15152" width="10.7109375" style="9"/>
    <col min="15153" max="15155" width="10.7109375" style="9" customWidth="1"/>
    <col min="15156" max="15156" width="10.7109375" style="9"/>
    <col min="15157" max="15158" width="10.7109375" style="9" customWidth="1"/>
    <col min="15159" max="15159" width="10.7109375" style="9"/>
    <col min="15160" max="15161" width="10.7109375" style="9" customWidth="1"/>
    <col min="15162" max="15164" width="10.7109375" style="9"/>
    <col min="15165" max="15165" width="10.7109375" style="9" customWidth="1"/>
    <col min="15166" max="15166" width="10.7109375" style="9"/>
    <col min="15167" max="15167" width="10.7109375" style="9" customWidth="1"/>
    <col min="15168" max="15182" width="10.7109375" style="9"/>
    <col min="15183" max="15183" width="10.7109375" style="9" customWidth="1"/>
    <col min="15184" max="15184" width="10.7109375" style="9"/>
    <col min="15185" max="15185" width="10.7109375" style="9" customWidth="1"/>
    <col min="15186" max="15189" width="10.7109375" style="9"/>
    <col min="15190" max="15193" width="10.7109375" style="9" customWidth="1"/>
    <col min="15194" max="15198" width="10.7109375" style="9"/>
    <col min="15199" max="15199" width="10.7109375" style="9" customWidth="1"/>
    <col min="15200" max="15203" width="10.7109375" style="9"/>
    <col min="15204" max="15205" width="10.7109375" style="9" customWidth="1"/>
    <col min="15206" max="15206" width="10.7109375" style="9"/>
    <col min="15207" max="15209" width="10.7109375" style="9" customWidth="1"/>
    <col min="15210" max="15210" width="10.7109375" style="9"/>
    <col min="15211" max="15211" width="10.7109375" style="9" customWidth="1"/>
    <col min="15212" max="15213" width="10.7109375" style="9"/>
    <col min="15214" max="15215" width="10.7109375" style="9" customWidth="1"/>
    <col min="15216" max="15216" width="10.7109375" style="9"/>
    <col min="15217" max="15228" width="10.7109375" style="9" customWidth="1"/>
    <col min="15229" max="15229" width="10.7109375" style="9"/>
    <col min="15230" max="15230" width="10.7109375" style="9" customWidth="1"/>
    <col min="15231" max="15232" width="10.7109375" style="9"/>
    <col min="15233" max="15234" width="10.7109375" style="9" customWidth="1"/>
    <col min="15235" max="15237" width="10.7109375" style="9"/>
    <col min="15238" max="15242" width="10.7109375" style="9" customWidth="1"/>
    <col min="15243" max="15243" width="10.7109375" style="9"/>
    <col min="15244" max="15252" width="10.7109375" style="9" customWidth="1"/>
    <col min="15253" max="15254" width="10.7109375" style="9"/>
    <col min="15255" max="15255" width="10.7109375" style="9" customWidth="1"/>
    <col min="15256" max="15258" width="10.7109375" style="9"/>
    <col min="15259" max="15260" width="10.7109375" style="9" customWidth="1"/>
    <col min="15261" max="15262" width="10.7109375" style="9"/>
    <col min="15263" max="15266" width="10.7109375" style="9" customWidth="1"/>
    <col min="15267" max="15267" width="10.7109375" style="9"/>
    <col min="15268" max="15268" width="10.7109375" style="9" customWidth="1"/>
    <col min="15269" max="15270" width="10.7109375" style="9"/>
    <col min="15271" max="15272" width="10.7109375" style="9" customWidth="1"/>
    <col min="15273" max="15275" width="10.7109375" style="9"/>
    <col min="15276" max="15276" width="10.7109375" style="9" customWidth="1"/>
    <col min="15277" max="15278" width="10.7109375" style="9"/>
    <col min="15279" max="15283" width="10.7109375" style="9" customWidth="1"/>
    <col min="15284" max="15285" width="10.7109375" style="9"/>
    <col min="15286" max="15286" width="10.7109375" style="9" customWidth="1"/>
    <col min="15287" max="15287" width="10.7109375" style="9"/>
    <col min="15288" max="15289" width="10.7109375" style="9" customWidth="1"/>
    <col min="15290" max="15292" width="10.7109375" style="9"/>
    <col min="15293" max="15293" width="10.7109375" style="9" customWidth="1"/>
    <col min="15294" max="15294" width="10.7109375" style="9"/>
    <col min="15295" max="15295" width="10.7109375" style="9" customWidth="1"/>
    <col min="15296" max="15310" width="10.7109375" style="9"/>
    <col min="15311" max="15311" width="10.7109375" style="9" customWidth="1"/>
    <col min="15312" max="15313" width="10.7109375" style="9"/>
    <col min="15314" max="15314" width="10.7109375" style="9" customWidth="1"/>
    <col min="15315" max="15315" width="10.7109375" style="9"/>
    <col min="15316" max="15316" width="10.7109375" style="9" customWidth="1"/>
    <col min="15317" max="15317" width="10.7109375" style="9"/>
    <col min="15318" max="15318" width="10.7109375" style="9" customWidth="1"/>
    <col min="15319" max="15325" width="10.7109375" style="9"/>
    <col min="15326" max="15326" width="10.7109375" style="9" customWidth="1"/>
    <col min="15327" max="15329" width="10.7109375" style="9"/>
    <col min="15330" max="15334" width="10.7109375" style="9" customWidth="1"/>
    <col min="15335" max="15338" width="10.7109375" style="9"/>
    <col min="15339" max="15339" width="10.7109375" style="9" customWidth="1"/>
    <col min="15340" max="15341" width="10.7109375" style="9"/>
    <col min="15342" max="15343" width="10.7109375" style="9" customWidth="1"/>
    <col min="15344" max="15344" width="10.7109375" style="9"/>
    <col min="15345" max="15353" width="10.7109375" style="9" customWidth="1"/>
    <col min="15354" max="15354" width="10.7109375" style="9"/>
    <col min="15355" max="15370" width="10.7109375" style="9" customWidth="1"/>
    <col min="15371" max="15371" width="10.7109375" style="9"/>
    <col min="15372" max="15372" width="10.7109375" style="9" customWidth="1"/>
    <col min="15373" max="15373" width="10.7109375" style="9"/>
    <col min="15374" max="15374" width="10.7109375" style="9" customWidth="1"/>
    <col min="15375" max="15376" width="10.7109375" style="9"/>
    <col min="15377" max="15385" width="10.7109375" style="9" customWidth="1"/>
    <col min="15386" max="15386" width="10.7109375" style="9"/>
    <col min="15387" max="15400" width="10.7109375" style="9" customWidth="1"/>
    <col min="15401" max="15402" width="10.7109375" style="9"/>
    <col min="15403" max="15404" width="10.7109375" style="9" customWidth="1"/>
    <col min="15405" max="15405" width="10.7109375" style="9"/>
    <col min="15406" max="15406" width="10.7109375" style="9" customWidth="1"/>
    <col min="15407" max="15408" width="10.7109375" style="9"/>
    <col min="15409" max="15410" width="10.7109375" style="9" customWidth="1"/>
    <col min="15411" max="15411" width="10.7109375" style="9"/>
    <col min="15412" max="15415" width="10.7109375" style="9" customWidth="1"/>
    <col min="15416" max="15419" width="10.7109375" style="9"/>
    <col min="15420" max="15420" width="10.7109375" style="9" customWidth="1"/>
    <col min="15421" max="15423" width="10.7109375" style="9"/>
    <col min="15424" max="15424" width="10.7109375" style="9" customWidth="1"/>
    <col min="15425" max="15425" width="10.7109375" style="9"/>
    <col min="15426" max="15428" width="10.7109375" style="9" customWidth="1"/>
    <col min="15429" max="15429" width="10.7109375" style="9"/>
    <col min="15430" max="15430" width="10.7109375" style="9" customWidth="1"/>
    <col min="15431" max="15431" width="10.7109375" style="9"/>
    <col min="15432" max="15434" width="10.7109375" style="9" customWidth="1"/>
    <col min="15435" max="15435" width="10.7109375" style="9"/>
    <col min="15436" max="15440" width="10.7109375" style="9" customWidth="1"/>
    <col min="15441" max="15442" width="10.7109375" style="9"/>
    <col min="15443" max="15443" width="10.7109375" style="9" customWidth="1"/>
    <col min="15444" max="15449" width="10.7109375" style="9"/>
    <col min="15450" max="15451" width="10.7109375" style="9" customWidth="1"/>
    <col min="15452" max="15452" width="10.7109375" style="9"/>
    <col min="15453" max="15453" width="10.7109375" style="9" customWidth="1"/>
    <col min="15454" max="15455" width="10.7109375" style="9"/>
    <col min="15456" max="15459" width="10.7109375" style="9" customWidth="1"/>
    <col min="15460" max="15460" width="10.7109375" style="9"/>
    <col min="15461" max="15462" width="10.7109375" style="9" customWidth="1"/>
    <col min="15463" max="15463" width="10.7109375" style="9"/>
    <col min="15464" max="15464" width="10.7109375" style="9" customWidth="1"/>
    <col min="15465" max="15465" width="10.7109375" style="9"/>
    <col min="15466" max="15477" width="10.7109375" style="9" customWidth="1"/>
    <col min="15478" max="15479" width="10.7109375" style="9"/>
    <col min="15480" max="15480" width="10.7109375" style="9" customWidth="1"/>
    <col min="15481" max="15483" width="10.7109375" style="9"/>
    <col min="15484" max="15484" width="10.7109375" style="9" customWidth="1"/>
    <col min="15485" max="15487" width="10.7109375" style="9"/>
    <col min="15488" max="15488" width="10.7109375" style="9" customWidth="1"/>
    <col min="15489" max="15489" width="10.7109375" style="9"/>
    <col min="15490" max="15492" width="10.7109375" style="9" customWidth="1"/>
    <col min="15493" max="15493" width="10.7109375" style="9"/>
    <col min="15494" max="15494" width="10.7109375" style="9" customWidth="1"/>
    <col min="15495" max="15495" width="10.7109375" style="9"/>
    <col min="15496" max="15498" width="10.7109375" style="9" customWidth="1"/>
    <col min="15499" max="15499" width="10.7109375" style="9"/>
    <col min="15500" max="15509" width="10.7109375" style="9" customWidth="1"/>
    <col min="15510" max="15511" width="10.7109375" style="9"/>
    <col min="15512" max="15539" width="10.7109375" style="9" customWidth="1"/>
    <col min="15540" max="15543" width="10.7109375" style="9"/>
    <col min="15544" max="15545" width="10.7109375" style="9" customWidth="1"/>
    <col min="15546" max="15548" width="10.7109375" style="9"/>
    <col min="15549" max="15549" width="10.7109375" style="9" customWidth="1"/>
    <col min="15550" max="15550" width="10.7109375" style="9"/>
    <col min="15551" max="15551" width="10.7109375" style="9" customWidth="1"/>
    <col min="15552" max="15566" width="10.7109375" style="9"/>
    <col min="15567" max="15567" width="10.7109375" style="9" customWidth="1"/>
    <col min="15568" max="15568" width="10.7109375" style="9"/>
    <col min="15569" max="15571" width="10.7109375" style="9" customWidth="1"/>
    <col min="15572" max="15573" width="10.7109375" style="9"/>
    <col min="15574" max="15574" width="10.7109375" style="9" customWidth="1"/>
    <col min="15575" max="15575" width="10.7109375" style="9"/>
    <col min="15576" max="15577" width="10.7109375" style="9" customWidth="1"/>
    <col min="15578" max="15578" width="10.7109375" style="9"/>
    <col min="15579" max="15579" width="10.7109375" style="9" customWidth="1"/>
    <col min="15580" max="15580" width="10.7109375" style="9"/>
    <col min="15581" max="15581" width="10.7109375" style="9" customWidth="1"/>
    <col min="15582" max="15583" width="10.7109375" style="9"/>
    <col min="15584" max="15587" width="10.7109375" style="9" customWidth="1"/>
    <col min="15588" max="15588" width="10.7109375" style="9"/>
    <col min="15589" max="15590" width="10.7109375" style="9" customWidth="1"/>
    <col min="15591" max="15591" width="10.7109375" style="9"/>
    <col min="15592" max="15592" width="10.7109375" style="9" customWidth="1"/>
    <col min="15593" max="15593" width="10.7109375" style="9"/>
    <col min="15594" max="15600" width="10.7109375" style="9" customWidth="1"/>
    <col min="15601" max="15664" width="10.7109375" style="9"/>
    <col min="15665" max="15668" width="10.7109375" style="9" customWidth="1"/>
    <col min="15669" max="15671" width="10.7109375" style="9"/>
    <col min="15672" max="15673" width="10.7109375" style="9" customWidth="1"/>
    <col min="15674" max="15675" width="10.7109375" style="9"/>
    <col min="15676" max="15679" width="10.7109375" style="9" customWidth="1"/>
    <col min="15680" max="15680" width="10.7109375" style="9"/>
    <col min="15681" max="15681" width="10.7109375" style="9" customWidth="1"/>
    <col min="15682" max="15683" width="10.7109375" style="9"/>
    <col min="15684" max="15684" width="10.7109375" style="9" customWidth="1"/>
    <col min="15685" max="15685" width="10.7109375" style="9"/>
    <col min="15686" max="15688" width="10.7109375" style="9" customWidth="1"/>
    <col min="15689" max="15689" width="10.7109375" style="9"/>
    <col min="15690" max="15693" width="10.7109375" style="9" customWidth="1"/>
    <col min="15694" max="15694" width="10.7109375" style="9"/>
    <col min="15695" max="15695" width="10.7109375" style="9" customWidth="1"/>
    <col min="15696" max="15696" width="10.7109375" style="9"/>
    <col min="15697" max="15698" width="10.7109375" style="9" customWidth="1"/>
    <col min="15699" max="15699" width="10.7109375" style="9"/>
    <col min="15700" max="15702" width="10.7109375" style="9" customWidth="1"/>
    <col min="15703" max="15703" width="10.7109375" style="9"/>
    <col min="15704" max="15705" width="10.7109375" style="9" customWidth="1"/>
    <col min="15706" max="15707" width="10.7109375" style="9"/>
    <col min="15708" max="15711" width="10.7109375" style="9" customWidth="1"/>
    <col min="15712" max="15712" width="10.7109375" style="9"/>
    <col min="15713" max="15713" width="10.7109375" style="9" customWidth="1"/>
    <col min="15714" max="15715" width="10.7109375" style="9"/>
    <col min="15716" max="15716" width="10.7109375" style="9" customWidth="1"/>
    <col min="15717" max="15717" width="10.7109375" style="9"/>
    <col min="15718" max="15720" width="10.7109375" style="9" customWidth="1"/>
    <col min="15721" max="15721" width="10.7109375" style="9"/>
    <col min="15722" max="15725" width="10.7109375" style="9" customWidth="1"/>
    <col min="15726" max="15726" width="10.7109375" style="9"/>
    <col min="15727" max="15727" width="10.7109375" style="9" customWidth="1"/>
    <col min="15728" max="15735" width="10.7109375" style="9"/>
    <col min="15736" max="15739" width="10.7109375" style="9" customWidth="1"/>
    <col min="15740" max="15740" width="10.7109375" style="9"/>
    <col min="15741" max="15743" width="10.7109375" style="9" customWidth="1"/>
    <col min="15744" max="15744" width="10.7109375" style="9"/>
    <col min="15745" max="15745" width="10.7109375" style="9" customWidth="1"/>
    <col min="15746" max="15748" width="10.7109375" style="9"/>
    <col min="15749" max="15749" width="10.7109375" style="9" customWidth="1"/>
    <col min="15750" max="15750" width="10.7109375" style="9"/>
    <col min="15751" max="15751" width="10.7109375" style="9" customWidth="1"/>
    <col min="15752" max="15754" width="10.7109375" style="9"/>
    <col min="15755" max="15755" width="10.7109375" style="9" customWidth="1"/>
    <col min="15756" max="15760" width="10.7109375" style="9"/>
    <col min="15761" max="15762" width="10.7109375" style="9" customWidth="1"/>
    <col min="15763" max="15763" width="10.7109375" style="9"/>
    <col min="15764" max="15764" width="10.7109375" style="9" customWidth="1"/>
    <col min="15765" max="15765" width="10.7109375" style="9"/>
    <col min="15766" max="15767" width="10.7109375" style="9" customWidth="1"/>
    <col min="15768" max="15769" width="10.7109375" style="9"/>
    <col min="15770" max="15772" width="10.7109375" style="9" customWidth="1"/>
    <col min="15773" max="15776" width="10.7109375" style="9"/>
    <col min="15777" max="15777" width="10.7109375" style="9" customWidth="1"/>
    <col min="15778" max="15779" width="10.7109375" style="9"/>
    <col min="15780" max="15780" width="10.7109375" style="9" customWidth="1"/>
    <col min="15781" max="15781" width="10.7109375" style="9"/>
    <col min="15782" max="15784" width="10.7109375" style="9" customWidth="1"/>
    <col min="15785" max="15785" width="10.7109375" style="9"/>
    <col min="15786" max="15789" width="10.7109375" style="9" customWidth="1"/>
    <col min="15790" max="15790" width="10.7109375" style="9"/>
    <col min="15791" max="15791" width="10.7109375" style="9" customWidth="1"/>
    <col min="15792" max="15792" width="10.7109375" style="9"/>
    <col min="15793" max="15796" width="10.7109375" style="9" customWidth="1"/>
    <col min="15797" max="15797" width="10.7109375" style="9"/>
    <col min="15798" max="15799" width="10.7109375" style="9" customWidth="1"/>
    <col min="15800" max="15800" width="10.7109375" style="9"/>
    <col min="15801" max="15802" width="10.7109375" style="9" customWidth="1"/>
    <col min="15803" max="15803" width="10.7109375" style="9"/>
    <col min="15804" max="15805" width="10.7109375" style="9" customWidth="1"/>
    <col min="15806" max="15807" width="10.7109375" style="9"/>
    <col min="15808" max="15809" width="10.7109375" style="9" customWidth="1"/>
    <col min="15810" max="15811" width="10.7109375" style="9"/>
    <col min="15812" max="15812" width="10.7109375" style="9" customWidth="1"/>
    <col min="15813" max="15813" width="10.7109375" style="9"/>
    <col min="15814" max="15816" width="10.7109375" style="9" customWidth="1"/>
    <col min="15817" max="15817" width="10.7109375" style="9"/>
    <col min="15818" max="15821" width="10.7109375" style="9" customWidth="1"/>
    <col min="15822" max="15822" width="10.7109375" style="9"/>
    <col min="15823" max="15823" width="10.7109375" style="9" customWidth="1"/>
    <col min="15824" max="15824" width="10.7109375" style="9"/>
    <col min="15825" max="15857" width="10.7109375" style="9" customWidth="1"/>
    <col min="15858" max="15858" width="10.7109375" style="9"/>
    <col min="15859" max="15889" width="10.7109375" style="9" customWidth="1"/>
    <col min="15890" max="15896" width="10.7109375" style="9"/>
    <col min="15897" max="15898" width="10.7109375" style="9" customWidth="1"/>
    <col min="15899" max="15901" width="10.7109375" style="9"/>
    <col min="15902" max="15902" width="10.7109375" style="9" customWidth="1"/>
    <col min="15903" max="15905" width="10.7109375" style="9"/>
    <col min="15906" max="15910" width="10.7109375" style="9" customWidth="1"/>
    <col min="15911" max="15914" width="10.7109375" style="9"/>
    <col min="15915" max="15915" width="10.7109375" style="9" customWidth="1"/>
    <col min="15916" max="15917" width="10.7109375" style="9"/>
    <col min="15918" max="15919" width="10.7109375" style="9" customWidth="1"/>
    <col min="15920" max="15920" width="10.7109375" style="9"/>
    <col min="15921" max="15924" width="10.7109375" style="9" customWidth="1"/>
    <col min="15925" max="15925" width="10.7109375" style="9"/>
    <col min="15926" max="15926" width="10.7109375" style="9" customWidth="1"/>
    <col min="15927" max="15927" width="10.7109375" style="9"/>
    <col min="15928" max="15928" width="10.7109375" style="9" customWidth="1"/>
    <col min="15929" max="15929" width="10.7109375" style="9"/>
    <col min="15930" max="15930" width="10.7109375" style="9" customWidth="1"/>
    <col min="15931" max="15931" width="10.7109375" style="9"/>
    <col min="15932" max="15935" width="10.7109375" style="9" customWidth="1"/>
    <col min="15936" max="15936" width="10.7109375" style="9"/>
    <col min="15937" max="15937" width="10.7109375" style="9" customWidth="1"/>
    <col min="15938" max="15939" width="10.7109375" style="9"/>
    <col min="15940" max="15940" width="10.7109375" style="9" customWidth="1"/>
    <col min="15941" max="15941" width="10.7109375" style="9"/>
    <col min="15942" max="15944" width="10.7109375" style="9" customWidth="1"/>
    <col min="15945" max="15945" width="10.7109375" style="9"/>
    <col min="15946" max="15949" width="10.7109375" style="9" customWidth="1"/>
    <col min="15950" max="15950" width="10.7109375" style="9"/>
    <col min="15951" max="15951" width="10.7109375" style="9" customWidth="1"/>
    <col min="15952" max="15952" width="10.7109375" style="9"/>
    <col min="15953" max="15956" width="10.7109375" style="9" customWidth="1"/>
    <col min="15957" max="15958" width="10.7109375" style="9"/>
    <col min="15959" max="15959" width="10.7109375" style="9" customWidth="1"/>
    <col min="15960" max="15962" width="10.7109375" style="9"/>
    <col min="15963" max="15963" width="10.7109375" style="9" customWidth="1"/>
    <col min="15964" max="15964" width="10.7109375" style="9"/>
    <col min="15965" max="15965" width="10.7109375" style="9" customWidth="1"/>
    <col min="15966" max="15967" width="10.7109375" style="9"/>
    <col min="15968" max="15969" width="10.7109375" style="9" customWidth="1"/>
    <col min="15970" max="15970" width="10.7109375" style="9"/>
    <col min="15971" max="15972" width="10.7109375" style="9" customWidth="1"/>
    <col min="15973" max="15973" width="10.7109375" style="9"/>
    <col min="15974" max="15977" width="10.7109375" style="9" customWidth="1"/>
    <col min="15978" max="15978" width="10.7109375" style="9"/>
    <col min="15979" max="15980" width="10.7109375" style="9" customWidth="1"/>
    <col min="15981" max="15981" width="10.7109375" style="9"/>
    <col min="15982" max="15991" width="10.7109375" style="9" customWidth="1"/>
    <col min="15992" max="15995" width="10.7109375" style="9"/>
    <col min="15996" max="15996" width="10.7109375" style="9" customWidth="1"/>
    <col min="15997" max="15999" width="10.7109375" style="9"/>
    <col min="16000" max="16000" width="10.7109375" style="9" customWidth="1"/>
    <col min="16001" max="16001" width="10.7109375" style="9"/>
    <col min="16002" max="16004" width="10.7109375" style="9" customWidth="1"/>
    <col min="16005" max="16005" width="10.7109375" style="9"/>
    <col min="16006" max="16006" width="10.7109375" style="9" customWidth="1"/>
    <col min="16007" max="16007" width="10.7109375" style="9"/>
    <col min="16008" max="16010" width="10.7109375" style="9" customWidth="1"/>
    <col min="16011" max="16011" width="10.7109375" style="9"/>
    <col min="16012" max="16032" width="10.7109375" style="9" customWidth="1"/>
    <col min="16033" max="16033" width="10.7109375" style="9"/>
    <col min="16034" max="16038" width="10.7109375" style="9" customWidth="1"/>
    <col min="16039" max="16042" width="10.7109375" style="9"/>
    <col min="16043" max="16043" width="10.7109375" style="9" customWidth="1"/>
    <col min="16044" max="16045" width="10.7109375" style="9"/>
    <col min="16046" max="16047" width="10.7109375" style="9" customWidth="1"/>
    <col min="16048" max="16048" width="10.7109375" style="9"/>
    <col min="16049" max="16051" width="10.7109375" style="9" customWidth="1"/>
    <col min="16052" max="16056" width="10.7109375" style="9"/>
    <col min="16057" max="16057" width="10.7109375" style="9" customWidth="1"/>
    <col min="16058" max="16060" width="10.7109375" style="9"/>
    <col min="16061" max="16061" width="10.7109375" style="9" customWidth="1"/>
    <col min="16062" max="16062" width="10.7109375" style="9"/>
    <col min="16063" max="16063" width="10.7109375" style="9" customWidth="1"/>
    <col min="16064" max="16078" width="10.7109375" style="9"/>
    <col min="16079" max="16079" width="10.7109375" style="9" customWidth="1"/>
    <col min="16080" max="16080" width="10.7109375" style="9"/>
    <col min="16081" max="16083" width="10.7109375" style="9" customWidth="1"/>
    <col min="16084" max="16085" width="10.7109375" style="9"/>
    <col min="16086" max="16086" width="10.7109375" style="9" customWidth="1"/>
    <col min="16087" max="16087" width="10.7109375" style="9"/>
    <col min="16088" max="16090" width="10.7109375" style="9" customWidth="1"/>
    <col min="16091" max="16091" width="10.7109375" style="9"/>
    <col min="16092" max="16093" width="10.7109375" style="9" customWidth="1"/>
    <col min="16094" max="16097" width="10.7109375" style="9"/>
    <col min="16098" max="16102" width="10.7109375" style="9" customWidth="1"/>
    <col min="16103" max="16106" width="10.7109375" style="9"/>
    <col min="16107" max="16107" width="10.7109375" style="9" customWidth="1"/>
    <col min="16108" max="16109" width="10.7109375" style="9"/>
    <col min="16110" max="16111" width="10.7109375" style="9" customWidth="1"/>
    <col min="16112" max="16112" width="10.7109375" style="9"/>
    <col min="16113" max="16119" width="10.7109375" style="9" customWidth="1"/>
    <col min="16120" max="16123" width="10.7109375" style="9"/>
    <col min="16124" max="16124" width="10.7109375" style="9" customWidth="1"/>
    <col min="16125" max="16127" width="10.7109375" style="9"/>
    <col min="16128" max="16128" width="10.7109375" style="9" customWidth="1"/>
    <col min="16129" max="16129" width="10.7109375" style="9"/>
    <col min="16130" max="16132" width="10.7109375" style="9" customWidth="1"/>
    <col min="16133" max="16133" width="10.7109375" style="9"/>
    <col min="16134" max="16134" width="10.7109375" style="9" customWidth="1"/>
    <col min="16135" max="16135" width="10.7109375" style="9"/>
    <col min="16136" max="16138" width="10.7109375" style="9" customWidth="1"/>
    <col min="16139" max="16139" width="10.7109375" style="9"/>
    <col min="16140" max="16148" width="10.7109375" style="9" customWidth="1"/>
    <col min="16149" max="16150" width="10.7109375" style="9"/>
    <col min="16151" max="16151" width="10.7109375" style="9" customWidth="1"/>
    <col min="16152" max="16154" width="10.7109375" style="9"/>
    <col min="16155" max="16155" width="10.7109375" style="9" customWidth="1"/>
    <col min="16156" max="16156" width="10.7109375" style="9"/>
    <col min="16157" max="16157" width="10.7109375" style="9" customWidth="1"/>
    <col min="16158" max="16159" width="10.7109375" style="9"/>
    <col min="16160" max="16161" width="10.7109375" style="9" customWidth="1"/>
    <col min="16162" max="16162" width="10.7109375" style="9"/>
    <col min="16163" max="16164" width="10.7109375" style="9" customWidth="1"/>
    <col min="16165" max="16165" width="10.7109375" style="9"/>
    <col min="16166" max="16169" width="10.7109375" style="9" customWidth="1"/>
    <col min="16170" max="16170" width="10.7109375" style="9"/>
    <col min="16171" max="16172" width="10.7109375" style="9" customWidth="1"/>
    <col min="16173" max="16173" width="10.7109375" style="9"/>
    <col min="16174" max="16177" width="10.7109375" style="9" customWidth="1"/>
    <col min="16178" max="16179" width="10.7109375" style="9"/>
    <col min="16180" max="16180" width="10.7109375" style="9" customWidth="1"/>
    <col min="16181" max="16184" width="10.7109375" style="9"/>
    <col min="16185" max="16185" width="10.7109375" style="9" customWidth="1"/>
    <col min="16186" max="16186" width="10.7109375" style="9"/>
    <col min="16187" max="16188" width="10.7109375" style="9" customWidth="1"/>
    <col min="16189" max="16189" width="10.7109375" style="9"/>
    <col min="16190" max="16191" width="10.7109375" style="9" customWidth="1"/>
    <col min="16192" max="16192" width="10.7109375" style="9"/>
    <col min="16193" max="16193" width="10.7109375" style="9" customWidth="1"/>
    <col min="16194" max="16196" width="10.7109375" style="9"/>
    <col min="16197" max="16197" width="10.7109375" style="9" customWidth="1"/>
    <col min="16198" max="16198" width="10.7109375" style="9"/>
    <col min="16199" max="16199" width="10.7109375" style="9" customWidth="1"/>
    <col min="16200" max="16200" width="10.7109375" style="9"/>
    <col min="16201" max="16202" width="10.7109375" style="9" customWidth="1"/>
    <col min="16203" max="16203" width="10.7109375" style="9"/>
    <col min="16204" max="16205" width="10.7109375" style="9" customWidth="1"/>
    <col min="16206" max="16208" width="10.7109375" style="9"/>
    <col min="16209" max="16210" width="10.7109375" style="9" customWidth="1"/>
    <col min="16211" max="16211" width="10.7109375" style="9"/>
    <col min="16212" max="16215" width="10.7109375" style="9" customWidth="1"/>
    <col min="16216" max="16216" width="10.7109375" style="9"/>
    <col min="16217" max="16220" width="10.7109375" style="9" customWidth="1"/>
    <col min="16221" max="16221" width="10.7109375" style="9"/>
    <col min="16222" max="16222" width="10.7109375" style="9" customWidth="1"/>
    <col min="16223" max="16225" width="10.7109375" style="9"/>
    <col min="16226" max="16226" width="10.7109375" style="9" customWidth="1"/>
    <col min="16227" max="16227" width="10.7109375" style="9"/>
    <col min="16228" max="16228" width="10.7109375" style="9" customWidth="1"/>
    <col min="16229" max="16229" width="10.7109375" style="9"/>
    <col min="16230" max="16230" width="10.7109375" style="9" customWidth="1"/>
    <col min="16231" max="16231" width="10.7109375" style="9"/>
    <col min="16232" max="16237" width="10.7109375" style="9" customWidth="1"/>
    <col min="16238" max="16238" width="10.7109375" style="9"/>
    <col min="16239" max="16239" width="10.7109375" style="9" customWidth="1"/>
    <col min="16240" max="16240" width="10.7109375" style="9"/>
    <col min="16241" max="16241" width="10.7109375" style="9" customWidth="1"/>
    <col min="16242" max="16243" width="10.7109375" style="9"/>
    <col min="16244" max="16246" width="10.7109375" style="9" customWidth="1"/>
    <col min="16247" max="16248" width="10.7109375" style="9"/>
    <col min="16249" max="16252" width="10.7109375" style="9" customWidth="1"/>
    <col min="16253" max="16255" width="10.7109375" style="9"/>
    <col min="16256" max="16259" width="10.7109375" style="9" customWidth="1"/>
    <col min="16260" max="16264" width="10.7109375" style="9"/>
    <col min="16265" max="16268" width="10.7109375" style="9" customWidth="1"/>
    <col min="16269" max="16269" width="10.7109375" style="9"/>
    <col min="16270" max="16271" width="10.7109375" style="9" customWidth="1"/>
    <col min="16272" max="16272" width="10.7109375" style="9"/>
    <col min="16273" max="16276" width="10.7109375" style="9" customWidth="1"/>
    <col min="16277" max="16279" width="10.7109375" style="9"/>
    <col min="16280" max="16280" width="10.7109375" style="9" customWidth="1"/>
    <col min="16281" max="16284" width="10.7109375" style="9"/>
    <col min="16285" max="16285" width="10.7109375" style="9" customWidth="1"/>
    <col min="16286" max="16286" width="10.7109375" style="9"/>
    <col min="16287" max="16287" width="10.7109375" style="9" customWidth="1"/>
    <col min="16288" max="16302" width="10.7109375" style="9"/>
    <col min="16303" max="16303" width="10.7109375" style="9" customWidth="1"/>
    <col min="16304" max="16304" width="10.7109375" style="9"/>
    <col min="16305" max="16307" width="10.7109375" style="9" customWidth="1"/>
    <col min="16308" max="16308" width="10.7109375" style="9"/>
    <col min="16309" max="16310" width="10.7109375" style="9" customWidth="1"/>
    <col min="16311" max="16311" width="10.7109375" style="9"/>
    <col min="16312" max="16312" width="10.7109375" style="9" customWidth="1"/>
    <col min="16313" max="16316" width="10.7109375" style="9"/>
    <col min="16317" max="16317" width="10.7109375" style="9" customWidth="1"/>
    <col min="16318" max="16318" width="10.7109375" style="9"/>
    <col min="16319" max="16319" width="10.7109375" style="9" customWidth="1"/>
    <col min="16320" max="16334" width="10.7109375" style="9"/>
    <col min="16335" max="16335" width="10.7109375" style="9" customWidth="1"/>
    <col min="16336" max="16336" width="10.7109375" style="9"/>
    <col min="16337" max="16337" width="10.7109375" style="9" customWidth="1"/>
    <col min="16338" max="16338" width="10.7109375" style="9"/>
    <col min="16339" max="16340" width="10.7109375" style="9" customWidth="1"/>
    <col min="16341" max="16343" width="10.7109375" style="9"/>
    <col min="16344" max="16344" width="10.7109375" style="9" customWidth="1"/>
    <col min="16345" max="16346" width="10.7109375" style="9"/>
    <col min="16347" max="16348" width="10.7109375" style="9" customWidth="1"/>
    <col min="16349" max="16351" width="10.7109375" style="9"/>
    <col min="16352" max="16355" width="10.7109375" style="9" customWidth="1"/>
    <col min="16356" max="16360" width="10.7109375" style="9"/>
    <col min="16361" max="16364" width="10.7109375" style="9" customWidth="1"/>
    <col min="16365" max="16365" width="10.7109375" style="9"/>
    <col min="16366" max="16367" width="10.7109375" style="9" customWidth="1"/>
    <col min="16368" max="16368" width="10.7109375" style="9"/>
    <col min="16369" max="16372" width="10.7109375" style="9" customWidth="1"/>
    <col min="16373" max="16375" width="10.7109375" style="9"/>
    <col min="16376" max="16376" width="10.7109375" style="9" customWidth="1"/>
    <col min="16377" max="16380" width="10.7109375" style="9"/>
    <col min="16381" max="16381" width="10.7109375" style="9" customWidth="1"/>
    <col min="16382" max="16382" width="10.7109375" style="9"/>
    <col min="16383" max="16383" width="10.7109375" style="9" customWidth="1"/>
    <col min="16384" max="16384" width="10.7109375" style="9"/>
  </cols>
  <sheetData>
    <row r="1" spans="1:99" ht="14" thickBot="1">
      <c r="A1" s="120" t="s">
        <v>5355</v>
      </c>
      <c r="B1" s="236" t="s">
        <v>5356</v>
      </c>
      <c r="C1" s="121"/>
      <c r="D1" s="122" t="s">
        <v>5357</v>
      </c>
      <c r="E1" s="121" t="s">
        <v>5358</v>
      </c>
      <c r="F1" s="121"/>
      <c r="G1" s="123">
        <f>SUM($L$22:$L$58)+SUM($L$6:$L$11)+SUM($L$85:$L$94)+SUM($L$125:$L$130)+SUM($L$136:$L$171)+SUM($L$202:$L$226)+SUM($L$96:$L$123)-1900</f>
        <v>1092100</v>
      </c>
      <c r="H1" s="121" t="s">
        <v>5359</v>
      </c>
      <c r="I1" s="121"/>
      <c r="J1" s="124">
        <f>LOOKUP($B$3,$AJ$3:$AJ$19,$AK$3:$AK$19)</f>
        <v>3</v>
      </c>
      <c r="K1" s="125" t="s">
        <v>5360</v>
      </c>
      <c r="L1" s="10" t="s">
        <v>5361</v>
      </c>
      <c r="M1" s="1" t="s">
        <v>5362</v>
      </c>
      <c r="N1" s="1" t="s">
        <v>5363</v>
      </c>
      <c r="O1" s="1" t="s">
        <v>5364</v>
      </c>
      <c r="P1" s="2" t="s">
        <v>5362</v>
      </c>
      <c r="Q1" s="1" t="s">
        <v>5365</v>
      </c>
      <c r="R1" s="1" t="s">
        <v>5366</v>
      </c>
      <c r="S1" s="1" t="s">
        <v>5367</v>
      </c>
      <c r="T1" s="1" t="s">
        <v>5368</v>
      </c>
      <c r="U1" s="1" t="s">
        <v>5369</v>
      </c>
      <c r="V1" s="1" t="s">
        <v>5370</v>
      </c>
      <c r="W1" s="1" t="s">
        <v>5371</v>
      </c>
      <c r="X1" s="1" t="s">
        <v>5372</v>
      </c>
      <c r="Y1" s="1" t="s">
        <v>5373</v>
      </c>
      <c r="Z1" s="1" t="s">
        <v>5362</v>
      </c>
      <c r="AA1" s="1" t="s">
        <v>5364</v>
      </c>
      <c r="AC1" s="1" t="s">
        <v>5364</v>
      </c>
      <c r="AD1" s="1" t="s">
        <v>5374</v>
      </c>
      <c r="AE1" s="1"/>
      <c r="AF1" s="1" t="s">
        <v>5362</v>
      </c>
      <c r="AG1" s="1" t="s">
        <v>5363</v>
      </c>
      <c r="AH1" s="3" t="s">
        <v>5572</v>
      </c>
      <c r="AI1" s="231"/>
      <c r="AJ1" s="3" t="s">
        <v>5573</v>
      </c>
      <c r="AK1" s="12"/>
      <c r="AL1" s="12"/>
      <c r="AP1" s="4" t="s">
        <v>5574</v>
      </c>
      <c r="BA1" s="9" t="s">
        <v>5575</v>
      </c>
      <c r="BB1" s="78" t="s">
        <v>5576</v>
      </c>
      <c r="BE1" s="1" t="s">
        <v>5577</v>
      </c>
      <c r="BF1" s="1" t="s">
        <v>5362</v>
      </c>
      <c r="BG1" s="1" t="s">
        <v>5363</v>
      </c>
      <c r="BH1" s="3" t="s">
        <v>5572</v>
      </c>
      <c r="BK1" s="10"/>
      <c r="BL1" s="4" t="s">
        <v>5578</v>
      </c>
      <c r="BM1" s="4"/>
      <c r="BN1" s="4"/>
      <c r="BO1" s="4"/>
      <c r="BP1" s="4"/>
      <c r="BQ1" s="4"/>
      <c r="BW1" s="9" t="s">
        <v>5373</v>
      </c>
      <c r="CA1" s="120" t="s">
        <v>5355</v>
      </c>
      <c r="CB1" s="236"/>
      <c r="CC1" s="121"/>
      <c r="CD1" s="122"/>
      <c r="CE1" s="121" t="s">
        <v>5358</v>
      </c>
      <c r="CF1" s="121"/>
      <c r="CG1" s="123">
        <f>SUM($L$22:$L$58)+SUM($L$6:$L$11)+SUM($L$85:$L$94)+SUM($L$125:$L$130)+SUM($L$136:$L$171)+SUM($L$202:$L$226)+SUM($L$96:$L$123)-1900</f>
        <v>1092100</v>
      </c>
      <c r="CH1" s="121" t="s">
        <v>5359</v>
      </c>
      <c r="CI1" s="121"/>
      <c r="CJ1" s="124">
        <f>LOOKUP($B$3,$AJ$3:$AJ$19,$AK$3:$AK$19)</f>
        <v>3</v>
      </c>
      <c r="CK1" s="125" t="s">
        <v>5360</v>
      </c>
      <c r="CL1" s="10" t="s">
        <v>5361</v>
      </c>
      <c r="CP1" s="9" t="s">
        <v>5384</v>
      </c>
    </row>
    <row r="2" spans="1:99" ht="15" thickTop="1" thickBot="1">
      <c r="A2" s="126" t="s">
        <v>5385</v>
      </c>
      <c r="B2" s="26" t="s">
        <v>5386</v>
      </c>
      <c r="C2" s="21"/>
      <c r="D2" s="62">
        <v>9</v>
      </c>
      <c r="E2" s="21" t="s">
        <v>5387</v>
      </c>
      <c r="F2" s="21"/>
      <c r="G2" s="52">
        <f>LOOKUP($K$8,$AN$23:$AN$28,$AO$23:$AO$28)</f>
        <v>4</v>
      </c>
      <c r="H2" s="21" t="s">
        <v>5388</v>
      </c>
      <c r="I2" s="21"/>
      <c r="J2" s="52" t="str">
        <f>LOOKUP(J1,AC2:AC101,AD2:AD101)</f>
        <v>D4</v>
      </c>
      <c r="K2" s="127" t="s">
        <v>5389</v>
      </c>
      <c r="L2" s="9" t="s">
        <v>5373</v>
      </c>
      <c r="M2" s="9" t="s">
        <v>5390</v>
      </c>
      <c r="N2" s="10">
        <f t="shared" ref="N2:N7" si="0">E6</f>
        <v>16</v>
      </c>
      <c r="O2" s="10">
        <f>LOOKUP(N2,Z2:Z148,AA2:AA148)</f>
        <v>7</v>
      </c>
      <c r="P2" s="2" t="s">
        <v>5192</v>
      </c>
      <c r="Q2" s="1" t="s">
        <v>5395</v>
      </c>
      <c r="R2" s="1" t="s">
        <v>5584</v>
      </c>
      <c r="S2" s="1" t="s">
        <v>5585</v>
      </c>
      <c r="T2" s="1" t="s">
        <v>5363</v>
      </c>
      <c r="U2" s="1" t="s">
        <v>5586</v>
      </c>
      <c r="V2" s="1" t="s">
        <v>5363</v>
      </c>
      <c r="W2" s="1" t="s">
        <v>5587</v>
      </c>
      <c r="X2" s="1" t="s">
        <v>5588</v>
      </c>
      <c r="Z2" s="10">
        <v>1</v>
      </c>
      <c r="AA2" s="10">
        <v>2</v>
      </c>
      <c r="AC2" s="10">
        <v>1</v>
      </c>
      <c r="AD2" s="10" t="s">
        <v>5589</v>
      </c>
      <c r="AF2" s="9" t="s">
        <v>5590</v>
      </c>
      <c r="AG2" s="10">
        <f>A13</f>
        <v>14</v>
      </c>
      <c r="AH2" s="12">
        <f>LOOKUP(AG2,AF23:AF63,AG23:AG63)</f>
        <v>150</v>
      </c>
      <c r="AI2"/>
      <c r="AJ2" s="3" t="s">
        <v>5591</v>
      </c>
      <c r="AK2" s="3" t="s">
        <v>5592</v>
      </c>
      <c r="AL2" s="3" t="s">
        <v>5593</v>
      </c>
      <c r="AM2" s="4" t="s">
        <v>5594</v>
      </c>
      <c r="AN2" s="4" t="s">
        <v>5595</v>
      </c>
      <c r="AP2" s="3" t="s">
        <v>5591</v>
      </c>
      <c r="AQ2" s="1" t="s">
        <v>5390</v>
      </c>
      <c r="AR2" s="1" t="s">
        <v>5596</v>
      </c>
      <c r="AS2" s="1" t="s">
        <v>5597</v>
      </c>
      <c r="AT2" s="1" t="s">
        <v>5786</v>
      </c>
      <c r="AU2" s="1" t="s">
        <v>5787</v>
      </c>
      <c r="AV2" s="1" t="s">
        <v>5788</v>
      </c>
      <c r="AX2" s="1" t="s">
        <v>5366</v>
      </c>
      <c r="BA2" s="9" t="s">
        <v>5789</v>
      </c>
      <c r="BB2" s="185" t="s">
        <v>5790</v>
      </c>
      <c r="BE2" s="10"/>
      <c r="BF2" s="9" t="s">
        <v>5590</v>
      </c>
      <c r="BG2" s="12">
        <f>AG2</f>
        <v>14</v>
      </c>
      <c r="BH2" s="12">
        <f>LOOKUP(BG2,AF23:AF63,AG23:AG63)</f>
        <v>150</v>
      </c>
      <c r="BL2" s="1" t="s">
        <v>5591</v>
      </c>
      <c r="BM2" s="1" t="s">
        <v>5791</v>
      </c>
      <c r="BN2" s="1" t="s">
        <v>5792</v>
      </c>
      <c r="BO2" s="1" t="s">
        <v>5792</v>
      </c>
      <c r="BP2" s="1" t="s">
        <v>5792</v>
      </c>
      <c r="BQ2" s="1" t="s">
        <v>5792</v>
      </c>
      <c r="BR2" s="1" t="s">
        <v>5792</v>
      </c>
      <c r="BS2" s="1" t="s">
        <v>5792</v>
      </c>
      <c r="CA2" s="126" t="s">
        <v>5385</v>
      </c>
      <c r="CB2" s="26"/>
      <c r="CC2" s="21"/>
      <c r="CD2" s="62"/>
      <c r="CE2" s="21" t="s">
        <v>5387</v>
      </c>
      <c r="CF2" s="21"/>
      <c r="CG2" s="52">
        <f>LOOKUP($K$8,$AN$23:$AN$28,$AO$23:$AO$28)</f>
        <v>4</v>
      </c>
      <c r="CH2" s="21" t="s">
        <v>5388</v>
      </c>
      <c r="CI2" s="21"/>
      <c r="CJ2" s="52">
        <f>LOOKUP($B$3,$AJ$3:$AJ$19,$AL$3:$AL$19)</f>
        <v>10</v>
      </c>
      <c r="CK2" s="127" t="s">
        <v>5793</v>
      </c>
      <c r="CL2" s="9" t="s">
        <v>5373</v>
      </c>
      <c r="CP2" s="9" t="s">
        <v>5794</v>
      </c>
      <c r="CQ2" s="9" t="s">
        <v>5795</v>
      </c>
      <c r="CR2" s="9" t="s">
        <v>5796</v>
      </c>
      <c r="CS2" s="9" t="s">
        <v>5797</v>
      </c>
      <c r="CT2" s="9" t="s">
        <v>5798</v>
      </c>
      <c r="CU2" s="9" t="s">
        <v>5799</v>
      </c>
    </row>
    <row r="3" spans="1:99">
      <c r="A3" s="126" t="s">
        <v>5643</v>
      </c>
      <c r="B3" s="233" t="s">
        <v>5644</v>
      </c>
      <c r="C3" s="21" t="s">
        <v>5645</v>
      </c>
      <c r="D3" s="64">
        <f>D2/2</f>
        <v>4.5</v>
      </c>
      <c r="E3" s="21" t="s">
        <v>5646</v>
      </c>
      <c r="F3" s="21"/>
      <c r="G3" s="63">
        <f>$AH$13</f>
        <v>29358</v>
      </c>
      <c r="H3" s="21" t="s">
        <v>5450</v>
      </c>
      <c r="I3" s="21"/>
      <c r="J3" s="52">
        <f>LOOKUP($B$3,$AJ$3:$AJ$19,$AN$3:$AN$19)+$G$132</f>
        <v>20</v>
      </c>
      <c r="K3" s="127" t="s">
        <v>5451</v>
      </c>
      <c r="M3" s="9" t="s">
        <v>5596</v>
      </c>
      <c r="N3" s="10">
        <f t="shared" si="0"/>
        <v>22</v>
      </c>
      <c r="O3" s="10">
        <f>LOOKUP(N3,Z2:Z148,AA2:AA148)</f>
        <v>9</v>
      </c>
      <c r="P3" s="65">
        <v>1</v>
      </c>
      <c r="Q3" s="10">
        <v>2</v>
      </c>
      <c r="R3" s="10" t="s">
        <v>5452</v>
      </c>
      <c r="S3" s="66" t="s">
        <v>5453</v>
      </c>
      <c r="T3" s="10">
        <v>19</v>
      </c>
      <c r="U3" s="10">
        <v>3</v>
      </c>
      <c r="V3" s="10">
        <v>10</v>
      </c>
      <c r="W3" s="66" t="s">
        <v>5649</v>
      </c>
      <c r="X3" s="10">
        <v>0</v>
      </c>
      <c r="Z3" s="10">
        <v>2</v>
      </c>
      <c r="AA3" s="10">
        <v>2</v>
      </c>
      <c r="AC3" s="10">
        <v>2</v>
      </c>
      <c r="AD3" s="10" t="s">
        <v>5650</v>
      </c>
      <c r="AF3" s="9" t="s">
        <v>5651</v>
      </c>
      <c r="AG3" s="10">
        <f>A14</f>
        <v>11</v>
      </c>
      <c r="AH3" s="12">
        <f>LOOKUP(AG3,AF23:AF63,AG23:AG63)</f>
        <v>40</v>
      </c>
      <c r="AI3"/>
      <c r="AJ3" s="12" t="s">
        <v>5652</v>
      </c>
      <c r="AK3" s="12">
        <v>4</v>
      </c>
      <c r="AL3" s="12">
        <v>10</v>
      </c>
      <c r="AM3" s="10">
        <v>5</v>
      </c>
      <c r="AN3" s="10">
        <v>25</v>
      </c>
      <c r="AO3" s="9" t="e">
        <f>IF($B$3=$AP$11,AQ$11,IF($B$3=$AP$12,AQ$12,IF($B$3=$AP$13,AQ$13,IF($B$3=$AP$14,AQ$14,IF($B$3=$AP$15,AQ$15,NA)))))</f>
        <v>#NAME?</v>
      </c>
      <c r="AP3" s="12" t="s">
        <v>5652</v>
      </c>
      <c r="AQ3" s="10">
        <v>1</v>
      </c>
      <c r="AR3" s="10">
        <v>0</v>
      </c>
      <c r="AS3" s="10">
        <v>-2</v>
      </c>
      <c r="AT3" s="10">
        <v>0</v>
      </c>
      <c r="AU3" s="10">
        <v>2</v>
      </c>
      <c r="AV3" s="10">
        <v>3</v>
      </c>
      <c r="AX3" s="10">
        <v>2</v>
      </c>
      <c r="AY3" s="10">
        <f t="shared" ref="AY3:AY19" si="1">$E$6+AX3</f>
        <v>18</v>
      </c>
      <c r="AZ3" s="9" t="str">
        <f t="shared" ref="AZ3:AZ19" si="2">LOOKUP(AY3,$P$3:$P$102,$R$3:$R$102)</f>
        <v>85/42</v>
      </c>
      <c r="BA3" s="9" t="s">
        <v>5653</v>
      </c>
      <c r="BB3" s="192"/>
      <c r="BC3" s="12"/>
      <c r="BD3" s="67">
        <f t="shared" ref="BD3:BD8" ca="1" si="3">RANDBETWEEN(8,18)</f>
        <v>15</v>
      </c>
      <c r="BE3" s="10"/>
      <c r="BF3" s="9" t="s">
        <v>5651</v>
      </c>
      <c r="BG3" s="12">
        <f t="shared" ref="BG3:BG12" si="4">AG3</f>
        <v>11</v>
      </c>
      <c r="BH3" s="12">
        <f>LOOKUP(BG3,AF23:AF63,AG23:AG63)</f>
        <v>40</v>
      </c>
      <c r="BL3" s="12" t="s">
        <v>5652</v>
      </c>
      <c r="BM3" s="49" t="str">
        <f>IF($B$10&lt;12,"Blood Elves must have a minimum Willpower of 12 prior to racial modifications"," ")</f>
        <v xml:space="preserve"> </v>
      </c>
      <c r="BN3" s="9" t="s">
        <v>5654</v>
      </c>
      <c r="BO3" s="9" t="s">
        <v>5459</v>
      </c>
      <c r="BP3" s="9" t="s">
        <v>5460</v>
      </c>
      <c r="BQ3" s="68" t="s">
        <v>5461</v>
      </c>
      <c r="BR3" s="9" t="s">
        <v>5373</v>
      </c>
      <c r="BS3" s="9" t="s">
        <v>5373</v>
      </c>
      <c r="BW3" s="56"/>
      <c r="CA3" s="126" t="s">
        <v>5643</v>
      </c>
      <c r="CB3" s="233"/>
      <c r="CC3" s="21"/>
      <c r="CD3" s="64">
        <f>CD2/2</f>
        <v>0</v>
      </c>
      <c r="CE3" s="21" t="s">
        <v>5646</v>
      </c>
      <c r="CF3" s="21"/>
      <c r="CG3" s="63">
        <f>$AH$13</f>
        <v>29358</v>
      </c>
      <c r="CH3" s="21" t="s">
        <v>5450</v>
      </c>
      <c r="CI3" s="21"/>
      <c r="CJ3" s="52">
        <f>LOOKUP($B$3,$AJ$3:$AJ$19,$AN$3:$AN$19)+$G$132</f>
        <v>20</v>
      </c>
      <c r="CK3" s="127" t="s">
        <v>5451</v>
      </c>
      <c r="CP3" s="9">
        <v>3</v>
      </c>
      <c r="CQ3" s="9">
        <v>1</v>
      </c>
      <c r="CR3" s="9">
        <v>3</v>
      </c>
      <c r="CS3" s="9">
        <v>6</v>
      </c>
      <c r="CT3" s="9">
        <v>8</v>
      </c>
      <c r="CU3" s="9">
        <v>10</v>
      </c>
    </row>
    <row r="4" spans="1:99" ht="14" thickBot="1">
      <c r="A4" s="128" t="str">
        <f>IF($B$3=$AP$12,"Obsidimen may not be Beastmasters",IF($B$3=$AP$16,"T'skrang may not be Beastmasters",IF($B$3=$AP$9,"Jubruq may not be Beastmasters"," ")))</f>
        <v xml:space="preserve"> </v>
      </c>
      <c r="B4" s="109"/>
      <c r="C4" s="115"/>
      <c r="D4" s="115"/>
      <c r="E4" s="116" t="str">
        <f>IF(D2&gt;15,"No Discipline may exceed 15th Circle"," ")</f>
        <v xml:space="preserve"> </v>
      </c>
      <c r="F4" s="116" t="str">
        <f>IF($AS$75&lt;=$D$2," ",IF($AS$75&gt;$D$2,$AR$73," "))</f>
        <v xml:space="preserve"> </v>
      </c>
      <c r="G4" s="115"/>
      <c r="H4" s="115"/>
      <c r="I4" s="115"/>
      <c r="J4" s="52">
        <f>LOOKUP($B$3,$AJ$3:$AJ$19,$AM$3:$AM$19)</f>
        <v>6</v>
      </c>
      <c r="K4" s="127" t="s">
        <v>5462</v>
      </c>
      <c r="M4" s="9" t="s">
        <v>5597</v>
      </c>
      <c r="N4" s="10">
        <f t="shared" si="0"/>
        <v>19</v>
      </c>
      <c r="O4" s="10">
        <f>LOOKUP(N4,Z2:Z148,AA2:AA148)</f>
        <v>8</v>
      </c>
      <c r="P4" s="65">
        <v>2</v>
      </c>
      <c r="Q4" s="10">
        <v>3</v>
      </c>
      <c r="R4" s="10" t="s">
        <v>5463</v>
      </c>
      <c r="S4" s="10" t="s">
        <v>5464</v>
      </c>
      <c r="T4" s="10">
        <v>20</v>
      </c>
      <c r="U4" s="10">
        <v>4</v>
      </c>
      <c r="V4" s="10">
        <v>11</v>
      </c>
      <c r="W4" s="10" t="s">
        <v>5649</v>
      </c>
      <c r="X4" s="10">
        <v>0</v>
      </c>
      <c r="Z4" s="10">
        <v>3</v>
      </c>
      <c r="AA4" s="10">
        <v>2</v>
      </c>
      <c r="AC4" s="10">
        <v>3</v>
      </c>
      <c r="AD4" s="10" t="s">
        <v>5465</v>
      </c>
      <c r="AF4" s="9" t="s">
        <v>5466</v>
      </c>
      <c r="AG4" s="10">
        <f>A15</f>
        <v>9</v>
      </c>
      <c r="AH4" s="12">
        <f>LOOKUP(AG4,AF23:AF63,AG23:AG63)</f>
        <v>20</v>
      </c>
      <c r="AI4"/>
      <c r="AJ4" s="12" t="s">
        <v>5467</v>
      </c>
      <c r="AK4" s="12">
        <v>4</v>
      </c>
      <c r="AL4" s="12">
        <v>10</v>
      </c>
      <c r="AM4" s="10">
        <v>6</v>
      </c>
      <c r="AN4" s="10">
        <v>25</v>
      </c>
      <c r="AO4" s="9" t="e">
        <f>IF($B$3=$AP$11,AS$11,IF($B$3=$AP$12,AS$12,IF($B$3=$AP$13,AS$13,IF($B$3=$AP$14,AS$14,IF($B$3=$AP$15,AS$15,NA)))))</f>
        <v>#NAME?</v>
      </c>
      <c r="AP4" s="12" t="s">
        <v>5467</v>
      </c>
      <c r="AQ4" s="10">
        <v>0</v>
      </c>
      <c r="AR4" s="10">
        <v>2</v>
      </c>
      <c r="AS4" s="10">
        <v>3</v>
      </c>
      <c r="AT4" s="10">
        <v>0</v>
      </c>
      <c r="AU4" s="10">
        <v>0</v>
      </c>
      <c r="AV4" s="10">
        <v>-2</v>
      </c>
      <c r="AX4" s="10">
        <v>-2</v>
      </c>
      <c r="AY4" s="10">
        <f t="shared" si="1"/>
        <v>14</v>
      </c>
      <c r="AZ4" s="9" t="str">
        <f t="shared" si="2"/>
        <v>65/33</v>
      </c>
      <c r="BA4" s="9" t="s">
        <v>5362</v>
      </c>
      <c r="BB4" s="185"/>
      <c r="BD4" s="67">
        <f t="shared" ca="1" si="3"/>
        <v>18</v>
      </c>
      <c r="BE4" s="10"/>
      <c r="BF4" s="9" t="s">
        <v>5466</v>
      </c>
      <c r="BG4" s="12">
        <f t="shared" si="4"/>
        <v>9</v>
      </c>
      <c r="BH4" s="12">
        <f>LOOKUP(BG4,AF23:AF63,AG23:AG63)</f>
        <v>20</v>
      </c>
      <c r="BL4" s="12" t="s">
        <v>5467</v>
      </c>
      <c r="BM4" s="9" t="str">
        <f>IF($L$72=0," "," ")</f>
        <v xml:space="preserve"> </v>
      </c>
      <c r="BN4" s="9" t="s">
        <v>5468</v>
      </c>
      <c r="BO4" s="9" t="s">
        <v>5373</v>
      </c>
      <c r="BP4" s="9" t="s">
        <v>5373</v>
      </c>
      <c r="BQ4" s="9" t="s">
        <v>5373</v>
      </c>
      <c r="BR4" s="9" t="s">
        <v>5373</v>
      </c>
      <c r="BS4" s="9" t="s">
        <v>5373</v>
      </c>
      <c r="CA4" s="128"/>
      <c r="CB4" s="109"/>
      <c r="CC4" s="115"/>
      <c r="CD4" s="115"/>
      <c r="CE4" s="116" t="str">
        <f>IF(CD2&gt;15,"No Discipline may exceed 15th Circle"," ")</f>
        <v xml:space="preserve"> </v>
      </c>
      <c r="CF4" s="116" t="str">
        <f>IF($AS$75&lt;=$D$2," ",IF($AS$75&gt;$D$2,$AR$73," "))</f>
        <v xml:space="preserve"> </v>
      </c>
      <c r="CG4" s="115"/>
      <c r="CH4" s="115"/>
      <c r="CI4" s="115"/>
      <c r="CJ4" s="52">
        <f>LOOKUP($B$3,$AJ$3:$AJ$19,$AM$3:$AM$19)</f>
        <v>6</v>
      </c>
      <c r="CK4" s="127" t="s">
        <v>5462</v>
      </c>
      <c r="CP4" s="9">
        <v>4</v>
      </c>
      <c r="CQ4" s="9">
        <v>1</v>
      </c>
      <c r="CR4" s="9">
        <v>4</v>
      </c>
      <c r="CS4" s="9">
        <v>7</v>
      </c>
      <c r="CT4" s="9">
        <v>10</v>
      </c>
      <c r="CU4" s="9">
        <v>12</v>
      </c>
    </row>
    <row r="5" spans="1:99" ht="15" thickTop="1" thickBot="1">
      <c r="A5" s="129" t="s">
        <v>5469</v>
      </c>
      <c r="B5" s="112" t="s">
        <v>5470</v>
      </c>
      <c r="C5" s="14" t="s">
        <v>5471</v>
      </c>
      <c r="D5" s="14" t="s">
        <v>5472</v>
      </c>
      <c r="E5" s="14" t="s">
        <v>5473</v>
      </c>
      <c r="F5" s="14" t="s">
        <v>5364</v>
      </c>
      <c r="G5" s="14" t="s">
        <v>5374</v>
      </c>
      <c r="H5" s="21"/>
      <c r="I5" s="21"/>
      <c r="J5" s="62">
        <f>IF($D$2&gt;1,$J$3,$J$4)</f>
        <v>20</v>
      </c>
      <c r="K5" s="127" t="s">
        <v>5474</v>
      </c>
      <c r="L5" s="9" t="s">
        <v>5572</v>
      </c>
      <c r="M5" s="9" t="s">
        <v>5786</v>
      </c>
      <c r="N5" s="10">
        <f t="shared" si="0"/>
        <v>16</v>
      </c>
      <c r="O5" s="10">
        <f>LOOKUP(N5,Z2:Z148,AA2:AA148)</f>
        <v>7</v>
      </c>
      <c r="P5" s="65">
        <v>3</v>
      </c>
      <c r="Q5" s="10">
        <v>3</v>
      </c>
      <c r="R5" s="10" t="s">
        <v>5475</v>
      </c>
      <c r="S5" s="10" t="s">
        <v>5476</v>
      </c>
      <c r="T5" s="10">
        <v>22</v>
      </c>
      <c r="U5" s="10">
        <v>4</v>
      </c>
      <c r="V5" s="10">
        <v>13</v>
      </c>
      <c r="W5" s="10">
        <v>1</v>
      </c>
      <c r="X5" s="10">
        <v>0</v>
      </c>
      <c r="Z5" s="10">
        <v>4</v>
      </c>
      <c r="AA5" s="10">
        <v>3</v>
      </c>
      <c r="AC5" s="10">
        <v>4</v>
      </c>
      <c r="AD5" s="10" t="s">
        <v>5477</v>
      </c>
      <c r="AF5" s="9" t="s">
        <v>5478</v>
      </c>
      <c r="AG5" s="69">
        <f>M174</f>
        <v>17</v>
      </c>
      <c r="AH5" s="12">
        <f>LOOKUP(AG5,AI23:AI63,AL23:AL63)</f>
        <v>325</v>
      </c>
      <c r="AI5" s="12"/>
      <c r="AJ5" s="12" t="s">
        <v>5479</v>
      </c>
      <c r="AK5" s="12">
        <v>4</v>
      </c>
      <c r="AL5" s="12">
        <v>10</v>
      </c>
      <c r="AM5" s="10">
        <v>5</v>
      </c>
      <c r="AN5" s="10">
        <v>25</v>
      </c>
      <c r="AO5" s="9" t="e">
        <f>IF($B$3=$AP$11,AT$11,IF($B$3=$AP$12,AT$12,IF($B$3=$AP$13,AT$13,IF($B$3=$AP$14,AT$14,IF($B$3=$AP$15,AT$15,NA)))))</f>
        <v>#NAME?</v>
      </c>
      <c r="AP5" s="12" t="s">
        <v>5479</v>
      </c>
      <c r="AQ5" s="10">
        <v>2</v>
      </c>
      <c r="AR5" s="10">
        <v>0</v>
      </c>
      <c r="AS5" s="10">
        <v>-2</v>
      </c>
      <c r="AT5" s="10">
        <v>1</v>
      </c>
      <c r="AU5" s="10">
        <v>1</v>
      </c>
      <c r="AV5" s="10">
        <v>1</v>
      </c>
      <c r="AX5" s="10">
        <v>1</v>
      </c>
      <c r="AY5" s="10">
        <f t="shared" si="1"/>
        <v>17</v>
      </c>
      <c r="AZ5" s="9" t="str">
        <f t="shared" si="2"/>
        <v>80/40</v>
      </c>
      <c r="BA5" s="9" t="s">
        <v>5480</v>
      </c>
      <c r="BB5" s="185"/>
      <c r="BD5" s="67">
        <f t="shared" ca="1" si="3"/>
        <v>17</v>
      </c>
      <c r="BE5" s="10"/>
      <c r="BF5" s="9" t="s">
        <v>5478</v>
      </c>
      <c r="BG5" s="12">
        <f>IF($M$181=0,$AG$5,$AG$5+$J$1)</f>
        <v>20</v>
      </c>
      <c r="BH5" s="12">
        <f>LOOKUP(BG5,AI23:AI63,AL23:AL63)</f>
        <v>2200</v>
      </c>
      <c r="BL5" s="12" t="s">
        <v>5479</v>
      </c>
      <c r="BM5" s="9" t="str">
        <f>IF($L$72=0," "," ")</f>
        <v xml:space="preserve"> </v>
      </c>
      <c r="BN5" s="9" t="s">
        <v>5481</v>
      </c>
      <c r="BO5" s="9" t="s">
        <v>5373</v>
      </c>
      <c r="BP5" s="9" t="s">
        <v>5373</v>
      </c>
      <c r="BQ5" s="9" t="s">
        <v>5373</v>
      </c>
      <c r="BR5" s="9" t="s">
        <v>5373</v>
      </c>
      <c r="BS5" s="9" t="s">
        <v>5373</v>
      </c>
      <c r="CA5" s="129" t="s">
        <v>5469</v>
      </c>
      <c r="CB5" s="112" t="s">
        <v>5470</v>
      </c>
      <c r="CC5" s="14" t="s">
        <v>5471</v>
      </c>
      <c r="CD5" s="14" t="s">
        <v>5472</v>
      </c>
      <c r="CE5" s="14" t="s">
        <v>5473</v>
      </c>
      <c r="CF5" s="14" t="s">
        <v>5364</v>
      </c>
      <c r="CG5" s="14" t="s">
        <v>5374</v>
      </c>
      <c r="CH5" s="21"/>
      <c r="CI5" s="21"/>
      <c r="CJ5" s="62">
        <f>IF($D$2&gt;1,$J$3,$J$4)</f>
        <v>20</v>
      </c>
      <c r="CK5" s="127" t="s">
        <v>5474</v>
      </c>
      <c r="CL5" s="9" t="s">
        <v>5572</v>
      </c>
      <c r="CP5" s="9">
        <v>5</v>
      </c>
      <c r="CQ5" s="9">
        <v>1</v>
      </c>
      <c r="CR5" s="9">
        <v>5</v>
      </c>
      <c r="CS5" s="9">
        <v>9</v>
      </c>
      <c r="CT5" s="9">
        <v>11</v>
      </c>
      <c r="CU5" s="9">
        <v>14</v>
      </c>
    </row>
    <row r="6" spans="1:99" ht="15" thickTop="1" thickBot="1">
      <c r="A6" s="126" t="s">
        <v>5390</v>
      </c>
      <c r="B6" s="8">
        <v>11</v>
      </c>
      <c r="C6" s="14">
        <f>LOOKUP($B$3,$AP$3:$AP$19,$AQ$3:$AQ$19)</f>
        <v>0</v>
      </c>
      <c r="D6" s="8">
        <v>5</v>
      </c>
      <c r="E6" s="14">
        <f t="shared" ref="E6:E11" si="5">B6+C6+D6</f>
        <v>16</v>
      </c>
      <c r="F6" s="52">
        <f t="shared" ref="F6:F11" si="6">O2</f>
        <v>7</v>
      </c>
      <c r="G6" s="52" t="str">
        <f t="shared" ref="G6:G11" si="7">LOOKUP(F6,$AC$2:$AC$101,$AD$2:$AD$101)</f>
        <v>D12</v>
      </c>
      <c r="H6" s="235" t="str">
        <f t="shared" ref="H6:H11" si="8">IF($D$6&gt;5,BA1,IF($D$7&gt;5,BA1,IF($D$8&gt;5,BA1,IF($D$9&gt;5,BA1,IF($D$10&gt;5,BA1,IF($D$11&gt;5,BA1," "))))))</f>
        <v xml:space="preserve"> </v>
      </c>
      <c r="I6" s="237"/>
      <c r="J6" s="21"/>
      <c r="K6" s="127"/>
      <c r="L6" s="10">
        <f>LOOKUP($D$6,$AQ$42:$AQ$47,$AS$42:$AS$47)</f>
        <v>13100</v>
      </c>
      <c r="M6" s="9" t="s">
        <v>5787</v>
      </c>
      <c r="N6" s="10">
        <f t="shared" si="0"/>
        <v>13</v>
      </c>
      <c r="O6" s="10">
        <f>LOOKUP(N6,Z2:Z148,AA2:AA148)</f>
        <v>6</v>
      </c>
      <c r="P6" s="65">
        <v>4</v>
      </c>
      <c r="Q6" s="10">
        <v>4</v>
      </c>
      <c r="R6" s="10" t="s">
        <v>5482</v>
      </c>
      <c r="S6" s="10" t="s">
        <v>5666</v>
      </c>
      <c r="T6" s="10">
        <v>23</v>
      </c>
      <c r="U6" s="10">
        <v>5</v>
      </c>
      <c r="V6" s="10">
        <v>14</v>
      </c>
      <c r="W6" s="10">
        <v>1</v>
      </c>
      <c r="X6" s="10">
        <v>0</v>
      </c>
      <c r="Z6" s="10">
        <v>5</v>
      </c>
      <c r="AA6" s="10">
        <v>3</v>
      </c>
      <c r="AC6" s="10">
        <v>5</v>
      </c>
      <c r="AD6" s="10" t="s">
        <v>5667</v>
      </c>
      <c r="AF6" s="9" t="s">
        <v>5668</v>
      </c>
      <c r="AG6" s="69">
        <f>M173</f>
        <v>9</v>
      </c>
      <c r="AH6" s="12">
        <f>(AG6-1)*AH5</f>
        <v>2600</v>
      </c>
      <c r="AI6" s="12"/>
      <c r="AJ6" s="12" t="s">
        <v>5669</v>
      </c>
      <c r="AK6" s="12">
        <v>4</v>
      </c>
      <c r="AL6" s="12">
        <v>10</v>
      </c>
      <c r="AM6" s="10">
        <v>5</v>
      </c>
      <c r="AN6" s="10">
        <v>25</v>
      </c>
      <c r="AO6" s="9" t="e">
        <f>IF($B$3=$AP$11,AU$11,IF($B$3=$AP$12,AU$12,IF($B$3=$AP$13,AU$13,IF($B$3=$AP$14,AU$14,IF($B$3=$AP$15,AU$15,NA)))))</f>
        <v>#NAME?</v>
      </c>
      <c r="AP6" s="12" t="s">
        <v>5669</v>
      </c>
      <c r="AQ6" s="10">
        <v>1</v>
      </c>
      <c r="AR6" s="10">
        <v>1</v>
      </c>
      <c r="AS6" s="10">
        <v>1</v>
      </c>
      <c r="AT6" s="10">
        <v>1</v>
      </c>
      <c r="AU6" s="10">
        <v>1</v>
      </c>
      <c r="AV6" s="10">
        <v>-2</v>
      </c>
      <c r="AX6" s="10">
        <v>0</v>
      </c>
      <c r="AY6" s="10">
        <f t="shared" si="1"/>
        <v>16</v>
      </c>
      <c r="AZ6" s="9" t="str">
        <f t="shared" si="2"/>
        <v>75/38</v>
      </c>
      <c r="BA6" s="68" t="s">
        <v>5670</v>
      </c>
      <c r="BB6" s="185"/>
      <c r="BD6" s="67">
        <f t="shared" ca="1" si="3"/>
        <v>9</v>
      </c>
      <c r="BE6" s="10"/>
      <c r="BF6" s="9" t="s">
        <v>5668</v>
      </c>
      <c r="BG6" s="12">
        <f t="shared" si="4"/>
        <v>9</v>
      </c>
      <c r="BH6" s="12">
        <f>(BG6-1)*BH5</f>
        <v>17600</v>
      </c>
      <c r="BL6" s="12" t="s">
        <v>5669</v>
      </c>
      <c r="BN6" s="9" t="s">
        <v>5481</v>
      </c>
      <c r="CA6" s="126" t="s">
        <v>5390</v>
      </c>
      <c r="CB6" s="8">
        <f>$G$910</f>
        <v>13</v>
      </c>
      <c r="CC6" s="14">
        <f>LOOKUP($B$3,$AP$3:$AP$19,$AQ$3:$AQ$19)</f>
        <v>0</v>
      </c>
      <c r="CD6" s="8"/>
      <c r="CE6" s="14">
        <f t="shared" ref="CE6:CE11" si="9">CB6+CC6+CD6</f>
        <v>13</v>
      </c>
      <c r="CF6" s="52">
        <f t="shared" ref="CF6:CF11" si="10">CO2</f>
        <v>0</v>
      </c>
      <c r="CG6" s="52" t="e">
        <f t="shared" ref="CG6:CG11" si="11">LOOKUP(CF6,$AC$2:$AC$101,$AD$2:$AD$101)</f>
        <v>#N/A</v>
      </c>
      <c r="CH6" s="235" t="str">
        <f t="shared" ref="CH6:CH11" si="12">IF($D$6&gt;5,EA1,IF($D$7&gt;5,EA1,IF($D$8&gt;5,EA1,IF($D$9&gt;5,EA1,IF($D$10&gt;5,EA1,IF($D$11&gt;5,EA1," "))))))</f>
        <v xml:space="preserve"> </v>
      </c>
      <c r="CI6" s="237"/>
      <c r="CJ6" s="21"/>
      <c r="CK6" s="127"/>
      <c r="CL6" s="10">
        <f>LOOKUP($D$6,$AQ$42:$AQ$47,$AS$42:$AS$47)</f>
        <v>13100</v>
      </c>
      <c r="CP6" s="9">
        <v>6</v>
      </c>
      <c r="CQ6" s="9">
        <v>1</v>
      </c>
      <c r="CR6" s="9">
        <v>6</v>
      </c>
      <c r="CS6" s="9">
        <v>10</v>
      </c>
      <c r="CT6" s="9">
        <v>13</v>
      </c>
      <c r="CU6" s="9">
        <v>17</v>
      </c>
    </row>
    <row r="7" spans="1:99" ht="15" thickTop="1" thickBot="1">
      <c r="A7" s="238" t="s">
        <v>5596</v>
      </c>
      <c r="B7" s="239">
        <v>18</v>
      </c>
      <c r="C7" s="240">
        <f>LOOKUP($B$3,$AP$3:$AP$19,$AR$3:$AR$19)</f>
        <v>4</v>
      </c>
      <c r="D7" s="239"/>
      <c r="E7" s="240">
        <f t="shared" si="5"/>
        <v>22</v>
      </c>
      <c r="F7" s="241">
        <f t="shared" si="6"/>
        <v>9</v>
      </c>
      <c r="G7" s="241" t="str">
        <f t="shared" si="7"/>
        <v>D8+D6</v>
      </c>
      <c r="H7" s="235" t="str">
        <f t="shared" si="8"/>
        <v xml:space="preserve"> </v>
      </c>
      <c r="I7" s="70" t="s">
        <v>5671</v>
      </c>
      <c r="J7" s="71"/>
      <c r="K7" s="130" t="s">
        <v>5672</v>
      </c>
      <c r="L7" s="10">
        <f>LOOKUP($D$7,$AQ$42:$AQ$47,$AS$42:$AS$47)</f>
        <v>0</v>
      </c>
      <c r="M7" s="9" t="s">
        <v>5788</v>
      </c>
      <c r="N7" s="10">
        <f t="shared" si="0"/>
        <v>12</v>
      </c>
      <c r="O7" s="10">
        <f>LOOKUP(N7,Z2:Z148,AA2:AA148)</f>
        <v>5</v>
      </c>
      <c r="P7" s="65">
        <v>5</v>
      </c>
      <c r="Q7" s="10">
        <v>4</v>
      </c>
      <c r="R7" s="10" t="s">
        <v>5488</v>
      </c>
      <c r="S7" s="10" t="s">
        <v>5489</v>
      </c>
      <c r="T7" s="10">
        <v>24</v>
      </c>
      <c r="U7" s="10">
        <v>5</v>
      </c>
      <c r="V7" s="10">
        <v>15</v>
      </c>
      <c r="W7" s="10">
        <v>1</v>
      </c>
      <c r="X7" s="10">
        <v>0</v>
      </c>
      <c r="Z7" s="10">
        <v>6</v>
      </c>
      <c r="AA7" s="10">
        <v>3</v>
      </c>
      <c r="AC7" s="10">
        <v>6</v>
      </c>
      <c r="AD7" s="10" t="s">
        <v>5490</v>
      </c>
      <c r="AF7" s="9" t="s">
        <v>5491</v>
      </c>
      <c r="AG7" s="69">
        <f>M177</f>
        <v>0</v>
      </c>
      <c r="AH7" s="12">
        <f>LOOKUP(AG7,AI23:AI63,AL23:AL63)</f>
        <v>0</v>
      </c>
      <c r="AI7" s="12"/>
      <c r="AJ7" s="12" t="s">
        <v>5492</v>
      </c>
      <c r="AK7" s="12">
        <v>5</v>
      </c>
      <c r="AL7" s="12">
        <v>6</v>
      </c>
      <c r="AM7" s="10">
        <v>10</v>
      </c>
      <c r="AN7" s="10">
        <v>40</v>
      </c>
      <c r="AO7" s="9" t="e">
        <f>IF($B$3=$AP$11,AV$11,IF($B$3=$AP$12,AV$12,IF($B$3=$AP$13,AV$13,IF($B$3=$AP$14,AV$14,IF($B$3=$AP$15,AV$15,NA)))))</f>
        <v>#NAME?</v>
      </c>
      <c r="AP7" s="12" t="s">
        <v>5492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0">
        <v>0</v>
      </c>
      <c r="AX7" s="10">
        <v>0</v>
      </c>
      <c r="AY7" s="10">
        <f t="shared" si="1"/>
        <v>16</v>
      </c>
      <c r="AZ7" s="9" t="str">
        <f t="shared" si="2"/>
        <v>75/38</v>
      </c>
      <c r="BB7" s="185"/>
      <c r="BD7" s="67">
        <f t="shared" ca="1" si="3"/>
        <v>17</v>
      </c>
      <c r="BE7" s="10"/>
      <c r="BF7" s="9" t="s">
        <v>5491</v>
      </c>
      <c r="BG7" s="12">
        <f>IF($M$182=0,$AG$7,$AG$7+$J$1)</f>
        <v>0</v>
      </c>
      <c r="BH7" s="12">
        <f>LOOKUP(BG7,AI23:AI63,AL23:AL63)</f>
        <v>0</v>
      </c>
      <c r="BL7" s="12" t="s">
        <v>5492</v>
      </c>
      <c r="BM7" s="9" t="str">
        <f>IF($L$72=0," "," ")</f>
        <v xml:space="preserve"> </v>
      </c>
      <c r="BN7" s="9" t="s">
        <v>5493</v>
      </c>
      <c r="BO7" s="9" t="s">
        <v>5373</v>
      </c>
      <c r="BP7" s="9" t="s">
        <v>5373</v>
      </c>
      <c r="BQ7" s="9" t="s">
        <v>5373</v>
      </c>
      <c r="BR7" s="9" t="s">
        <v>5373</v>
      </c>
      <c r="BS7" s="9" t="s">
        <v>5373</v>
      </c>
      <c r="CA7" s="238" t="s">
        <v>5596</v>
      </c>
      <c r="CB7" s="239">
        <f>$G$911</f>
        <v>12</v>
      </c>
      <c r="CC7" s="240">
        <f>LOOKUP($B$3,$AP$3:$AP$19,$AR$3:$AR$19)</f>
        <v>4</v>
      </c>
      <c r="CD7" s="239"/>
      <c r="CE7" s="240">
        <f t="shared" si="9"/>
        <v>16</v>
      </c>
      <c r="CF7" s="241">
        <f t="shared" si="10"/>
        <v>0</v>
      </c>
      <c r="CG7" s="241" t="e">
        <f t="shared" si="11"/>
        <v>#N/A</v>
      </c>
      <c r="CH7" s="235" t="str">
        <f t="shared" si="12"/>
        <v xml:space="preserve"> </v>
      </c>
      <c r="CI7" s="70" t="s">
        <v>5671</v>
      </c>
      <c r="CJ7" s="71"/>
      <c r="CK7" s="130" t="s">
        <v>5672</v>
      </c>
      <c r="CL7" s="10">
        <f>LOOKUP($D$7,$AQ$42:$AQ$47,$AS$42:$AS$47)</f>
        <v>0</v>
      </c>
      <c r="CP7" s="9">
        <v>7</v>
      </c>
      <c r="CQ7" s="9">
        <v>1</v>
      </c>
      <c r="CR7" s="9">
        <v>7</v>
      </c>
      <c r="CS7" s="9">
        <v>12</v>
      </c>
      <c r="CT7" s="9">
        <v>15</v>
      </c>
      <c r="CU7" s="9">
        <v>19</v>
      </c>
    </row>
    <row r="8" spans="1:99" ht="15" thickTop="1" thickBot="1">
      <c r="A8" s="126" t="s">
        <v>5597</v>
      </c>
      <c r="B8" s="8">
        <v>16</v>
      </c>
      <c r="C8" s="14">
        <f>LOOKUP($B$3,$AP$3:$AP$19,$AS$3:$AS$19)</f>
        <v>2</v>
      </c>
      <c r="D8" s="8">
        <v>1</v>
      </c>
      <c r="E8" s="14">
        <f t="shared" si="5"/>
        <v>19</v>
      </c>
      <c r="F8" s="52">
        <f t="shared" si="6"/>
        <v>8</v>
      </c>
      <c r="G8" s="52" t="str">
        <f t="shared" si="7"/>
        <v>2D6</v>
      </c>
      <c r="H8" s="235" t="str">
        <f t="shared" si="8"/>
        <v xml:space="preserve"> </v>
      </c>
      <c r="I8" s="72">
        <f>K8-G1-K11</f>
        <v>7900</v>
      </c>
      <c r="J8" s="73"/>
      <c r="K8" s="131">
        <v>1100000</v>
      </c>
      <c r="L8" s="10">
        <f>LOOKUP($D$8,$AQ$42:$AQ$47,$AS$42:$AS$47)</f>
        <v>800</v>
      </c>
      <c r="N8" s="10"/>
      <c r="P8" s="65">
        <v>6</v>
      </c>
      <c r="Q8" s="10">
        <v>4</v>
      </c>
      <c r="R8" s="10" t="s">
        <v>5494</v>
      </c>
      <c r="S8" s="10" t="s">
        <v>5495</v>
      </c>
      <c r="T8" s="10">
        <v>26</v>
      </c>
      <c r="U8" s="10">
        <v>6</v>
      </c>
      <c r="V8" s="10">
        <v>17</v>
      </c>
      <c r="W8" s="10">
        <v>1</v>
      </c>
      <c r="X8" s="10">
        <v>0</v>
      </c>
      <c r="Z8" s="10">
        <v>7</v>
      </c>
      <c r="AA8" s="10">
        <v>4</v>
      </c>
      <c r="AC8" s="10">
        <v>7</v>
      </c>
      <c r="AD8" s="10" t="s">
        <v>5496</v>
      </c>
      <c r="AF8" s="9" t="s">
        <v>5497</v>
      </c>
      <c r="AG8" s="69">
        <f>M176</f>
        <v>0</v>
      </c>
      <c r="AH8" s="12">
        <f>(AG8-1)*AH7</f>
        <v>0</v>
      </c>
      <c r="AI8" s="12"/>
      <c r="AJ8" s="10" t="s">
        <v>5498</v>
      </c>
      <c r="AK8" s="12">
        <v>5</v>
      </c>
      <c r="AL8" s="12">
        <v>8</v>
      </c>
      <c r="AM8" s="10">
        <v>10</v>
      </c>
      <c r="AN8" s="10">
        <v>35</v>
      </c>
      <c r="AP8" s="10" t="s">
        <v>5498</v>
      </c>
      <c r="AQ8" s="10">
        <v>0</v>
      </c>
      <c r="AR8" s="10">
        <v>2</v>
      </c>
      <c r="AS8" s="10">
        <v>1</v>
      </c>
      <c r="AT8" s="10">
        <v>-2</v>
      </c>
      <c r="AU8" s="10">
        <v>1</v>
      </c>
      <c r="AV8" s="10">
        <v>-2</v>
      </c>
      <c r="AX8" s="10">
        <v>0</v>
      </c>
      <c r="AY8" s="10">
        <f t="shared" si="1"/>
        <v>16</v>
      </c>
      <c r="AZ8" s="9" t="str">
        <f t="shared" si="2"/>
        <v>75/38</v>
      </c>
      <c r="BB8" s="185"/>
      <c r="BD8" s="67">
        <f t="shared" ca="1" si="3"/>
        <v>11</v>
      </c>
      <c r="BE8" s="10"/>
      <c r="BF8" s="9" t="s">
        <v>5497</v>
      </c>
      <c r="BG8" s="12">
        <f t="shared" si="4"/>
        <v>0</v>
      </c>
      <c r="BH8" s="12">
        <f>(BG8-1)*BH7</f>
        <v>0</v>
      </c>
      <c r="BL8" s="10" t="s">
        <v>5498</v>
      </c>
      <c r="BM8" s="9" t="str">
        <f>IF($L$72=0," "," ")</f>
        <v xml:space="preserve"> </v>
      </c>
      <c r="BN8" s="9" t="s">
        <v>5481</v>
      </c>
      <c r="BO8" s="9" t="s">
        <v>5499</v>
      </c>
      <c r="BP8" s="9" t="s">
        <v>5373</v>
      </c>
      <c r="BQ8" s="9" t="s">
        <v>5373</v>
      </c>
      <c r="BR8" s="9" t="s">
        <v>5373</v>
      </c>
      <c r="BS8" s="9" t="s">
        <v>5373</v>
      </c>
      <c r="CA8" s="126" t="s">
        <v>5597</v>
      </c>
      <c r="CB8" s="8">
        <f>$G$912</f>
        <v>13</v>
      </c>
      <c r="CC8" s="14">
        <f>LOOKUP($B$3,$AP$3:$AP$19,$AS$3:$AS$19)</f>
        <v>2</v>
      </c>
      <c r="CD8" s="8"/>
      <c r="CE8" s="14">
        <f t="shared" si="9"/>
        <v>15</v>
      </c>
      <c r="CF8" s="52">
        <f t="shared" si="10"/>
        <v>0</v>
      </c>
      <c r="CG8" s="52" t="e">
        <f t="shared" si="11"/>
        <v>#N/A</v>
      </c>
      <c r="CH8" s="235" t="str">
        <f t="shared" si="12"/>
        <v xml:space="preserve"> </v>
      </c>
      <c r="CI8" s="72">
        <f>CK8-CG1-CK11</f>
        <v>-1092100</v>
      </c>
      <c r="CJ8" s="73"/>
      <c r="CK8" s="131"/>
      <c r="CL8" s="10">
        <f>LOOKUP($D$8,$AQ$42:$AQ$47,$AS$42:$AS$47)</f>
        <v>800</v>
      </c>
      <c r="CP8" s="9">
        <v>8</v>
      </c>
      <c r="CQ8" s="9">
        <v>3</v>
      </c>
      <c r="CR8" s="9">
        <v>8</v>
      </c>
      <c r="CS8" s="9">
        <v>13</v>
      </c>
      <c r="CT8" s="9">
        <v>16</v>
      </c>
      <c r="CU8" s="9">
        <v>20</v>
      </c>
    </row>
    <row r="9" spans="1:99" ht="15" thickTop="1" thickBot="1">
      <c r="A9" s="238" t="s">
        <v>5786</v>
      </c>
      <c r="B9" s="239">
        <v>14</v>
      </c>
      <c r="C9" s="240">
        <f>LOOKUP($B$3,$AP$3:$AP$19,$AT$3:$AT$19)</f>
        <v>-1</v>
      </c>
      <c r="D9" s="239">
        <v>3</v>
      </c>
      <c r="E9" s="240">
        <f t="shared" si="5"/>
        <v>16</v>
      </c>
      <c r="F9" s="241">
        <f t="shared" si="6"/>
        <v>7</v>
      </c>
      <c r="G9" s="241" t="str">
        <f t="shared" si="7"/>
        <v>D12</v>
      </c>
      <c r="H9" s="235" t="str">
        <f t="shared" si="8"/>
        <v xml:space="preserve"> </v>
      </c>
      <c r="I9" s="74"/>
      <c r="J9" s="73"/>
      <c r="K9" s="132"/>
      <c r="L9" s="10">
        <f>LOOKUP($D$9,$AQ$42:$AQ$47,$AS$42:$AS$47)</f>
        <v>4200</v>
      </c>
      <c r="M9" s="32" t="s">
        <v>5500</v>
      </c>
      <c r="N9" s="10"/>
      <c r="P9" s="65">
        <v>7</v>
      </c>
      <c r="Q9" s="10">
        <v>5</v>
      </c>
      <c r="R9" s="10" t="s">
        <v>5501</v>
      </c>
      <c r="S9" s="10" t="s">
        <v>5254</v>
      </c>
      <c r="T9" s="10">
        <v>27</v>
      </c>
      <c r="U9" s="10">
        <v>6</v>
      </c>
      <c r="V9" s="10">
        <v>18</v>
      </c>
      <c r="W9" s="10">
        <v>1</v>
      </c>
      <c r="X9" s="10">
        <v>0</v>
      </c>
      <c r="Z9" s="10">
        <v>8</v>
      </c>
      <c r="AA9" s="10">
        <v>4</v>
      </c>
      <c r="AC9" s="10">
        <v>8</v>
      </c>
      <c r="AD9" s="10" t="s">
        <v>5255</v>
      </c>
      <c r="AF9" s="9" t="s">
        <v>5256</v>
      </c>
      <c r="AG9" s="10">
        <f>J14</f>
        <v>10</v>
      </c>
      <c r="AH9" s="12">
        <f>LOOKUP(AG9,AI23:AI63,AL23:AL63)</f>
        <v>17</v>
      </c>
      <c r="AI9" s="12"/>
      <c r="AJ9" s="10" t="s">
        <v>5257</v>
      </c>
      <c r="AK9" s="12">
        <v>6</v>
      </c>
      <c r="AL9" s="12">
        <v>5</v>
      </c>
      <c r="AM9" s="10">
        <v>15</v>
      </c>
      <c r="AN9" s="10">
        <v>70</v>
      </c>
      <c r="AP9" s="10" t="s">
        <v>5257</v>
      </c>
      <c r="AQ9" s="10">
        <v>-1</v>
      </c>
      <c r="AR9" s="10">
        <v>-2</v>
      </c>
      <c r="AS9" s="10">
        <v>-1</v>
      </c>
      <c r="AT9" s="10">
        <v>2</v>
      </c>
      <c r="AU9" s="10">
        <v>1</v>
      </c>
      <c r="AV9" s="10">
        <v>-1</v>
      </c>
      <c r="AX9" s="10">
        <v>1</v>
      </c>
      <c r="AY9" s="10">
        <f t="shared" si="1"/>
        <v>17</v>
      </c>
      <c r="AZ9" s="9" t="str">
        <f t="shared" si="2"/>
        <v>80/40</v>
      </c>
      <c r="BB9" s="185"/>
      <c r="BE9" s="10"/>
      <c r="BF9" s="9" t="s">
        <v>5256</v>
      </c>
      <c r="BG9" s="12">
        <f t="shared" si="4"/>
        <v>10</v>
      </c>
      <c r="BH9" s="12">
        <f>LOOKUP(BG9,AI23:AI63,AL23:AL63)</f>
        <v>17</v>
      </c>
      <c r="BL9" s="10" t="s">
        <v>5257</v>
      </c>
      <c r="BM9" s="9" t="str">
        <f>IF($L$72=0," "," ")</f>
        <v xml:space="preserve"> </v>
      </c>
      <c r="BN9" s="56" t="s">
        <v>5258</v>
      </c>
      <c r="BO9" s="56"/>
      <c r="BP9" s="56" t="s">
        <v>5259</v>
      </c>
      <c r="BQ9" s="56"/>
      <c r="BR9" s="9" t="s">
        <v>5373</v>
      </c>
      <c r="BS9" s="9" t="s">
        <v>5373</v>
      </c>
      <c r="CA9" s="238" t="s">
        <v>5786</v>
      </c>
      <c r="CB9" s="239">
        <f>$G$913</f>
        <v>11</v>
      </c>
      <c r="CC9" s="240">
        <f>LOOKUP($B$3,$AP$3:$AP$19,$AT$3:$AT$19)</f>
        <v>-1</v>
      </c>
      <c r="CD9" s="239"/>
      <c r="CE9" s="240">
        <f t="shared" si="9"/>
        <v>10</v>
      </c>
      <c r="CF9" s="241">
        <f t="shared" si="10"/>
        <v>0</v>
      </c>
      <c r="CG9" s="241" t="e">
        <f t="shared" si="11"/>
        <v>#N/A</v>
      </c>
      <c r="CH9" s="235" t="str">
        <f t="shared" si="12"/>
        <v xml:space="preserve"> </v>
      </c>
      <c r="CI9" s="74"/>
      <c r="CJ9" s="73"/>
      <c r="CK9" s="132"/>
      <c r="CL9" s="10">
        <f>LOOKUP($D$9,$AQ$42:$AQ$47,$AS$42:$AS$47)</f>
        <v>4200</v>
      </c>
      <c r="CP9" s="9">
        <v>9</v>
      </c>
      <c r="CQ9" s="9">
        <v>4</v>
      </c>
      <c r="CR9" s="9">
        <v>9</v>
      </c>
      <c r="CS9" s="9">
        <v>14</v>
      </c>
      <c r="CT9" s="9">
        <v>18</v>
      </c>
      <c r="CU9" s="9">
        <v>22</v>
      </c>
    </row>
    <row r="10" spans="1:99" ht="15" thickTop="1" thickBot="1">
      <c r="A10" s="126" t="s">
        <v>5787</v>
      </c>
      <c r="B10" s="8">
        <v>12</v>
      </c>
      <c r="C10" s="14">
        <f>LOOKUP($B$3,$AP$3:$AP$19,$AU$3:$AU$19)</f>
        <v>1</v>
      </c>
      <c r="D10" s="8"/>
      <c r="E10" s="14">
        <f t="shared" si="5"/>
        <v>13</v>
      </c>
      <c r="F10" s="52">
        <f t="shared" si="6"/>
        <v>6</v>
      </c>
      <c r="G10" s="52" t="str">
        <f t="shared" si="7"/>
        <v>D10</v>
      </c>
      <c r="H10" s="235" t="str">
        <f t="shared" si="8"/>
        <v xml:space="preserve"> </v>
      </c>
      <c r="I10" s="74"/>
      <c r="J10" s="73"/>
      <c r="K10" s="133" t="s">
        <v>5260</v>
      </c>
      <c r="L10" s="10">
        <f>LOOKUP($D$10,$AQ$42:$AQ$47,$AS$42:$AS$47)</f>
        <v>0</v>
      </c>
      <c r="M10" s="48" t="s">
        <v>5590</v>
      </c>
      <c r="N10" s="10">
        <f>LOOKUP(N2,P3:P102,Q3:Q102)</f>
        <v>9</v>
      </c>
      <c r="P10" s="65">
        <v>8</v>
      </c>
      <c r="Q10" s="10">
        <v>5</v>
      </c>
      <c r="R10" s="10" t="s">
        <v>5261</v>
      </c>
      <c r="S10" s="10" t="s">
        <v>5262</v>
      </c>
      <c r="T10" s="10">
        <v>28</v>
      </c>
      <c r="U10" s="10">
        <v>7</v>
      </c>
      <c r="V10" s="10">
        <v>19</v>
      </c>
      <c r="W10" s="10">
        <v>2</v>
      </c>
      <c r="X10" s="10">
        <v>0</v>
      </c>
      <c r="Z10" s="10">
        <v>9</v>
      </c>
      <c r="AA10" s="10">
        <v>4</v>
      </c>
      <c r="AC10" s="10">
        <v>9</v>
      </c>
      <c r="AD10" s="10" t="s">
        <v>5263</v>
      </c>
      <c r="AF10" s="9" t="s">
        <v>5264</v>
      </c>
      <c r="AG10" s="10">
        <f>J16</f>
        <v>5</v>
      </c>
      <c r="AH10" s="12">
        <f>LOOKUP(AG10,AI23:AI63,AL23:AL63)</f>
        <v>6</v>
      </c>
      <c r="AI10" s="12"/>
      <c r="AJ10" s="12" t="s">
        <v>5265</v>
      </c>
      <c r="AK10" s="12">
        <v>4</v>
      </c>
      <c r="AL10" s="12">
        <v>10</v>
      </c>
      <c r="AM10" s="10">
        <v>5</v>
      </c>
      <c r="AN10" s="10">
        <v>25</v>
      </c>
      <c r="AP10" s="12" t="s">
        <v>5265</v>
      </c>
      <c r="AQ10" s="10">
        <v>2</v>
      </c>
      <c r="AR10" s="10">
        <v>-1</v>
      </c>
      <c r="AS10" s="10">
        <v>-2</v>
      </c>
      <c r="AT10" s="10">
        <v>2</v>
      </c>
      <c r="AU10" s="10">
        <v>0</v>
      </c>
      <c r="AV10" s="10">
        <v>1</v>
      </c>
      <c r="AX10" s="10">
        <v>0</v>
      </c>
      <c r="AY10" s="10">
        <f t="shared" si="1"/>
        <v>16</v>
      </c>
      <c r="AZ10" s="9" t="str">
        <f t="shared" si="2"/>
        <v>75/38</v>
      </c>
      <c r="BB10" s="185"/>
      <c r="BE10" s="10"/>
      <c r="BF10" s="9" t="s">
        <v>5264</v>
      </c>
      <c r="BG10" s="12">
        <f t="shared" si="4"/>
        <v>5</v>
      </c>
      <c r="BH10" s="12">
        <f>LOOKUP(BG10,AI23:AI63,AL23:AL63)</f>
        <v>6</v>
      </c>
      <c r="BL10" s="12" t="s">
        <v>5265</v>
      </c>
      <c r="BN10" s="9" t="s">
        <v>5481</v>
      </c>
      <c r="BO10" s="9" t="s">
        <v>5266</v>
      </c>
      <c r="CA10" s="126" t="s">
        <v>5787</v>
      </c>
      <c r="CB10" s="8">
        <f>$G$914</f>
        <v>15</v>
      </c>
      <c r="CC10" s="14">
        <f>LOOKUP($B$3,$AP$3:$AP$19,$AU$3:$AU$19)</f>
        <v>1</v>
      </c>
      <c r="CD10" s="8"/>
      <c r="CE10" s="14">
        <f t="shared" si="9"/>
        <v>16</v>
      </c>
      <c r="CF10" s="52">
        <f t="shared" si="10"/>
        <v>0</v>
      </c>
      <c r="CG10" s="52" t="e">
        <f t="shared" si="11"/>
        <v>#N/A</v>
      </c>
      <c r="CH10" s="235" t="str">
        <f t="shared" si="12"/>
        <v xml:space="preserve"> </v>
      </c>
      <c r="CI10" s="74"/>
      <c r="CJ10" s="73"/>
      <c r="CK10" s="133" t="s">
        <v>5260</v>
      </c>
      <c r="CL10" s="10">
        <f>LOOKUP($D$10,$AQ$42:$AQ$47,$AS$42:$AS$47)</f>
        <v>0</v>
      </c>
      <c r="CP10" s="9">
        <v>10</v>
      </c>
      <c r="CQ10" s="9">
        <v>5</v>
      </c>
      <c r="CR10" s="9">
        <v>10</v>
      </c>
      <c r="CS10" s="9">
        <v>15</v>
      </c>
      <c r="CT10" s="9">
        <v>19</v>
      </c>
      <c r="CU10" s="9">
        <v>24</v>
      </c>
    </row>
    <row r="11" spans="1:99" ht="15" thickTop="1" thickBot="1">
      <c r="A11" s="238" t="s">
        <v>5788</v>
      </c>
      <c r="B11" s="239">
        <v>12</v>
      </c>
      <c r="C11" s="240">
        <f>LOOKUP($B$3,$AP$3:$AP$19,$AV$3:$AV$19)</f>
        <v>0</v>
      </c>
      <c r="D11" s="239"/>
      <c r="E11" s="240">
        <f t="shared" si="5"/>
        <v>12</v>
      </c>
      <c r="F11" s="241">
        <f t="shared" si="6"/>
        <v>5</v>
      </c>
      <c r="G11" s="241" t="str">
        <f t="shared" si="7"/>
        <v>D8</v>
      </c>
      <c r="H11" s="235" t="str">
        <f t="shared" si="8"/>
        <v xml:space="preserve"> </v>
      </c>
      <c r="I11" s="75"/>
      <c r="J11" s="76"/>
      <c r="K11" s="134"/>
      <c r="L11" s="10">
        <f>LOOKUP($D$11,$AQ$42:$AQ$47,$AS$42:$AS$47)</f>
        <v>0</v>
      </c>
      <c r="M11" s="9" t="s">
        <v>5651</v>
      </c>
      <c r="N11" s="10">
        <f>LOOKUP(N5,P3:P102,Q3:Q102)</f>
        <v>9</v>
      </c>
      <c r="P11" s="65">
        <v>9</v>
      </c>
      <c r="Q11" s="10">
        <v>6</v>
      </c>
      <c r="R11" s="10" t="s">
        <v>5267</v>
      </c>
      <c r="S11" s="10" t="s">
        <v>5268</v>
      </c>
      <c r="T11" s="10">
        <v>30</v>
      </c>
      <c r="U11" s="10">
        <v>7</v>
      </c>
      <c r="V11" s="10">
        <v>21</v>
      </c>
      <c r="W11" s="10">
        <v>2</v>
      </c>
      <c r="X11" s="10">
        <v>0</v>
      </c>
      <c r="Z11" s="10">
        <v>10</v>
      </c>
      <c r="AA11" s="10">
        <v>5</v>
      </c>
      <c r="AC11" s="10">
        <v>10</v>
      </c>
      <c r="AD11" s="10" t="s">
        <v>5269</v>
      </c>
      <c r="AF11" s="9" t="s">
        <v>5270</v>
      </c>
      <c r="AG11" s="69">
        <f>IF(M175&gt;M178,M175,M178)</f>
        <v>33</v>
      </c>
      <c r="AH11" s="12">
        <f>LOOKUP(AG11,AJ23:AJ63,AL23:AL63)</f>
        <v>24000</v>
      </c>
      <c r="AI11" s="12"/>
      <c r="AJ11" s="12" t="s">
        <v>5271</v>
      </c>
      <c r="AK11" s="12">
        <v>5</v>
      </c>
      <c r="AL11" s="12">
        <v>7</v>
      </c>
      <c r="AM11" s="10">
        <v>5</v>
      </c>
      <c r="AN11" s="10">
        <v>35</v>
      </c>
      <c r="AO11" s="9" t="e">
        <f>IF(B2=AP10,AZ12,IF(B2=AP11,AZ13,IF(B2=AP12,AZ14,IF(B2=AP13,AZ15,IF(B2=AP14,AZ16,NA)))))</f>
        <v>#NAME?</v>
      </c>
      <c r="AP11" s="10" t="s">
        <v>5271</v>
      </c>
      <c r="AQ11" s="10">
        <v>-1</v>
      </c>
      <c r="AR11" s="10">
        <v>-1</v>
      </c>
      <c r="AS11" s="10">
        <v>2</v>
      </c>
      <c r="AT11" s="10">
        <v>0</v>
      </c>
      <c r="AU11" s="10">
        <v>0</v>
      </c>
      <c r="AV11" s="10">
        <v>-1</v>
      </c>
      <c r="AX11" s="10">
        <v>1</v>
      </c>
      <c r="AY11" s="10">
        <f t="shared" si="1"/>
        <v>17</v>
      </c>
      <c r="AZ11" s="9" t="str">
        <f t="shared" si="2"/>
        <v>80/40</v>
      </c>
      <c r="BB11" s="185"/>
      <c r="BD11" s="9" t="s">
        <v>5483</v>
      </c>
      <c r="BF11" s="9" t="s">
        <v>5270</v>
      </c>
      <c r="BG11" s="12">
        <f>IF($M$183=0,$AG$11,$AG$11+$J$1)</f>
        <v>36</v>
      </c>
      <c r="BH11" s="12">
        <f>LOOKUP(BG11,AJ23:AJ63,AL23:AL63)</f>
        <v>37500</v>
      </c>
      <c r="BL11" s="12" t="s">
        <v>5271</v>
      </c>
      <c r="BM11" s="9" t="str">
        <f>IF($L$72=0," "," ")</f>
        <v xml:space="preserve"> </v>
      </c>
      <c r="BN11" s="9" t="s">
        <v>5484</v>
      </c>
      <c r="BO11" s="9" t="s">
        <v>5485</v>
      </c>
      <c r="BP11" s="9" t="s">
        <v>5486</v>
      </c>
      <c r="BQ11" s="9" t="s">
        <v>5487</v>
      </c>
      <c r="BR11" s="9" t="s">
        <v>5278</v>
      </c>
      <c r="CA11" s="238" t="s">
        <v>5788</v>
      </c>
      <c r="CB11" s="239">
        <f>$G$915</f>
        <v>18</v>
      </c>
      <c r="CC11" s="240">
        <f>LOOKUP($B$3,$AP$3:$AP$19,$AV$3:$AV$19)</f>
        <v>0</v>
      </c>
      <c r="CD11" s="239"/>
      <c r="CE11" s="240">
        <f t="shared" si="9"/>
        <v>18</v>
      </c>
      <c r="CF11" s="241">
        <f t="shared" si="10"/>
        <v>0</v>
      </c>
      <c r="CG11" s="241" t="e">
        <f t="shared" si="11"/>
        <v>#N/A</v>
      </c>
      <c r="CH11" s="235" t="str">
        <f t="shared" si="12"/>
        <v xml:space="preserve"> </v>
      </c>
      <c r="CI11" s="75"/>
      <c r="CJ11" s="76"/>
      <c r="CK11" s="134"/>
      <c r="CL11" s="10">
        <f>LOOKUP($D$11,$AQ$42:$AQ$47,$AS$42:$AS$47)</f>
        <v>0</v>
      </c>
      <c r="CP11" s="9">
        <v>11</v>
      </c>
      <c r="CQ11" s="9">
        <v>5</v>
      </c>
      <c r="CR11" s="9">
        <v>11</v>
      </c>
      <c r="CS11" s="9">
        <v>17</v>
      </c>
      <c r="CT11" s="9">
        <v>21</v>
      </c>
      <c r="CU11" s="9">
        <v>25</v>
      </c>
    </row>
    <row r="12" spans="1:99" ht="14" thickBot="1">
      <c r="A12" s="126"/>
      <c r="B12" s="26" t="str">
        <f>IF($B$3&gt;0,LOOKUP($B$3,$BL$3:$BL$19,$BM$3:$BM$19)," ")</f>
        <v xml:space="preserve"> </v>
      </c>
      <c r="C12" s="21"/>
      <c r="D12" s="116" t="str">
        <f>IF(SUM(D6:D11)&gt;AG16,"You may only increase attributes once per circle!","")</f>
        <v/>
      </c>
      <c r="E12" s="21"/>
      <c r="F12" s="21"/>
      <c r="G12" s="234" t="str">
        <f>IF(AF14&gt;0,AF15," ")</f>
        <v xml:space="preserve"> </v>
      </c>
      <c r="H12" s="21"/>
      <c r="I12" s="116" t="str">
        <f>IF(I8&lt;0,"You have spent too many Legend Points"," ")</f>
        <v xml:space="preserve"> </v>
      </c>
      <c r="J12" s="21"/>
      <c r="K12" s="135"/>
      <c r="M12" s="9" t="s">
        <v>5466</v>
      </c>
      <c r="N12" s="10">
        <f>LOOKUP(N7,P3:P102,Q3:Q102)</f>
        <v>7</v>
      </c>
      <c r="O12" s="9" t="s">
        <v>5279</v>
      </c>
      <c r="P12" s="65">
        <v>10</v>
      </c>
      <c r="Q12" s="10">
        <v>6</v>
      </c>
      <c r="R12" s="10" t="s">
        <v>5280</v>
      </c>
      <c r="S12" s="10" t="s">
        <v>5281</v>
      </c>
      <c r="T12" s="10">
        <v>31</v>
      </c>
      <c r="U12" s="10">
        <v>8</v>
      </c>
      <c r="V12" s="10">
        <v>22</v>
      </c>
      <c r="W12" s="10">
        <v>2</v>
      </c>
      <c r="X12" s="10">
        <v>0</v>
      </c>
      <c r="Z12" s="10">
        <v>11</v>
      </c>
      <c r="AA12" s="10">
        <v>5</v>
      </c>
      <c r="AC12" s="10">
        <v>11</v>
      </c>
      <c r="AD12" s="10" t="s">
        <v>5282</v>
      </c>
      <c r="AF12" s="9" t="s">
        <v>5283</v>
      </c>
      <c r="AG12" s="10">
        <f>D13</f>
        <v>120</v>
      </c>
      <c r="AH12" s="12">
        <f>LOOKUP(AG12,AK23:AK63,AL23:AL63)</f>
        <v>2200</v>
      </c>
      <c r="AI12" s="12"/>
      <c r="AJ12" s="12" t="s">
        <v>5284</v>
      </c>
      <c r="AK12" s="12">
        <v>3</v>
      </c>
      <c r="AL12" s="12">
        <v>10</v>
      </c>
      <c r="AM12" s="10">
        <v>5</v>
      </c>
      <c r="AN12" s="10">
        <v>20</v>
      </c>
      <c r="AP12" s="12" t="s">
        <v>5284</v>
      </c>
      <c r="AQ12" s="10">
        <v>-2</v>
      </c>
      <c r="AR12" s="10">
        <v>6</v>
      </c>
      <c r="AS12" s="10">
        <v>4</v>
      </c>
      <c r="AT12" s="10">
        <v>-1</v>
      </c>
      <c r="AU12" s="10">
        <v>0</v>
      </c>
      <c r="AV12" s="10">
        <v>-1</v>
      </c>
      <c r="AX12" s="10">
        <v>-3</v>
      </c>
      <c r="AY12" s="10">
        <f t="shared" si="1"/>
        <v>13</v>
      </c>
      <c r="AZ12" s="9" t="str">
        <f t="shared" si="2"/>
        <v>60/30</v>
      </c>
      <c r="BB12" s="185"/>
      <c r="BF12" s="9" t="s">
        <v>5283</v>
      </c>
      <c r="BG12" s="12">
        <f t="shared" si="4"/>
        <v>120</v>
      </c>
      <c r="BH12" s="12">
        <f>LOOKUP(BG12,AK23:AK63,AL23:AL63)</f>
        <v>2200</v>
      </c>
      <c r="BL12" s="12" t="s">
        <v>5284</v>
      </c>
      <c r="BM12" s="9" t="str">
        <f>IF($B$7&lt;15,"Obsidimen must have a minimum Strength of 15 prior to racial modifications"," ")</f>
        <v xml:space="preserve"> </v>
      </c>
      <c r="BN12" s="9" t="s">
        <v>5373</v>
      </c>
      <c r="BO12" s="9" t="s">
        <v>5373</v>
      </c>
      <c r="BP12" s="9" t="s">
        <v>5373</v>
      </c>
      <c r="BQ12" s="9" t="s">
        <v>5373</v>
      </c>
      <c r="BR12" s="9" t="s">
        <v>5373</v>
      </c>
      <c r="BS12" s="9" t="s">
        <v>5373</v>
      </c>
      <c r="CA12" s="126"/>
      <c r="CB12" s="26" t="str">
        <f>IF($B$3&gt;0,LOOKUP($B$3,$BL$3:$BL$19,$BM$3:$BM$19)," ")</f>
        <v xml:space="preserve"> </v>
      </c>
      <c r="CC12" s="21"/>
      <c r="CD12" s="116"/>
      <c r="CE12" s="21"/>
      <c r="CF12" s="21"/>
      <c r="CG12" s="234"/>
      <c r="CH12" s="21"/>
      <c r="CI12" s="116" t="str">
        <f>IF(CI8&lt;0,"You have spent too many Legend Points"," ")</f>
        <v>You have spent too many Legend Points</v>
      </c>
      <c r="CJ12" s="21"/>
      <c r="CK12" s="135"/>
      <c r="CP12" s="9">
        <v>12</v>
      </c>
      <c r="CQ12" s="9">
        <v>6</v>
      </c>
      <c r="CR12" s="9">
        <v>12</v>
      </c>
      <c r="CS12" s="9">
        <v>18</v>
      </c>
      <c r="CT12" s="9">
        <v>22</v>
      </c>
      <c r="CU12" s="9">
        <v>27</v>
      </c>
    </row>
    <row r="13" spans="1:99" ht="15" thickTop="1" thickBot="1">
      <c r="A13" s="136">
        <f>IF($B$3=$AP$19,($N$10+$D$132+$C$64+2),($N$10+$D$132+$C$64))</f>
        <v>14</v>
      </c>
      <c r="B13" s="87" t="s">
        <v>5285</v>
      </c>
      <c r="C13" s="21"/>
      <c r="D13" s="52">
        <f>IF($D$2&gt;1,($N$15+($C$28*$A$953)+($C$67*$A$953)),$N$15+$C$67)</f>
        <v>120</v>
      </c>
      <c r="E13" s="44" t="s">
        <v>5683</v>
      </c>
      <c r="F13" s="21"/>
      <c r="G13" s="44" t="s">
        <v>5684</v>
      </c>
      <c r="H13" s="21"/>
      <c r="I13" s="21"/>
      <c r="J13" s="62">
        <f>$D$19+$E$60+$C$72</f>
        <v>10</v>
      </c>
      <c r="K13" s="127" t="s">
        <v>5685</v>
      </c>
      <c r="M13" s="9" t="s">
        <v>5686</v>
      </c>
      <c r="N13" s="10" t="str">
        <f>LOOKUP(N2,P3:P102,R3:R102)</f>
        <v>75/38</v>
      </c>
      <c r="O13" s="9" t="str">
        <f>LOOKUP((E6+2),P3:P102,R3:R102)</f>
        <v>85/42</v>
      </c>
      <c r="P13" s="65">
        <v>11</v>
      </c>
      <c r="Q13" s="10">
        <v>7</v>
      </c>
      <c r="R13" s="10" t="s">
        <v>5292</v>
      </c>
      <c r="S13" s="10" t="s">
        <v>5293</v>
      </c>
      <c r="T13" s="10">
        <v>32</v>
      </c>
      <c r="U13" s="10">
        <v>8</v>
      </c>
      <c r="V13" s="10">
        <v>24</v>
      </c>
      <c r="W13" s="10">
        <v>2</v>
      </c>
      <c r="X13" s="10">
        <v>1</v>
      </c>
      <c r="Z13" s="10">
        <v>12</v>
      </c>
      <c r="AA13" s="10">
        <v>5</v>
      </c>
      <c r="AC13" s="10">
        <v>12</v>
      </c>
      <c r="AD13" s="10" t="s">
        <v>5294</v>
      </c>
      <c r="AF13" s="4" t="s">
        <v>5504</v>
      </c>
      <c r="AG13" s="10"/>
      <c r="AH13" s="12">
        <f>SUM(AH2:AH12)</f>
        <v>29358</v>
      </c>
      <c r="AI13" s="12"/>
      <c r="AJ13" s="12" t="s">
        <v>5505</v>
      </c>
      <c r="AK13" s="12">
        <v>5</v>
      </c>
      <c r="AL13" s="12">
        <v>7</v>
      </c>
      <c r="AM13" s="10">
        <v>10</v>
      </c>
      <c r="AN13" s="10">
        <v>40</v>
      </c>
      <c r="AP13" s="12" t="s">
        <v>5505</v>
      </c>
      <c r="AQ13" s="10">
        <v>-1</v>
      </c>
      <c r="AR13" s="10">
        <v>3</v>
      </c>
      <c r="AS13" s="10">
        <v>1</v>
      </c>
      <c r="AT13" s="10">
        <v>0</v>
      </c>
      <c r="AU13" s="10">
        <v>-2</v>
      </c>
      <c r="AV13" s="10">
        <v>-1</v>
      </c>
      <c r="AX13" s="10">
        <v>2</v>
      </c>
      <c r="AY13" s="10">
        <f t="shared" si="1"/>
        <v>18</v>
      </c>
      <c r="AZ13" s="9" t="str">
        <f t="shared" si="2"/>
        <v>85/42</v>
      </c>
      <c r="BB13" s="185"/>
      <c r="BF13" s="4" t="s">
        <v>5504</v>
      </c>
      <c r="BG13" s="12"/>
      <c r="BH13" s="12">
        <f>SUM(BH2:BH12)</f>
        <v>59733</v>
      </c>
      <c r="BL13" s="12" t="s">
        <v>5505</v>
      </c>
      <c r="BM13" s="9" t="str">
        <f>IF($L$72=0," "," ")</f>
        <v xml:space="preserve"> </v>
      </c>
      <c r="BN13" s="9" t="s">
        <v>5481</v>
      </c>
      <c r="BO13" s="9" t="s">
        <v>5373</v>
      </c>
      <c r="BP13" s="9" t="s">
        <v>5373</v>
      </c>
      <c r="BQ13" s="9" t="s">
        <v>5373</v>
      </c>
      <c r="BR13" s="9" t="s">
        <v>5373</v>
      </c>
      <c r="BS13" s="9" t="s">
        <v>5373</v>
      </c>
      <c r="CA13" s="136">
        <f>IF($B$3=$AP$19,($N$10+$D$132+$C$64+2),($N$10+$D$132+$C$64))</f>
        <v>14</v>
      </c>
      <c r="CB13" s="87" t="s">
        <v>5285</v>
      </c>
      <c r="CC13" s="21"/>
      <c r="CD13" s="52">
        <f>IF($D$2&gt;1,($N$15+($C$28*$A$953)+($C$67*$A$953)),$N$15+$C$67)</f>
        <v>120</v>
      </c>
      <c r="CE13" s="44" t="s">
        <v>5683</v>
      </c>
      <c r="CF13" s="21"/>
      <c r="CG13" s="44" t="s">
        <v>5684</v>
      </c>
      <c r="CH13" s="21"/>
      <c r="CI13" s="21"/>
      <c r="CJ13" s="62">
        <f>$D$19+$E$60+$C$72</f>
        <v>10</v>
      </c>
      <c r="CK13" s="127" t="s">
        <v>5685</v>
      </c>
      <c r="CP13" s="9">
        <v>13</v>
      </c>
      <c r="CQ13" s="9">
        <v>6</v>
      </c>
      <c r="CR13" s="9">
        <v>13</v>
      </c>
      <c r="CS13" s="9">
        <v>20</v>
      </c>
      <c r="CT13" s="9">
        <v>24</v>
      </c>
      <c r="CU13" s="9">
        <v>29</v>
      </c>
    </row>
    <row r="14" spans="1:99" ht="15" thickTop="1" thickBot="1">
      <c r="A14" s="136">
        <f>IF($B$3=$AP$3,($N$11+$E$132+$C$65+1),($N$11+$E$132+$C$65))</f>
        <v>11</v>
      </c>
      <c r="B14" s="21" t="s">
        <v>5506</v>
      </c>
      <c r="C14" s="21"/>
      <c r="D14" s="52">
        <f>IF($B$3=$AP$13,($N$16+$C$68+3),($N$16+$C$68))</f>
        <v>14</v>
      </c>
      <c r="E14" s="44" t="s">
        <v>5507</v>
      </c>
      <c r="F14" s="21"/>
      <c r="G14" s="60" t="str">
        <f>CONCATENATE(-D17&amp;" ("&amp;E17&amp;")")</f>
        <v>-2 ( Blood Magic)</v>
      </c>
      <c r="H14" s="77"/>
      <c r="I14" s="21"/>
      <c r="J14" s="62">
        <f>$J$13+$E$61</f>
        <v>10</v>
      </c>
      <c r="K14" s="127" t="s">
        <v>5508</v>
      </c>
      <c r="M14" s="9" t="s">
        <v>5509</v>
      </c>
      <c r="N14" s="10" t="str">
        <f>LOOKUP(N3,P3:P102,S3:S102)</f>
        <v>430/860</v>
      </c>
      <c r="P14" s="65">
        <v>12</v>
      </c>
      <c r="Q14" s="10">
        <v>7</v>
      </c>
      <c r="R14" s="10" t="s">
        <v>5510</v>
      </c>
      <c r="S14" s="10" t="s">
        <v>5511</v>
      </c>
      <c r="T14" s="10">
        <v>34</v>
      </c>
      <c r="U14" s="10">
        <v>9</v>
      </c>
      <c r="V14" s="10">
        <v>26</v>
      </c>
      <c r="W14" s="10">
        <v>2</v>
      </c>
      <c r="X14" s="10">
        <v>1</v>
      </c>
      <c r="Z14" s="10">
        <v>13</v>
      </c>
      <c r="AA14" s="10">
        <v>6</v>
      </c>
      <c r="AC14" s="10">
        <v>13</v>
      </c>
      <c r="AD14" s="10" t="s">
        <v>5512</v>
      </c>
      <c r="AF14" s="4">
        <f>COUNTIF(D6:D11,"&gt;5")</f>
        <v>0</v>
      </c>
      <c r="AG14" s="10"/>
      <c r="AH14" s="12"/>
      <c r="AI14" s="12"/>
      <c r="AJ14" s="12" t="s">
        <v>5513</v>
      </c>
      <c r="AK14" s="12">
        <v>5</v>
      </c>
      <c r="AL14" s="12">
        <v>8</v>
      </c>
      <c r="AM14" s="10">
        <v>10</v>
      </c>
      <c r="AN14" s="10">
        <v>35</v>
      </c>
      <c r="AP14" s="12" t="s">
        <v>5513</v>
      </c>
      <c r="AQ14" s="10">
        <v>1</v>
      </c>
      <c r="AR14" s="10">
        <v>1</v>
      </c>
      <c r="AS14" s="10">
        <v>0</v>
      </c>
      <c r="AT14" s="10">
        <v>0</v>
      </c>
      <c r="AU14" s="10">
        <v>0</v>
      </c>
      <c r="AV14" s="10">
        <v>-2</v>
      </c>
      <c r="AX14" s="10">
        <v>-1</v>
      </c>
      <c r="AY14" s="10">
        <f t="shared" si="1"/>
        <v>15</v>
      </c>
      <c r="AZ14" s="9" t="str">
        <f t="shared" si="2"/>
        <v>70/35</v>
      </c>
      <c r="BB14" s="185"/>
      <c r="BL14" s="12" t="s">
        <v>5513</v>
      </c>
      <c r="BM14" s="9" t="str">
        <f>IF($L$72=0," "," ")</f>
        <v xml:space="preserve"> </v>
      </c>
      <c r="BN14" s="9" t="s">
        <v>5514</v>
      </c>
      <c r="CA14" s="136">
        <f>IF($B$3=$AP$3,($N$11+$E$132+$C$65+1),($N$11+$E$132+$C$65))</f>
        <v>11</v>
      </c>
      <c r="CB14" s="21" t="s">
        <v>5506</v>
      </c>
      <c r="CC14" s="21"/>
      <c r="CD14" s="52">
        <f>IF($B$3=$AP$13,($N$16+$C$68+3),($N$16+$C$68))</f>
        <v>14</v>
      </c>
      <c r="CE14" s="44" t="s">
        <v>5507</v>
      </c>
      <c r="CF14" s="21"/>
      <c r="CG14" s="60" t="str">
        <f>CONCATENATE(-CD17&amp;" ("&amp;CE17&amp;")")</f>
        <v>0 ( Blood Magic)</v>
      </c>
      <c r="CH14" s="77"/>
      <c r="CI14" s="21"/>
      <c r="CJ14" s="62">
        <f>$J$13+$E$61</f>
        <v>10</v>
      </c>
      <c r="CK14" s="127" t="s">
        <v>5508</v>
      </c>
      <c r="CP14" s="9">
        <v>14</v>
      </c>
      <c r="CQ14" s="9">
        <v>7</v>
      </c>
      <c r="CR14" s="9">
        <v>14</v>
      </c>
      <c r="CS14" s="9">
        <v>21</v>
      </c>
      <c r="CT14" s="9">
        <v>26</v>
      </c>
      <c r="CU14" s="9">
        <v>32</v>
      </c>
    </row>
    <row r="15" spans="1:99" ht="15" thickTop="1" thickBot="1">
      <c r="A15" s="136">
        <f>IF($B$3=$AP$3,($N$12+$F$132+$C$66+1),($N$12+$F$132+$C$66))</f>
        <v>9</v>
      </c>
      <c r="B15" s="21" t="s">
        <v>5687</v>
      </c>
      <c r="C15" s="21"/>
      <c r="D15" s="52">
        <f>IF($D$2&gt;1,$N$17+($C$28*$B$953)+($C$69*$B$953),$N$17+$C$69)</f>
        <v>101</v>
      </c>
      <c r="E15" s="44" t="s">
        <v>5688</v>
      </c>
      <c r="F15" s="21"/>
      <c r="G15" s="20"/>
      <c r="H15" s="28"/>
      <c r="I15" s="21"/>
      <c r="J15" s="62">
        <f>$D$18</f>
        <v>5</v>
      </c>
      <c r="K15" s="127" t="s">
        <v>5689</v>
      </c>
      <c r="M15" s="9" t="s">
        <v>5283</v>
      </c>
      <c r="N15" s="10">
        <f>LOOKUP(N4,P3:P102,T3:T102)</f>
        <v>43</v>
      </c>
      <c r="P15" s="65">
        <v>13</v>
      </c>
      <c r="Q15" s="10">
        <v>7</v>
      </c>
      <c r="R15" s="10" t="s">
        <v>5690</v>
      </c>
      <c r="S15" s="10" t="s">
        <v>5691</v>
      </c>
      <c r="T15" s="10">
        <v>35</v>
      </c>
      <c r="U15" s="10">
        <v>9</v>
      </c>
      <c r="V15" s="10">
        <v>27</v>
      </c>
      <c r="W15" s="10">
        <v>2</v>
      </c>
      <c r="X15" s="10">
        <v>1</v>
      </c>
      <c r="Z15" s="10">
        <v>14</v>
      </c>
      <c r="AA15" s="10">
        <v>6</v>
      </c>
      <c r="AC15" s="10">
        <v>14</v>
      </c>
      <c r="AD15" s="10" t="s">
        <v>5692</v>
      </c>
      <c r="AF15" s="9" t="s">
        <v>5693</v>
      </c>
      <c r="AG15" s="10"/>
      <c r="AH15" s="12"/>
      <c r="AJ15" s="12" t="s">
        <v>5694</v>
      </c>
      <c r="AK15" s="12">
        <v>5</v>
      </c>
      <c r="AL15" s="12">
        <v>6</v>
      </c>
      <c r="AM15" s="10">
        <v>10</v>
      </c>
      <c r="AN15" s="10">
        <v>40</v>
      </c>
      <c r="AO15" s="9" t="e">
        <f>IF($B$3=$AP$11,AR$11,IF($B$3=$AP$12,AR$12,IF($B$3=$AP$13,AR$13,IF($B$3=$AP$14,AR$14,IF($B$3=$AP$15,AR$15,NA)))))</f>
        <v>#NAME?</v>
      </c>
      <c r="AP15" s="12" t="s">
        <v>5694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X15" s="10">
        <v>-2</v>
      </c>
      <c r="AY15" s="10">
        <f t="shared" si="1"/>
        <v>14</v>
      </c>
      <c r="AZ15" s="9" t="str">
        <f t="shared" si="2"/>
        <v>65/33</v>
      </c>
      <c r="BB15" s="185"/>
      <c r="BL15" s="12" t="s">
        <v>5694</v>
      </c>
      <c r="BN15" s="9" t="s">
        <v>5695</v>
      </c>
      <c r="CA15" s="136">
        <f>IF($B$3=$AP$3,($N$12+$F$132+$C$66+1),($N$12+$F$132+$C$66))</f>
        <v>9</v>
      </c>
      <c r="CB15" s="21" t="s">
        <v>5687</v>
      </c>
      <c r="CC15" s="21"/>
      <c r="CD15" s="52">
        <f>IF($D$2&gt;1,$N$17+($C$28*$B$953)+($C$69*$B$953),$N$17+$C$69)</f>
        <v>101</v>
      </c>
      <c r="CE15" s="44" t="s">
        <v>5688</v>
      </c>
      <c r="CF15" s="21"/>
      <c r="CG15" s="20"/>
      <c r="CH15" s="28"/>
      <c r="CI15" s="21"/>
      <c r="CJ15" s="62">
        <f>$D$18</f>
        <v>5</v>
      </c>
      <c r="CK15" s="127" t="s">
        <v>5689</v>
      </c>
      <c r="CP15" s="9">
        <v>15</v>
      </c>
      <c r="CQ15" s="9">
        <v>8</v>
      </c>
      <c r="CR15" s="9">
        <v>15</v>
      </c>
      <c r="CS15" s="9">
        <v>22</v>
      </c>
      <c r="CT15" s="9">
        <v>27</v>
      </c>
      <c r="CU15" s="9">
        <v>33</v>
      </c>
    </row>
    <row r="16" spans="1:99" ht="15" thickTop="1" thickBot="1">
      <c r="A16" s="136" t="str">
        <f>LOOKUP($B$3,$AP$3:$AP$19,$AZ$3:$AZ$19)</f>
        <v>75/38</v>
      </c>
      <c r="B16" s="21" t="s">
        <v>5696</v>
      </c>
      <c r="C16" s="21"/>
      <c r="D16" s="52">
        <f>IF($B$3=$AP$3,($N$18+$C$132+$C$70-1),($N$18+$C$132+$C$70))</f>
        <v>4</v>
      </c>
      <c r="E16" s="44" t="s">
        <v>5832</v>
      </c>
      <c r="F16" s="21"/>
      <c r="G16" s="22"/>
      <c r="H16" s="61"/>
      <c r="I16" s="21"/>
      <c r="J16" s="62">
        <f>$J$15+$F$61</f>
        <v>5</v>
      </c>
      <c r="K16" s="127" t="s">
        <v>5508</v>
      </c>
      <c r="M16" s="9" t="s">
        <v>5833</v>
      </c>
      <c r="N16" s="10">
        <f>LOOKUP(N4,P3:P102,U3:U102)</f>
        <v>12</v>
      </c>
      <c r="P16" s="65">
        <v>14</v>
      </c>
      <c r="Q16" s="10">
        <v>8</v>
      </c>
      <c r="R16" s="10" t="s">
        <v>5834</v>
      </c>
      <c r="S16" s="10" t="s">
        <v>5835</v>
      </c>
      <c r="T16" s="10">
        <v>36</v>
      </c>
      <c r="U16" s="10">
        <v>10</v>
      </c>
      <c r="V16" s="10">
        <v>28</v>
      </c>
      <c r="W16" s="10">
        <v>3</v>
      </c>
      <c r="X16" s="10">
        <v>2</v>
      </c>
      <c r="Z16" s="10">
        <v>15</v>
      </c>
      <c r="AA16" s="10">
        <v>6</v>
      </c>
      <c r="AC16" s="10">
        <v>15</v>
      </c>
      <c r="AD16" s="10" t="s">
        <v>5836</v>
      </c>
      <c r="AF16" s="4" t="s">
        <v>5837</v>
      </c>
      <c r="AG16" s="10">
        <f>IF(D2&gt;=E134,D2,E134)</f>
        <v>10</v>
      </c>
      <c r="AH16" s="12"/>
      <c r="AJ16" s="12" t="s">
        <v>5838</v>
      </c>
      <c r="AK16" s="12">
        <v>4</v>
      </c>
      <c r="AL16" s="12">
        <v>8</v>
      </c>
      <c r="AM16" s="10">
        <v>5</v>
      </c>
      <c r="AN16" s="10">
        <v>25</v>
      </c>
      <c r="AP16" s="12" t="s">
        <v>5838</v>
      </c>
      <c r="AQ16" s="10">
        <v>1</v>
      </c>
      <c r="AR16" s="10">
        <v>0</v>
      </c>
      <c r="AS16" s="10">
        <v>1</v>
      </c>
      <c r="AT16" s="10">
        <v>0</v>
      </c>
      <c r="AU16" s="10">
        <v>0</v>
      </c>
      <c r="AV16" s="10">
        <v>1</v>
      </c>
      <c r="AX16" s="10">
        <v>0</v>
      </c>
      <c r="AY16" s="10">
        <f t="shared" si="1"/>
        <v>16</v>
      </c>
      <c r="AZ16" s="9" t="str">
        <f t="shared" si="2"/>
        <v>75/38</v>
      </c>
      <c r="BB16" s="185"/>
      <c r="BL16" s="12" t="s">
        <v>5838</v>
      </c>
      <c r="BM16" s="9" t="str">
        <f>IF($L$72=0," "," ")</f>
        <v xml:space="preserve"> </v>
      </c>
      <c r="BN16" s="9" t="s">
        <v>5705</v>
      </c>
      <c r="BO16" s="9" t="s">
        <v>5706</v>
      </c>
      <c r="BP16" s="9" t="s">
        <v>5373</v>
      </c>
      <c r="BQ16" s="9" t="s">
        <v>5373</v>
      </c>
      <c r="BR16" s="9" t="s">
        <v>5373</v>
      </c>
      <c r="BS16" s="9" t="s">
        <v>5373</v>
      </c>
      <c r="CA16" s="136" t="str">
        <f>LOOKUP($B$3,$AP$3:$AP$19,$AZ$3:$AZ$19)</f>
        <v>75/38</v>
      </c>
      <c r="CB16" s="21" t="s">
        <v>5696</v>
      </c>
      <c r="CC16" s="21"/>
      <c r="CD16" s="52">
        <f>IF($B$3=$AP$3,($N$18+$C$132+$C$70-1),($N$18+$C$132+$C$70))</f>
        <v>4</v>
      </c>
      <c r="CE16" s="44" t="s">
        <v>5832</v>
      </c>
      <c r="CF16" s="21"/>
      <c r="CG16" s="22"/>
      <c r="CH16" s="61"/>
      <c r="CI16" s="21"/>
      <c r="CJ16" s="62">
        <f>$J$15+$F$61</f>
        <v>5</v>
      </c>
      <c r="CK16" s="127" t="s">
        <v>5508</v>
      </c>
      <c r="CP16" s="9">
        <v>16</v>
      </c>
      <c r="CQ16" s="9">
        <v>8</v>
      </c>
      <c r="CR16" s="9">
        <v>16</v>
      </c>
      <c r="CS16" s="9">
        <v>24</v>
      </c>
      <c r="CT16" s="9">
        <v>29</v>
      </c>
      <c r="CU16" s="9">
        <v>35</v>
      </c>
    </row>
    <row r="17" spans="1:99">
      <c r="A17" s="136" t="str">
        <f>IF($B$3=$AP$19,O13,"NA")</f>
        <v>NA</v>
      </c>
      <c r="B17" s="21" t="s">
        <v>5707</v>
      </c>
      <c r="C17" s="21"/>
      <c r="D17" s="52">
        <f>SUM(C238:C246)</f>
        <v>2</v>
      </c>
      <c r="E17" s="44" t="s">
        <v>5708</v>
      </c>
      <c r="F17" s="21"/>
      <c r="G17" s="44" t="s">
        <v>5709</v>
      </c>
      <c r="H17" s="21" t="s">
        <v>5710</v>
      </c>
      <c r="I17" s="21"/>
      <c r="J17" s="21"/>
      <c r="K17" s="135"/>
      <c r="M17" s="9" t="s">
        <v>5711</v>
      </c>
      <c r="N17" s="10">
        <f>LOOKUP(N4,P3:P102,V3:V102)</f>
        <v>35</v>
      </c>
      <c r="P17" s="65">
        <v>15</v>
      </c>
      <c r="Q17" s="10">
        <v>8</v>
      </c>
      <c r="R17" s="10" t="s">
        <v>5846</v>
      </c>
      <c r="S17" s="10" t="s">
        <v>5847</v>
      </c>
      <c r="T17" s="10">
        <v>38</v>
      </c>
      <c r="U17" s="10">
        <v>10</v>
      </c>
      <c r="V17" s="10">
        <v>29</v>
      </c>
      <c r="W17" s="10">
        <v>3</v>
      </c>
      <c r="X17" s="10">
        <v>2</v>
      </c>
      <c r="Z17" s="10">
        <v>16</v>
      </c>
      <c r="AA17" s="10">
        <v>7</v>
      </c>
      <c r="AC17" s="10">
        <v>16</v>
      </c>
      <c r="AD17" s="10" t="s">
        <v>5848</v>
      </c>
      <c r="AG17" s="10"/>
      <c r="AH17" s="12"/>
      <c r="AJ17" s="12" t="s">
        <v>5644</v>
      </c>
      <c r="AK17" s="12">
        <v>3</v>
      </c>
      <c r="AL17" s="12">
        <v>10</v>
      </c>
      <c r="AM17" s="10">
        <v>6</v>
      </c>
      <c r="AN17" s="10">
        <v>20</v>
      </c>
      <c r="AP17" s="12" t="s">
        <v>5644</v>
      </c>
      <c r="AQ17" s="10">
        <v>0</v>
      </c>
      <c r="AR17" s="10">
        <v>4</v>
      </c>
      <c r="AS17" s="10">
        <v>2</v>
      </c>
      <c r="AT17" s="10">
        <v>-1</v>
      </c>
      <c r="AU17" s="10">
        <v>1</v>
      </c>
      <c r="AV17" s="10">
        <v>0</v>
      </c>
      <c r="AX17" s="10">
        <v>0</v>
      </c>
      <c r="AY17" s="10">
        <f t="shared" si="1"/>
        <v>16</v>
      </c>
      <c r="AZ17" s="9" t="str">
        <f t="shared" si="2"/>
        <v>75/38</v>
      </c>
      <c r="BB17" s="185"/>
      <c r="BL17" s="12" t="s">
        <v>5644</v>
      </c>
      <c r="BM17" s="9" t="str">
        <f>IF($B$7&lt;11,"Trolls must have a minimum Strength of 11 and a minimum Toughness of 11 prior to racial modifications",IF($B$8&lt;11,"Trolls must have a minimum Strength of 11 and a minimum Toughness of 11 prior to racial modifications"," "))</f>
        <v xml:space="preserve"> </v>
      </c>
      <c r="BN17" s="9" t="s">
        <v>5468</v>
      </c>
      <c r="BO17" s="9" t="s">
        <v>5373</v>
      </c>
      <c r="BP17" s="9" t="s">
        <v>5373</v>
      </c>
      <c r="BQ17" s="9" t="s">
        <v>5373</v>
      </c>
      <c r="BR17" s="9" t="s">
        <v>5373</v>
      </c>
      <c r="BS17" s="9" t="s">
        <v>5373</v>
      </c>
      <c r="CA17" s="136" t="str">
        <f>IF($B$3=$AP$19,CO13,"NA")</f>
        <v>NA</v>
      </c>
      <c r="CB17" s="21" t="s">
        <v>5707</v>
      </c>
      <c r="CC17" s="21"/>
      <c r="CD17" s="52">
        <f>SUM(CC238:CC246)</f>
        <v>0</v>
      </c>
      <c r="CE17" s="44" t="s">
        <v>5708</v>
      </c>
      <c r="CF17" s="21"/>
      <c r="CG17" s="44" t="s">
        <v>5709</v>
      </c>
      <c r="CH17" s="21" t="s">
        <v>5710</v>
      </c>
      <c r="CI17" s="21"/>
      <c r="CJ17" s="21"/>
      <c r="CK17" s="135"/>
      <c r="CP17" s="9">
        <v>17</v>
      </c>
      <c r="CQ17" s="9">
        <v>9</v>
      </c>
      <c r="CR17" s="9">
        <v>17</v>
      </c>
      <c r="CS17" s="9">
        <v>25</v>
      </c>
      <c r="CT17" s="9">
        <v>30</v>
      </c>
      <c r="CU17" s="9">
        <v>37</v>
      </c>
    </row>
    <row r="18" spans="1:99" ht="14" thickBot="1">
      <c r="A18" s="136" t="str">
        <f>$N$14</f>
        <v>430/860</v>
      </c>
      <c r="B18" s="21" t="s">
        <v>5715</v>
      </c>
      <c r="C18" s="21"/>
      <c r="D18" s="52">
        <f>$N$19+$C$71+$F$60</f>
        <v>5</v>
      </c>
      <c r="E18" s="44" t="s">
        <v>5716</v>
      </c>
      <c r="F18" s="21"/>
      <c r="G18" s="78"/>
      <c r="H18" s="51">
        <f>LOOKUP($D$14,$CP$3:$CP$50,$CT$3:$CT$50)</f>
        <v>26</v>
      </c>
      <c r="I18" s="21"/>
      <c r="J18" s="44" t="s">
        <v>5717</v>
      </c>
      <c r="K18" s="127" t="s">
        <v>5374</v>
      </c>
      <c r="M18" s="9" t="s">
        <v>5718</v>
      </c>
      <c r="N18" s="10">
        <f>LOOKUP(N4,P3:P102,W3:W102)</f>
        <v>3</v>
      </c>
      <c r="P18" s="65">
        <v>16</v>
      </c>
      <c r="Q18" s="10">
        <v>9</v>
      </c>
      <c r="R18" s="10" t="s">
        <v>5719</v>
      </c>
      <c r="S18" s="10" t="s">
        <v>5720</v>
      </c>
      <c r="T18" s="10">
        <v>39</v>
      </c>
      <c r="U18" s="10">
        <v>11</v>
      </c>
      <c r="V18" s="10">
        <v>31</v>
      </c>
      <c r="W18" s="10">
        <v>3</v>
      </c>
      <c r="X18" s="10">
        <v>2</v>
      </c>
      <c r="Z18" s="10">
        <v>17</v>
      </c>
      <c r="AA18" s="10">
        <v>7</v>
      </c>
      <c r="AC18" s="10">
        <v>17</v>
      </c>
      <c r="AD18" s="10" t="s">
        <v>5721</v>
      </c>
      <c r="AJ18" s="12" t="s">
        <v>5722</v>
      </c>
      <c r="AK18" s="12">
        <v>3</v>
      </c>
      <c r="AL18" s="12">
        <v>12</v>
      </c>
      <c r="AM18" s="10">
        <v>5</v>
      </c>
      <c r="AN18" s="10">
        <v>20</v>
      </c>
      <c r="AP18" s="10" t="s">
        <v>5722</v>
      </c>
      <c r="AQ18" s="10">
        <v>-1</v>
      </c>
      <c r="AR18" s="10">
        <v>2</v>
      </c>
      <c r="AS18" s="10">
        <v>3</v>
      </c>
      <c r="AT18" s="10">
        <v>-1</v>
      </c>
      <c r="AU18" s="10">
        <v>0</v>
      </c>
      <c r="AV18" s="10">
        <v>-2</v>
      </c>
      <c r="AX18" s="10">
        <v>-1</v>
      </c>
      <c r="AY18" s="10">
        <f t="shared" si="1"/>
        <v>15</v>
      </c>
      <c r="AZ18" s="9" t="str">
        <f t="shared" si="2"/>
        <v>70/35</v>
      </c>
      <c r="BB18" s="185"/>
      <c r="BL18" s="12" t="s">
        <v>5722</v>
      </c>
      <c r="BM18" s="9" t="str">
        <f>IF($L$72=0," "," ")</f>
        <v xml:space="preserve"> </v>
      </c>
      <c r="BN18" s="9" t="s">
        <v>5723</v>
      </c>
      <c r="BO18" s="9" t="s">
        <v>5724</v>
      </c>
      <c r="BP18" s="9" t="str">
        <f>IF($B$12&gt;3,"Corrupt Karma Power",$L$81)</f>
        <v>Corrupt Karma Power</v>
      </c>
      <c r="BQ18" s="9" t="str">
        <f>IF($B$12&gt;5,"Animate Dead Power",$L$81)</f>
        <v>Animate Dead Power</v>
      </c>
      <c r="BR18" s="9" t="str">
        <f>IF($B$12&gt;7,"Terror Power",$L$81)</f>
        <v>Terror Power</v>
      </c>
      <c r="BS18" s="9" t="str">
        <f>IF($B$12&gt;9,"Cursed Luck Power",$L$81)</f>
        <v>Cursed Luck Power</v>
      </c>
      <c r="CA18" s="136" t="str">
        <f>$N$14</f>
        <v>430/860</v>
      </c>
      <c r="CB18" s="21" t="s">
        <v>5715</v>
      </c>
      <c r="CC18" s="21"/>
      <c r="CD18" s="52">
        <f>$N$19+$C$71+$F$60</f>
        <v>5</v>
      </c>
      <c r="CE18" s="44" t="s">
        <v>5716</v>
      </c>
      <c r="CF18" s="21"/>
      <c r="CG18" s="78"/>
      <c r="CH18" s="51">
        <f>LOOKUP($D$14,$CP$3:$CP$50,$CT$3:$CT$50)</f>
        <v>26</v>
      </c>
      <c r="CI18" s="21"/>
      <c r="CJ18" s="44" t="s">
        <v>5717</v>
      </c>
      <c r="CK18" s="127" t="s">
        <v>5374</v>
      </c>
      <c r="CP18" s="9">
        <v>18</v>
      </c>
      <c r="CQ18" s="9">
        <v>10</v>
      </c>
      <c r="CR18" s="9">
        <v>18</v>
      </c>
      <c r="CS18" s="9">
        <v>26</v>
      </c>
      <c r="CT18" s="9">
        <v>32</v>
      </c>
      <c r="CU18" s="9">
        <v>38</v>
      </c>
    </row>
    <row r="19" spans="1:99" ht="15" thickTop="1" thickBot="1">
      <c r="A19" s="136">
        <f>SUM($K$238:$K$246)</f>
        <v>0</v>
      </c>
      <c r="B19" s="101" t="s">
        <v>5725</v>
      </c>
      <c r="C19" s="21"/>
      <c r="D19" s="52">
        <f>IF($B$3=$AP$13,3,0)</f>
        <v>0</v>
      </c>
      <c r="E19" s="44" t="s">
        <v>5554</v>
      </c>
      <c r="F19" s="21"/>
      <c r="G19" s="81"/>
      <c r="H19" s="51">
        <f>LOOKUP($D$14,$CP$3:$CP$50,$CU$3:$CU$50)</f>
        <v>32</v>
      </c>
      <c r="I19" s="21"/>
      <c r="J19" s="62">
        <f>IF($J$184&gt;$J$199,$J$184,$J$199)</f>
        <v>8</v>
      </c>
      <c r="K19" s="137" t="str">
        <f>LOOKUP($J$19,$AC$2:$AC$101,$AD$2:$AD$101)</f>
        <v>2D6</v>
      </c>
      <c r="M19" s="9" t="s">
        <v>5555</v>
      </c>
      <c r="N19" s="10">
        <f>LOOKUP(N6,P3:P102,X3:X102)</f>
        <v>1</v>
      </c>
      <c r="P19" s="65">
        <v>17</v>
      </c>
      <c r="Q19" s="10">
        <v>9</v>
      </c>
      <c r="R19" s="10" t="s">
        <v>5556</v>
      </c>
      <c r="S19" s="10" t="s">
        <v>5338</v>
      </c>
      <c r="T19" s="10">
        <v>40</v>
      </c>
      <c r="U19" s="10">
        <v>11</v>
      </c>
      <c r="V19" s="10">
        <v>32</v>
      </c>
      <c r="W19" s="10">
        <v>3</v>
      </c>
      <c r="X19" s="10">
        <v>3</v>
      </c>
      <c r="Z19" s="10">
        <v>18</v>
      </c>
      <c r="AA19" s="10">
        <v>7</v>
      </c>
      <c r="AC19" s="10">
        <v>18</v>
      </c>
      <c r="AD19" s="10" t="s">
        <v>5339</v>
      </c>
      <c r="AI19" s="3" t="s">
        <v>5340</v>
      </c>
      <c r="AJ19" s="12" t="s">
        <v>5341</v>
      </c>
      <c r="AK19" s="12">
        <v>6</v>
      </c>
      <c r="AL19" s="12">
        <v>5</v>
      </c>
      <c r="AM19" s="10">
        <v>15</v>
      </c>
      <c r="AN19" s="10">
        <v>60</v>
      </c>
      <c r="AP19" s="12" t="s">
        <v>5341</v>
      </c>
      <c r="AQ19" s="10">
        <v>1</v>
      </c>
      <c r="AR19" s="10">
        <v>-4</v>
      </c>
      <c r="AS19" s="10">
        <v>-3</v>
      </c>
      <c r="AT19" s="10">
        <v>1</v>
      </c>
      <c r="AU19" s="10">
        <v>0</v>
      </c>
      <c r="AV19" s="10">
        <v>2</v>
      </c>
      <c r="AX19" s="10">
        <v>-8</v>
      </c>
      <c r="AY19" s="10">
        <f t="shared" si="1"/>
        <v>8</v>
      </c>
      <c r="AZ19" s="9" t="str">
        <f t="shared" si="2"/>
        <v>43/22</v>
      </c>
      <c r="BB19" s="185"/>
      <c r="BL19" s="12" t="s">
        <v>5341</v>
      </c>
      <c r="BM19" s="9" t="str">
        <f>IF($B$7&gt;11,"Windlings may not have a maximum Strength higher than 11 prior to racial modifications"," ")</f>
        <v>Windlings may not have a maximum Strength higher than 11 prior to racial modifications</v>
      </c>
      <c r="BN19" s="9" t="s">
        <v>5342</v>
      </c>
      <c r="BO19" s="9" t="s">
        <v>5373</v>
      </c>
      <c r="BP19" s="9" t="s">
        <v>5373</v>
      </c>
      <c r="BQ19" s="9" t="s">
        <v>5373</v>
      </c>
      <c r="BR19" s="9" t="s">
        <v>5373</v>
      </c>
      <c r="BS19" s="9" t="s">
        <v>5373</v>
      </c>
      <c r="CA19" s="136">
        <f>SUM($K$238:$K$246)</f>
        <v>0</v>
      </c>
      <c r="CB19" s="101" t="s">
        <v>5725</v>
      </c>
      <c r="CC19" s="21"/>
      <c r="CD19" s="52">
        <f>IF($B$3=$AP$13,3,0)</f>
        <v>0</v>
      </c>
      <c r="CE19" s="44" t="s">
        <v>5554</v>
      </c>
      <c r="CF19" s="21"/>
      <c r="CG19" s="81"/>
      <c r="CH19" s="51">
        <f>LOOKUP($D$14,$CP$3:$CP$50,$CU$3:$CU$50)</f>
        <v>32</v>
      </c>
      <c r="CI19" s="21"/>
      <c r="CJ19" s="62">
        <f>IF($J$184&gt;$J$199,$J$184,$J$199)</f>
        <v>8</v>
      </c>
      <c r="CK19" s="137" t="str">
        <f>LOOKUP($J$19,$AC$2:$AC$101,$AD$2:$AD$101)</f>
        <v>2D6</v>
      </c>
      <c r="CP19" s="9">
        <v>19</v>
      </c>
      <c r="CQ19" s="9">
        <v>11</v>
      </c>
      <c r="CR19" s="9">
        <v>19</v>
      </c>
      <c r="CS19" s="9">
        <v>27</v>
      </c>
      <c r="CT19" s="9">
        <v>33</v>
      </c>
      <c r="CU19" s="9">
        <v>39</v>
      </c>
    </row>
    <row r="20" spans="1:99">
      <c r="A20" s="126"/>
      <c r="B20" s="14"/>
      <c r="C20" s="21"/>
      <c r="D20" s="21"/>
      <c r="E20" s="14"/>
      <c r="F20" s="14"/>
      <c r="G20" s="21"/>
      <c r="H20" s="14"/>
      <c r="I20" s="21"/>
      <c r="J20" s="21"/>
      <c r="K20" s="135"/>
      <c r="N20" s="10"/>
      <c r="P20" s="65">
        <v>18</v>
      </c>
      <c r="Q20" s="10">
        <v>10</v>
      </c>
      <c r="R20" s="10" t="s">
        <v>5558</v>
      </c>
      <c r="S20" s="10" t="s">
        <v>5559</v>
      </c>
      <c r="T20" s="10">
        <v>42</v>
      </c>
      <c r="U20" s="10">
        <v>12</v>
      </c>
      <c r="V20" s="10">
        <v>34</v>
      </c>
      <c r="W20" s="10">
        <v>3</v>
      </c>
      <c r="X20" s="10">
        <v>3</v>
      </c>
      <c r="Z20" s="10">
        <v>19</v>
      </c>
      <c r="AA20" s="10">
        <v>8</v>
      </c>
      <c r="AC20" s="10">
        <v>19</v>
      </c>
      <c r="AD20" s="10" t="s">
        <v>5560</v>
      </c>
      <c r="AI20" s="3" t="s">
        <v>5561</v>
      </c>
      <c r="BB20" s="185"/>
      <c r="CA20" s="126"/>
      <c r="CB20" s="14"/>
      <c r="CC20" s="21"/>
      <c r="CD20" s="21"/>
      <c r="CE20" s="14"/>
      <c r="CF20" s="14"/>
      <c r="CG20" s="21"/>
      <c r="CH20" s="14"/>
      <c r="CI20" s="21"/>
      <c r="CJ20" s="21"/>
      <c r="CK20" s="135"/>
      <c r="CP20" s="9">
        <v>20</v>
      </c>
      <c r="CQ20" s="9">
        <v>12</v>
      </c>
      <c r="CR20" s="9">
        <v>20</v>
      </c>
      <c r="CS20" s="9">
        <v>28</v>
      </c>
      <c r="CT20" s="9">
        <v>34</v>
      </c>
      <c r="CU20" s="9">
        <v>41</v>
      </c>
    </row>
    <row r="21" spans="1:99">
      <c r="A21" s="138" t="s">
        <v>5562</v>
      </c>
      <c r="B21" s="18" t="s">
        <v>5348</v>
      </c>
      <c r="C21" s="18" t="s">
        <v>5349</v>
      </c>
      <c r="D21" s="18" t="s">
        <v>5362</v>
      </c>
      <c r="E21" s="18" t="s">
        <v>5350</v>
      </c>
      <c r="F21" s="18" t="s">
        <v>5351</v>
      </c>
      <c r="G21" s="18" t="s">
        <v>5374</v>
      </c>
      <c r="H21" s="18" t="s">
        <v>5352</v>
      </c>
      <c r="I21" s="18" t="s">
        <v>5353</v>
      </c>
      <c r="J21" s="18" t="s">
        <v>5354</v>
      </c>
      <c r="K21" s="139" t="s">
        <v>5153</v>
      </c>
      <c r="L21" s="9" t="s">
        <v>5572</v>
      </c>
      <c r="N21" s="1" t="s">
        <v>5154</v>
      </c>
      <c r="P21" s="65">
        <v>19</v>
      </c>
      <c r="Q21" s="10">
        <v>10</v>
      </c>
      <c r="R21" s="10" t="s">
        <v>5155</v>
      </c>
      <c r="S21" s="10" t="s">
        <v>5156</v>
      </c>
      <c r="T21" s="10">
        <v>43</v>
      </c>
      <c r="U21" s="10">
        <v>12</v>
      </c>
      <c r="V21" s="10">
        <v>35</v>
      </c>
      <c r="W21" s="10">
        <v>3</v>
      </c>
      <c r="X21" s="10">
        <v>3</v>
      </c>
      <c r="Z21" s="10">
        <v>20</v>
      </c>
      <c r="AA21" s="10">
        <v>8</v>
      </c>
      <c r="AC21" s="10">
        <v>20</v>
      </c>
      <c r="AD21" s="10" t="s">
        <v>5157</v>
      </c>
      <c r="AI21" s="3" t="s">
        <v>5158</v>
      </c>
      <c r="AQ21" s="10"/>
      <c r="AR21" s="79"/>
      <c r="AS21" s="79"/>
      <c r="AT21" s="80"/>
      <c r="AU21" s="11" t="s">
        <v>5159</v>
      </c>
      <c r="AV21" s="80"/>
      <c r="AW21" s="79"/>
      <c r="AX21" s="79"/>
      <c r="AY21" s="79"/>
      <c r="BB21" s="185"/>
      <c r="CA21" s="138" t="s">
        <v>5562</v>
      </c>
      <c r="CB21" s="18" t="s">
        <v>5348</v>
      </c>
      <c r="CC21" s="18" t="s">
        <v>5349</v>
      </c>
      <c r="CD21" s="18" t="s">
        <v>5362</v>
      </c>
      <c r="CE21" s="18" t="s">
        <v>5350</v>
      </c>
      <c r="CF21" s="18" t="s">
        <v>5351</v>
      </c>
      <c r="CG21" s="18" t="s">
        <v>5374</v>
      </c>
      <c r="CH21" s="18" t="s">
        <v>5352</v>
      </c>
      <c r="CI21" s="18" t="s">
        <v>5353</v>
      </c>
      <c r="CJ21" s="18" t="s">
        <v>5354</v>
      </c>
      <c r="CK21" s="139" t="s">
        <v>5153</v>
      </c>
      <c r="CL21" s="9" t="s">
        <v>5572</v>
      </c>
      <c r="CP21" s="9">
        <v>21</v>
      </c>
      <c r="CQ21" s="9">
        <v>13</v>
      </c>
      <c r="CR21" s="9">
        <v>21</v>
      </c>
      <c r="CS21" s="9">
        <v>29</v>
      </c>
      <c r="CT21" s="9">
        <v>35</v>
      </c>
      <c r="CU21" s="9">
        <v>42</v>
      </c>
    </row>
    <row r="22" spans="1:99">
      <c r="A22" s="126" t="str">
        <f t="shared" ref="A22:B41" si="13">IF($D$2&gt;0,A902," ")</f>
        <v>Karma Ritual</v>
      </c>
      <c r="B22" s="14">
        <f t="shared" si="13"/>
        <v>1</v>
      </c>
      <c r="C22" s="14">
        <v>9</v>
      </c>
      <c r="D22" s="14" t="str">
        <f>IF(C22=" "," ",LOOKUP(A22,'Talents-Skills'!$A$2:$A$496,'Talents-Skills'!$C$2:$C$496))</f>
        <v>Rank</v>
      </c>
      <c r="E22" s="14" t="s">
        <v>5361</v>
      </c>
      <c r="F22" s="14" t="s">
        <v>5361</v>
      </c>
      <c r="G22" s="14" t="s">
        <v>5361</v>
      </c>
      <c r="H22" s="14" t="str">
        <f>IF(C22=" "," ",LOOKUP(A22,'Talents-Skills'!$A$2:$A$496,'Talents-Skills'!$E$2:$E$496))</f>
        <v>No</v>
      </c>
      <c r="I22" s="14" t="str">
        <f t="shared" ref="I22:I57" si="14">IF(C22=" "," ",C902)</f>
        <v>No</v>
      </c>
      <c r="J22" s="14" t="str">
        <f>IF(I22="Yes","May",IF(C22=" "," ",LOOKUP(A22,'Talents-Skills'!$A$2:$A$496,'Talents-Skills'!$F$2:$F$496)))</f>
        <v>No</v>
      </c>
      <c r="K22" s="140" t="str">
        <f>IF(C22=" "," ",LOOKUP(A22,'Talents-Skills'!$A$2:$A$496,'Talents-Skills'!$G$2:$G$496))</f>
        <v>No</v>
      </c>
      <c r="L22" s="9">
        <f t="shared" ref="L22:L58" si="15">IF(C22=" "," ",IF(B22&lt;5,LOOKUP(C22,$AQ$23:$AQ$38,$AS$23:$AS$38),IF(B22&lt;9,LOOKUP(C22,$AQ$23:$AQ$38,$AU$23:$AU$38),IF(B22&lt;13,LOOKUP(C22,$AQ$23:$AQ$38,$AW$23:$AW$38),IF(B22&lt;16,LOOKUP(C22,$AQ$23:$AQ$38,$AY$23:$AY$38)," ")))))</f>
        <v>14200</v>
      </c>
      <c r="M22" s="1" t="s">
        <v>5362</v>
      </c>
      <c r="N22" s="1" t="s">
        <v>5363</v>
      </c>
      <c r="O22" s="1" t="s">
        <v>5364</v>
      </c>
      <c r="P22" s="65">
        <v>20</v>
      </c>
      <c r="Q22" s="10">
        <v>10</v>
      </c>
      <c r="R22" s="10" t="s">
        <v>5160</v>
      </c>
      <c r="S22" s="10" t="s">
        <v>5161</v>
      </c>
      <c r="T22" s="10">
        <v>44</v>
      </c>
      <c r="U22" s="10">
        <v>13</v>
      </c>
      <c r="V22" s="10">
        <v>36</v>
      </c>
      <c r="W22" s="10">
        <v>4</v>
      </c>
      <c r="X22" s="10">
        <v>4</v>
      </c>
      <c r="Z22" s="10">
        <v>21</v>
      </c>
      <c r="AA22" s="10">
        <v>8</v>
      </c>
      <c r="AC22" s="10">
        <v>21</v>
      </c>
      <c r="AD22" s="10" t="s">
        <v>5162</v>
      </c>
      <c r="AF22" s="1" t="s">
        <v>5163</v>
      </c>
      <c r="AG22" s="1" t="s">
        <v>5572</v>
      </c>
      <c r="AI22" s="3" t="s">
        <v>5395</v>
      </c>
      <c r="AJ22" s="3" t="s">
        <v>5164</v>
      </c>
      <c r="AK22" s="3" t="s">
        <v>5283</v>
      </c>
      <c r="AL22" s="3" t="s">
        <v>5572</v>
      </c>
      <c r="AN22" s="4" t="s">
        <v>5165</v>
      </c>
      <c r="AQ22" s="1" t="s">
        <v>5166</v>
      </c>
      <c r="AR22" s="13" t="s">
        <v>5167</v>
      </c>
      <c r="AS22" s="13" t="s">
        <v>5168</v>
      </c>
      <c r="AT22" s="13" t="s">
        <v>5169</v>
      </c>
      <c r="AU22" s="13" t="s">
        <v>5168</v>
      </c>
      <c r="AV22" s="13" t="s">
        <v>5375</v>
      </c>
      <c r="AW22" s="13" t="s">
        <v>5168</v>
      </c>
      <c r="AX22" s="13" t="s">
        <v>5376</v>
      </c>
      <c r="AY22" s="13" t="s">
        <v>5168</v>
      </c>
      <c r="BB22" s="185">
        <f>LOOKUP(CharGenMain!A22,'Talents-Skills'!$A$2:$A$496,'Talents-Skills'!$D$2:$D$496)</f>
        <v>0</v>
      </c>
      <c r="BW22" s="9">
        <f>IF(D22="Rank",CharGenMain!BB22," ")</f>
        <v>0</v>
      </c>
      <c r="CA22" s="126">
        <f t="shared" ref="CA22:CB53" si="16">IF($D$2&gt;0,CA902," ")</f>
        <v>0</v>
      </c>
      <c r="CB22" s="14">
        <f t="shared" si="16"/>
        <v>0</v>
      </c>
      <c r="CC22" s="14">
        <f t="shared" ref="CC22:CC27" si="17">IF(CB22&lt;=$D$2,$D$2," ")</f>
        <v>9</v>
      </c>
      <c r="CD22" s="14" t="e">
        <f>IF(CC22=" "," ",LOOKUP(CA22,'Talents-Skills'!$A$2:$A$496,'Talents-Skills'!$C$2:$C$496))</f>
        <v>#N/A</v>
      </c>
      <c r="CE22" s="14" t="s">
        <v>5361</v>
      </c>
      <c r="CF22" s="14" t="e">
        <f t="shared" ref="CF22:CF27" si="18">IF(CC22=" "," ",(CC22+CE22+EB22))</f>
        <v>#VALUE!</v>
      </c>
      <c r="CG22" s="14" t="e">
        <f t="shared" ref="CG22:CG27" si="19">IF(CC22=" "," ",LOOKUP(CF22,$AC$2:$AC$101,$AD$2:$AD$101))</f>
        <v>#VALUE!</v>
      </c>
      <c r="CH22" s="14" t="e">
        <f>IF(CC22=" "," ",LOOKUP(CA22,'Talents-Skills'!$A$2:$A$496,'Talents-Skills'!$E$2:$E$496))</f>
        <v>#N/A</v>
      </c>
      <c r="CI22" s="14">
        <f t="shared" ref="CI22:CI58" si="20">IF(CC22=" "," ",CC902)</f>
        <v>0</v>
      </c>
      <c r="CJ22" s="14" t="e">
        <f>IF(CI22="Yes","May",IF(CC22=" "," ",LOOKUP(CA22,'Talents-Skills'!$A$2:$A$496,'Talents-Skills'!$F$2:$F$496)))</f>
        <v>#N/A</v>
      </c>
      <c r="CK22" s="140" t="e">
        <f>IF(CC22=" "," ",LOOKUP(CA22,'Talents-Skills'!$A$2:$A$496,'Talents-Skills'!$G$2:$G$496))</f>
        <v>#N/A</v>
      </c>
      <c r="CL22" s="9">
        <f t="shared" ref="CL22:CL58" si="21">IF(CC22=" "," ",IF(CB22&lt;5,LOOKUP(CC22,$AQ$23:$AQ$38,$AS$23:$AS$38),IF(CB22&lt;9,LOOKUP(CC22,$AQ$23:$AQ$38,$AU$23:$AU$38),IF(CB22&lt;13,LOOKUP(CC22,$AQ$23:$AQ$38,$AW$23:$AW$38),IF(CB22&lt;16,LOOKUP(CC22,$AQ$23:$AQ$38,$AY$23:$AY$38)," ")))))</f>
        <v>14200</v>
      </c>
      <c r="CP22" s="9">
        <v>22</v>
      </c>
      <c r="CQ22" s="9">
        <v>13</v>
      </c>
      <c r="CR22" s="9">
        <v>22</v>
      </c>
      <c r="CS22" s="9">
        <v>31</v>
      </c>
      <c r="CT22" s="9">
        <v>37</v>
      </c>
      <c r="CU22" s="9">
        <v>44</v>
      </c>
    </row>
    <row r="23" spans="1:99">
      <c r="A23" s="238" t="str">
        <f t="shared" si="13"/>
        <v>Animal Bond</v>
      </c>
      <c r="B23" s="240">
        <f t="shared" si="13"/>
        <v>1</v>
      </c>
      <c r="C23" s="240">
        <v>9</v>
      </c>
      <c r="D23" s="240" t="str">
        <f>IF(C23=" "," ",LOOKUP(A23,'Talents-Skills'!$A$2:$A$496,'Talents-Skills'!$C$2:$C$496))</f>
        <v>Charisma</v>
      </c>
      <c r="E23" s="240">
        <f>IF(D23=$A$6,$F$6,IF(D23=$A$7,$F$7,IF(D23=$A$8,$F$8,IF(D23=$A$9,$F$9,IF(D23=$A$10,$F$10,IF(D23=$A$11,$F$11,IF(D23="Rank",0,BW23)))))))</f>
        <v>5</v>
      </c>
      <c r="F23" s="240">
        <f>IF(C23=" "," ",(C23+E23+BB23))</f>
        <v>14</v>
      </c>
      <c r="G23" s="240" t="str">
        <f t="shared" ref="G23:G57" si="22">IF(C23=" "," ",LOOKUP(F23,$AC$2:$AC$101,$AD$2:$AD$101))</f>
        <v>D20+D4</v>
      </c>
      <c r="H23" s="240" t="str">
        <f>IF(C23=" "," ",LOOKUP(A23,'Talents-Skills'!$A$2:$A$496,'Talents-Skills'!$E$2:$E$496))</f>
        <v>Yes</v>
      </c>
      <c r="I23" s="240" t="str">
        <f t="shared" si="14"/>
        <v>Yes</v>
      </c>
      <c r="J23" s="240" t="str">
        <f>IF(I23="Yes","May",IF(C23=" "," ",LOOKUP(A23,'Talents-Skills'!$A$2:$A$496,'Talents-Skills'!$F$2:$F$496)))</f>
        <v>May</v>
      </c>
      <c r="K23" s="242" t="str">
        <f>IF(C23=" "," ",LOOKUP(A23,'Talents-Skills'!$A$2:$A$496,'Talents-Skills'!$G$2:$G$496))</f>
        <v>No</v>
      </c>
      <c r="L23" s="9">
        <f t="shared" si="15"/>
        <v>14200</v>
      </c>
      <c r="M23" s="9" t="s">
        <v>5390</v>
      </c>
      <c r="N23" s="10">
        <f>LOOKUP(O23,AA2:AA148,Z2:Z148)</f>
        <v>21</v>
      </c>
      <c r="O23" s="10">
        <v>8</v>
      </c>
      <c r="P23" s="65">
        <v>21</v>
      </c>
      <c r="Q23" s="10">
        <v>11</v>
      </c>
      <c r="R23" s="10" t="s">
        <v>5377</v>
      </c>
      <c r="S23" s="10" t="s">
        <v>5378</v>
      </c>
      <c r="T23" s="10">
        <v>46</v>
      </c>
      <c r="U23" s="10">
        <v>13</v>
      </c>
      <c r="V23" s="10">
        <v>39</v>
      </c>
      <c r="W23" s="10">
        <v>4</v>
      </c>
      <c r="X23" s="10">
        <v>4</v>
      </c>
      <c r="Z23" s="10">
        <v>22</v>
      </c>
      <c r="AA23" s="10">
        <v>9</v>
      </c>
      <c r="AC23" s="10">
        <v>22</v>
      </c>
      <c r="AD23" s="10" t="s">
        <v>5379</v>
      </c>
      <c r="AF23" s="10">
        <v>0</v>
      </c>
      <c r="AG23" s="10">
        <v>0</v>
      </c>
      <c r="AI23" s="12">
        <v>0</v>
      </c>
      <c r="AJ23" s="12">
        <v>0</v>
      </c>
      <c r="AK23" s="12">
        <v>0</v>
      </c>
      <c r="AL23" s="12">
        <v>0</v>
      </c>
      <c r="AN23" s="9">
        <v>0</v>
      </c>
      <c r="AO23" s="9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BB23" s="185">
        <f>LOOKUP(CharGenMain!A23,'Talents-Skills'!$A$2:$A$496,'Talents-Skills'!$D$2:$D$496)</f>
        <v>0</v>
      </c>
      <c r="BW23" s="9" t="str">
        <f>IF(D23="Rank",CharGenMain!BB23," ")</f>
        <v xml:space="preserve"> </v>
      </c>
      <c r="CA23" s="238">
        <f t="shared" si="16"/>
        <v>0</v>
      </c>
      <c r="CB23" s="240">
        <f t="shared" si="16"/>
        <v>0</v>
      </c>
      <c r="CC23" s="240">
        <f t="shared" si="17"/>
        <v>9</v>
      </c>
      <c r="CD23" s="240" t="e">
        <f>IF(CC23=" "," ",LOOKUP(CA23,'Talents-Skills'!$A$2:$A$496,'Talents-Skills'!$C$2:$C$496))</f>
        <v>#N/A</v>
      </c>
      <c r="CE23" s="240" t="e">
        <f t="shared" ref="CE23:CE58" si="23">IF(CD23=$A$6,$F$6,IF(CD23=$A$7,$F$7,IF(CD23=$A$8,$F$8,IF(CD23=$A$9,$F$9,IF(CD23=$A$10,$F$10,IF(CD23=$A$11,$F$11,EW23))))))</f>
        <v>#N/A</v>
      </c>
      <c r="CF23" s="240" t="e">
        <f t="shared" si="18"/>
        <v>#N/A</v>
      </c>
      <c r="CG23" s="240" t="e">
        <f t="shared" si="19"/>
        <v>#N/A</v>
      </c>
      <c r="CH23" s="240" t="e">
        <f>IF(CC23=" "," ",LOOKUP(CA23,'Talents-Skills'!$A$2:$A$496,'Talents-Skills'!$E$2:$E$496))</f>
        <v>#N/A</v>
      </c>
      <c r="CI23" s="240">
        <f t="shared" si="20"/>
        <v>0</v>
      </c>
      <c r="CJ23" s="240" t="e">
        <f>IF(CI23="Yes","May",IF(CC23=" "," ",LOOKUP(CA23,'Talents-Skills'!$A$2:$A$496,'Talents-Skills'!$F$2:$F$496)))</f>
        <v>#N/A</v>
      </c>
      <c r="CK23" s="242" t="e">
        <f>IF(CC23=" "," ",LOOKUP(CA23,'Talents-Skills'!$A$2:$A$496,'Talents-Skills'!$G$2:$G$496))</f>
        <v>#N/A</v>
      </c>
      <c r="CL23" s="9">
        <f t="shared" si="21"/>
        <v>14200</v>
      </c>
      <c r="CP23" s="9">
        <v>23</v>
      </c>
      <c r="CQ23" s="9">
        <v>14</v>
      </c>
      <c r="CR23" s="9">
        <v>23</v>
      </c>
      <c r="CS23" s="9">
        <v>32</v>
      </c>
      <c r="CT23" s="9">
        <v>38</v>
      </c>
      <c r="CU23" s="9">
        <v>45</v>
      </c>
    </row>
    <row r="24" spans="1:99">
      <c r="A24" s="129" t="str">
        <f t="shared" si="13"/>
        <v>Claw Shape</v>
      </c>
      <c r="B24" s="108">
        <f t="shared" si="13"/>
        <v>1</v>
      </c>
      <c r="C24" s="108">
        <v>9</v>
      </c>
      <c r="D24" s="108" t="str">
        <f>IF(C24=" "," ",LOOKUP(A24,'Talents-Skills'!$A$2:$A$496,'Talents-Skills'!$C$2:$C$496))</f>
        <v>Strength</v>
      </c>
      <c r="E24" s="108">
        <f>IF(D24=$A$6,$F$6,IF(D24=$A$7,$F$7,IF(D24=$A$8,$F$8,IF(D24=$A$9,$F$9,IF(D24=$A$10,$F$10,IF(D24=$A$11,$F$11,IF(D24="Rank",0,BW24)))))))</f>
        <v>9</v>
      </c>
      <c r="F24" s="108">
        <f t="shared" ref="F24:F57" si="24">IF(C24=" "," ",(C24+E24+BB24))</f>
        <v>21</v>
      </c>
      <c r="G24" s="108" t="str">
        <f t="shared" si="22"/>
        <v>D20+D10+D6</v>
      </c>
      <c r="H24" s="108" t="str">
        <f>IF(C24=" "," ",LOOKUP(A24,'Talents-Skills'!$A$2:$A$496,'Talents-Skills'!$E$2:$E$496))</f>
        <v>No</v>
      </c>
      <c r="I24" s="108" t="str">
        <f t="shared" si="14"/>
        <v>Yes</v>
      </c>
      <c r="J24" s="108" t="str">
        <f>IF(I24="Yes","May",IF(C24=" "," ",LOOKUP(A24,'Talents-Skills'!$A$2:$A$496,'Talents-Skills'!$F$2:$F$496)))</f>
        <v>May</v>
      </c>
      <c r="K24" s="144" t="str">
        <f>IF(C24=" "," ",LOOKUP(A24,'Talents-Skills'!$A$2:$A$496,'Talents-Skills'!$G$2:$G$496))</f>
        <v>No</v>
      </c>
      <c r="L24" s="9">
        <f t="shared" si="15"/>
        <v>14200</v>
      </c>
      <c r="M24" s="9" t="s">
        <v>5596</v>
      </c>
      <c r="N24" s="10">
        <f>LOOKUP(O24,AA2:AA148,Z2:Z148)</f>
        <v>21</v>
      </c>
      <c r="O24" s="10">
        <v>8</v>
      </c>
      <c r="P24" s="65">
        <v>22</v>
      </c>
      <c r="Q24" s="10">
        <v>11</v>
      </c>
      <c r="R24" s="10" t="s">
        <v>5380</v>
      </c>
      <c r="S24" s="10" t="s">
        <v>5381</v>
      </c>
      <c r="T24" s="10">
        <v>47</v>
      </c>
      <c r="U24" s="10">
        <v>13</v>
      </c>
      <c r="V24" s="10">
        <v>40</v>
      </c>
      <c r="W24" s="10">
        <v>4</v>
      </c>
      <c r="X24" s="10">
        <v>4</v>
      </c>
      <c r="Z24" s="10">
        <v>23</v>
      </c>
      <c r="AA24" s="10">
        <v>9</v>
      </c>
      <c r="AC24" s="10">
        <v>23</v>
      </c>
      <c r="AD24" s="10" t="s">
        <v>5382</v>
      </c>
      <c r="AF24" s="12">
        <v>1</v>
      </c>
      <c r="AG24" s="12">
        <v>1</v>
      </c>
      <c r="AI24" s="12">
        <v>1</v>
      </c>
      <c r="AJ24" s="12">
        <v>6</v>
      </c>
      <c r="AK24" s="12">
        <v>5</v>
      </c>
      <c r="AL24" s="12">
        <v>1</v>
      </c>
      <c r="AN24" s="9">
        <v>10001</v>
      </c>
      <c r="AO24" s="9">
        <v>1</v>
      </c>
      <c r="AQ24" s="1">
        <v>1</v>
      </c>
      <c r="AR24" s="79">
        <v>100</v>
      </c>
      <c r="AS24" s="82">
        <v>100</v>
      </c>
      <c r="AT24" s="79">
        <v>200</v>
      </c>
      <c r="AU24" s="82">
        <v>200</v>
      </c>
      <c r="AV24" s="79">
        <v>300</v>
      </c>
      <c r="AW24" s="82">
        <v>300</v>
      </c>
      <c r="AX24" s="79">
        <v>500</v>
      </c>
      <c r="AY24" s="79">
        <v>500</v>
      </c>
      <c r="BB24" s="185">
        <f>LOOKUP(CharGenMain!A24,'Talents-Skills'!$A$2:$A$496,'Talents-Skills'!$D$2:$D$496)</f>
        <v>3</v>
      </c>
      <c r="BW24" s="9" t="str">
        <f>IF(D24="Rank",CharGenMain!BB24," ")</f>
        <v xml:space="preserve"> </v>
      </c>
      <c r="CA24" s="126">
        <f t="shared" si="16"/>
        <v>0</v>
      </c>
      <c r="CB24" s="14">
        <f t="shared" si="16"/>
        <v>0</v>
      </c>
      <c r="CC24" s="14">
        <f t="shared" si="17"/>
        <v>9</v>
      </c>
      <c r="CD24" s="14" t="e">
        <f>IF(CC24=" "," ",LOOKUP(CA24,'Talents-Skills'!$A$2:$A$496,'Talents-Skills'!$C$2:$C$496))</f>
        <v>#N/A</v>
      </c>
      <c r="CE24" s="14" t="e">
        <f t="shared" si="23"/>
        <v>#N/A</v>
      </c>
      <c r="CF24" s="14" t="e">
        <f t="shared" si="18"/>
        <v>#N/A</v>
      </c>
      <c r="CG24" s="14" t="e">
        <f t="shared" si="19"/>
        <v>#N/A</v>
      </c>
      <c r="CH24" s="14" t="e">
        <f>IF(CC24=" "," ",LOOKUP(CA24,'Talents-Skills'!$A$2:$A$496,'Talents-Skills'!$E$2:$E$496))</f>
        <v>#N/A</v>
      </c>
      <c r="CI24" s="14">
        <f t="shared" si="20"/>
        <v>0</v>
      </c>
      <c r="CJ24" s="14" t="e">
        <f>IF(CI24="Yes","May",IF(CC24=" "," ",LOOKUP(CA24,'Talents-Skills'!$A$2:$A$496,'Talents-Skills'!$F$2:$F$496)))</f>
        <v>#N/A</v>
      </c>
      <c r="CK24" s="140" t="e">
        <f>IF(CC24=" "," ",LOOKUP(CA24,'Talents-Skills'!$A$2:$A$496,'Talents-Skills'!$G$2:$G$496))</f>
        <v>#N/A</v>
      </c>
      <c r="CL24" s="9">
        <f t="shared" si="21"/>
        <v>14200</v>
      </c>
      <c r="CP24" s="9">
        <v>24</v>
      </c>
      <c r="CQ24" s="9">
        <v>15</v>
      </c>
      <c r="CR24" s="9">
        <v>24</v>
      </c>
      <c r="CS24" s="9">
        <v>33</v>
      </c>
      <c r="CT24" s="9">
        <v>40</v>
      </c>
      <c r="CU24" s="9">
        <v>47</v>
      </c>
    </row>
    <row r="25" spans="1:99">
      <c r="A25" s="243" t="str">
        <f t="shared" si="13"/>
        <v>Dominate Beast</v>
      </c>
      <c r="B25" s="244">
        <f t="shared" si="13"/>
        <v>1</v>
      </c>
      <c r="C25" s="244">
        <v>8</v>
      </c>
      <c r="D25" s="244" t="str">
        <f>IF(C25=" "," ",LOOKUP(A25,'Talents-Skills'!$A$2:$A$496,'Talents-Skills'!$C$2:$C$496))</f>
        <v>Charisma</v>
      </c>
      <c r="E25" s="244">
        <f>IF(D25=$A$6,$F$6,IF(D25=$A$7,$F$7,IF(D25=$A$8,$F$8,IF(D25=$A$9,$F$9,IF(D25=$A$10,$F$10,IF(D25=$A$11,$F$11,IF(D25="Rank",0,BW25)))))))</f>
        <v>5</v>
      </c>
      <c r="F25" s="244">
        <f t="shared" si="24"/>
        <v>13</v>
      </c>
      <c r="G25" s="244" t="str">
        <f t="shared" si="22"/>
        <v>D12+D10</v>
      </c>
      <c r="H25" s="244" t="str">
        <f>IF(C25=" "," ",LOOKUP(A25,'Talents-Skills'!$A$2:$A$496,'Talents-Skills'!$E$2:$E$496))</f>
        <v>Yes</v>
      </c>
      <c r="I25" s="244" t="str">
        <f t="shared" si="14"/>
        <v>Yes</v>
      </c>
      <c r="J25" s="244" t="str">
        <f>IF(I25="Yes","May",IF(C25=" "," ",LOOKUP(A25,'Talents-Skills'!$A$2:$A$496,'Talents-Skills'!$F$2:$F$496)))</f>
        <v>May</v>
      </c>
      <c r="K25" s="245">
        <f>IF(C25=" "," ",LOOKUP(A25,'Talents-Skills'!$A$2:$A$496,'Talents-Skills'!$G$2:$G$496))</f>
        <v>1</v>
      </c>
      <c r="L25" s="9">
        <f t="shared" si="15"/>
        <v>8700</v>
      </c>
      <c r="M25" s="9" t="s">
        <v>5597</v>
      </c>
      <c r="N25" s="10">
        <f>LOOKUP(O25,AA2:AA148,Z2:Z148)</f>
        <v>18</v>
      </c>
      <c r="O25" s="10">
        <v>7</v>
      </c>
      <c r="P25" s="65">
        <v>23</v>
      </c>
      <c r="Q25" s="10">
        <v>12</v>
      </c>
      <c r="R25" s="10" t="s">
        <v>5383</v>
      </c>
      <c r="S25" s="10" t="s">
        <v>5177</v>
      </c>
      <c r="T25" s="10">
        <v>48</v>
      </c>
      <c r="U25" s="10">
        <v>14</v>
      </c>
      <c r="V25" s="10">
        <v>41</v>
      </c>
      <c r="W25" s="10">
        <v>4</v>
      </c>
      <c r="X25" s="10">
        <v>5</v>
      </c>
      <c r="Z25" s="10">
        <v>24</v>
      </c>
      <c r="AA25" s="10">
        <v>9</v>
      </c>
      <c r="AC25" s="10">
        <v>24</v>
      </c>
      <c r="AD25" s="10" t="s">
        <v>5178</v>
      </c>
      <c r="AF25" s="12">
        <v>2</v>
      </c>
      <c r="AG25" s="12">
        <v>2</v>
      </c>
      <c r="AI25" s="12">
        <v>2</v>
      </c>
      <c r="AJ25" s="12">
        <v>7</v>
      </c>
      <c r="AK25" s="12">
        <v>10</v>
      </c>
      <c r="AL25" s="12">
        <v>2</v>
      </c>
      <c r="AN25" s="9">
        <v>40000</v>
      </c>
      <c r="AO25" s="9">
        <v>2</v>
      </c>
      <c r="AQ25" s="1">
        <v>2</v>
      </c>
      <c r="AR25" s="79">
        <v>200</v>
      </c>
      <c r="AS25" s="82">
        <f t="shared" ref="AS25:AS38" si="25">AR25+AS24</f>
        <v>300</v>
      </c>
      <c r="AT25" s="79">
        <v>300</v>
      </c>
      <c r="AU25" s="82">
        <f t="shared" ref="AU25:AU38" si="26">AT25+AU24</f>
        <v>500</v>
      </c>
      <c r="AV25" s="79">
        <v>500</v>
      </c>
      <c r="AW25" s="82">
        <f t="shared" ref="AW25:AW38" si="27">AV25+AW24</f>
        <v>800</v>
      </c>
      <c r="AX25" s="79">
        <v>800</v>
      </c>
      <c r="AY25" s="79">
        <f t="shared" ref="AY25:AY38" si="28">AX25+AY24</f>
        <v>1300</v>
      </c>
      <c r="BB25" s="185">
        <f>LOOKUP(CharGenMain!A25,'Talents-Skills'!$A$2:$A$496,'Talents-Skills'!$D$2:$D$496)</f>
        <v>0</v>
      </c>
      <c r="BW25" s="9" t="str">
        <f>IF(D25="Rank",CharGenMain!BB25," ")</f>
        <v xml:space="preserve"> </v>
      </c>
      <c r="CA25" s="243">
        <f t="shared" si="16"/>
        <v>0</v>
      </c>
      <c r="CB25" s="244">
        <f t="shared" si="16"/>
        <v>0</v>
      </c>
      <c r="CC25" s="244">
        <f t="shared" si="17"/>
        <v>9</v>
      </c>
      <c r="CD25" s="244" t="e">
        <f>IF(CC25=" "," ",LOOKUP(CA25,'Talents-Skills'!$A$2:$A$496,'Talents-Skills'!$C$2:$C$496))</f>
        <v>#N/A</v>
      </c>
      <c r="CE25" s="244" t="e">
        <f t="shared" si="23"/>
        <v>#N/A</v>
      </c>
      <c r="CF25" s="244" t="e">
        <f t="shared" si="18"/>
        <v>#N/A</v>
      </c>
      <c r="CG25" s="244" t="e">
        <f t="shared" si="19"/>
        <v>#N/A</v>
      </c>
      <c r="CH25" s="244" t="e">
        <f>IF(CC25=" "," ",LOOKUP(CA25,'Talents-Skills'!$A$2:$A$496,'Talents-Skills'!$E$2:$E$496))</f>
        <v>#N/A</v>
      </c>
      <c r="CI25" s="244">
        <f t="shared" si="20"/>
        <v>0</v>
      </c>
      <c r="CJ25" s="244" t="e">
        <f>IF(CI25="Yes","May",IF(CC25=" "," ",LOOKUP(CA25,'Talents-Skills'!$A$2:$A$496,'Talents-Skills'!$F$2:$F$496)))</f>
        <v>#N/A</v>
      </c>
      <c r="CK25" s="245" t="e">
        <f>IF(CC25=" "," ",LOOKUP(CA25,'Talents-Skills'!$A$2:$A$496,'Talents-Skills'!$G$2:$G$496))</f>
        <v>#N/A</v>
      </c>
      <c r="CL25" s="9">
        <f t="shared" si="21"/>
        <v>14200</v>
      </c>
      <c r="CP25" s="9">
        <v>25</v>
      </c>
      <c r="CQ25" s="9">
        <v>16</v>
      </c>
      <c r="CR25" s="9">
        <v>25</v>
      </c>
      <c r="CS25" s="9">
        <v>34</v>
      </c>
      <c r="CT25" s="9">
        <v>41</v>
      </c>
      <c r="CU25" s="9">
        <v>48</v>
      </c>
    </row>
    <row r="26" spans="1:99">
      <c r="A26" s="126" t="str">
        <f t="shared" si="13"/>
        <v>Tracking</v>
      </c>
      <c r="B26" s="14">
        <f t="shared" si="13"/>
        <v>1</v>
      </c>
      <c r="C26" s="14">
        <v>9</v>
      </c>
      <c r="D26" s="14" t="str">
        <f>IF(C26=" "," ",LOOKUP(A26,'Talents-Skills'!$A$2:$A$496,'Talents-Skills'!$C$2:$C$496))</f>
        <v>Perception</v>
      </c>
      <c r="E26" s="14">
        <f>IF(D26=$A$6,$F$6,IF(D26=$A$7,$F$7,IF(D26=$A$8,$F$8,IF(D26=$A$9,$F$9,IF(D26=$A$10,$F$10,IF(D26=$A$11,$F$11,IF(D26="Rank",0,BW26)))))))</f>
        <v>7</v>
      </c>
      <c r="F26" s="14">
        <f t="shared" si="24"/>
        <v>16</v>
      </c>
      <c r="G26" s="14" t="str">
        <f t="shared" si="22"/>
        <v>D20+D8</v>
      </c>
      <c r="H26" s="14" t="str">
        <f>IF(C26=" "," ",LOOKUP(A26,'Talents-Skills'!$A$2:$A$496,'Talents-Skills'!$E$2:$E$496))</f>
        <v>Yes</v>
      </c>
      <c r="I26" s="14" t="str">
        <f t="shared" si="14"/>
        <v>No</v>
      </c>
      <c r="J26" s="14" t="str">
        <f>IF(I26="Yes","May",IF(C26=" "," ",LOOKUP(A26,'Talents-Skills'!$A$2:$A$496,'Talents-Skills'!$F$2:$F$496)))</f>
        <v>No</v>
      </c>
      <c r="K26" s="140">
        <f>IF(C26=" "," ",LOOKUP(A26,'Talents-Skills'!$A$2:$A$496,'Talents-Skills'!$G$2:$G$496))</f>
        <v>1</v>
      </c>
      <c r="L26" s="9">
        <f t="shared" si="15"/>
        <v>14200</v>
      </c>
      <c r="M26" s="9" t="s">
        <v>5786</v>
      </c>
      <c r="N26" s="10">
        <f>LOOKUP(O26,AA2:AA148,Z2:Z148)</f>
        <v>21</v>
      </c>
      <c r="O26" s="10">
        <v>8</v>
      </c>
      <c r="P26" s="65">
        <v>24</v>
      </c>
      <c r="Q26" s="10">
        <v>12</v>
      </c>
      <c r="R26" s="10" t="s">
        <v>5179</v>
      </c>
      <c r="S26" s="10" t="s">
        <v>5180</v>
      </c>
      <c r="T26" s="10">
        <v>50</v>
      </c>
      <c r="U26" s="10">
        <v>14</v>
      </c>
      <c r="V26" s="10">
        <v>43</v>
      </c>
      <c r="W26" s="10">
        <v>4</v>
      </c>
      <c r="X26" s="10">
        <v>5</v>
      </c>
      <c r="Z26" s="10">
        <v>25</v>
      </c>
      <c r="AA26" s="10">
        <v>10</v>
      </c>
      <c r="AC26" s="10">
        <v>25</v>
      </c>
      <c r="AD26" s="10" t="s">
        <v>5181</v>
      </c>
      <c r="AF26" s="12">
        <v>3</v>
      </c>
      <c r="AG26" s="12">
        <v>3</v>
      </c>
      <c r="AI26" s="12">
        <v>3</v>
      </c>
      <c r="AJ26" s="12">
        <v>8</v>
      </c>
      <c r="AK26" s="12">
        <v>12</v>
      </c>
      <c r="AL26" s="12">
        <v>3</v>
      </c>
      <c r="AN26" s="9">
        <v>160000</v>
      </c>
      <c r="AO26" s="9">
        <v>3</v>
      </c>
      <c r="AQ26" s="1">
        <v>3</v>
      </c>
      <c r="AR26" s="79">
        <v>300</v>
      </c>
      <c r="AS26" s="82">
        <f t="shared" si="25"/>
        <v>600</v>
      </c>
      <c r="AT26" s="79">
        <v>500</v>
      </c>
      <c r="AU26" s="82">
        <f t="shared" si="26"/>
        <v>1000</v>
      </c>
      <c r="AV26" s="79">
        <v>800</v>
      </c>
      <c r="AW26" s="82">
        <f t="shared" si="27"/>
        <v>1600</v>
      </c>
      <c r="AX26" s="79">
        <v>1300</v>
      </c>
      <c r="AY26" s="79">
        <f t="shared" si="28"/>
        <v>2600</v>
      </c>
      <c r="BB26" s="185">
        <f>LOOKUP(CharGenMain!A26,'Talents-Skills'!$A$2:$A$496,'Talents-Skills'!$D$2:$D$496)</f>
        <v>0</v>
      </c>
      <c r="BW26" s="9" t="str">
        <f>IF(D26="Rank",CharGenMain!BB26," ")</f>
        <v xml:space="preserve"> </v>
      </c>
      <c r="CA26" s="126">
        <f t="shared" si="16"/>
        <v>0</v>
      </c>
      <c r="CB26" s="14">
        <f t="shared" si="16"/>
        <v>0</v>
      </c>
      <c r="CC26" s="14">
        <f t="shared" si="17"/>
        <v>9</v>
      </c>
      <c r="CD26" s="14" t="e">
        <f>IF(CC26=" "," ",LOOKUP(CA26,'Talents-Skills'!$A$2:$A$496,'Talents-Skills'!$C$2:$C$496))</f>
        <v>#N/A</v>
      </c>
      <c r="CE26" s="14" t="e">
        <f t="shared" si="23"/>
        <v>#N/A</v>
      </c>
      <c r="CF26" s="14" t="e">
        <f t="shared" si="18"/>
        <v>#N/A</v>
      </c>
      <c r="CG26" s="14" t="e">
        <f t="shared" si="19"/>
        <v>#N/A</v>
      </c>
      <c r="CH26" s="14" t="e">
        <f>IF(CC26=" "," ",LOOKUP(CA26,'Talents-Skills'!$A$2:$A$496,'Talents-Skills'!$E$2:$E$496))</f>
        <v>#N/A</v>
      </c>
      <c r="CI26" s="14">
        <f t="shared" si="20"/>
        <v>0</v>
      </c>
      <c r="CJ26" s="14" t="e">
        <f>IF(CI26="Yes","May",IF(CC26=" "," ",LOOKUP(CA26,'Talents-Skills'!$A$2:$A$496,'Talents-Skills'!$F$2:$F$496)))</f>
        <v>#N/A</v>
      </c>
      <c r="CK26" s="140" t="e">
        <f>IF(CC26=" "," ",LOOKUP(CA26,'Talents-Skills'!$A$2:$A$496,'Talents-Skills'!$G$2:$G$496))</f>
        <v>#N/A</v>
      </c>
      <c r="CL26" s="9">
        <f t="shared" si="21"/>
        <v>14200</v>
      </c>
      <c r="CP26" s="9">
        <v>26</v>
      </c>
      <c r="CQ26" s="9">
        <v>17</v>
      </c>
      <c r="CR26" s="9">
        <v>26</v>
      </c>
      <c r="CS26" s="9">
        <v>35</v>
      </c>
      <c r="CT26" s="9">
        <v>42</v>
      </c>
      <c r="CU26" s="9">
        <v>49</v>
      </c>
    </row>
    <row r="27" spans="1:99">
      <c r="A27" s="273" t="str">
        <f t="shared" si="13"/>
        <v>Unarmed Combat</v>
      </c>
      <c r="B27" s="274">
        <f t="shared" si="13"/>
        <v>1</v>
      </c>
      <c r="C27" s="274">
        <v>10</v>
      </c>
      <c r="D27" s="274" t="str">
        <f>IF(C27=" "," ",LOOKUP(A27,'Talents-Skills'!$A$2:$A$496,'Talents-Skills'!$C$2:$C$496))</f>
        <v>Dexterity</v>
      </c>
      <c r="E27" s="274">
        <f>IF(D27=$A$6,$F$6,IF(D27=$A$7,$F$7,IF(D27=$A$8,$F$8,IF(D27=$A$9,$F$9,IF(D27=$A$10,$F$10,IF(D27=$A$11,$F$11,IF(D27="Rank",0,BW27)))))))</f>
        <v>7</v>
      </c>
      <c r="F27" s="274">
        <f t="shared" si="24"/>
        <v>17</v>
      </c>
      <c r="G27" s="274" t="str">
        <f t="shared" si="22"/>
        <v>D20+D10</v>
      </c>
      <c r="H27" s="274" t="str">
        <f>IF(C27=" "," ",LOOKUP(A27,'Talents-Skills'!$A$2:$A$496,'Talents-Skills'!$E$2:$E$496))</f>
        <v>Yes</v>
      </c>
      <c r="I27" s="274" t="str">
        <f t="shared" si="14"/>
        <v>No</v>
      </c>
      <c r="J27" s="274" t="str">
        <f>IF(I27="Yes","May",IF(C27=" "," ",LOOKUP(A27,'Talents-Skills'!$A$2:$A$496,'Talents-Skills'!$F$2:$F$496)))</f>
        <v>No</v>
      </c>
      <c r="K27" s="275" t="str">
        <f>IF(C27=" "," ",LOOKUP(A27,'Talents-Skills'!$A$2:$A$496,'Talents-Skills'!$G$2:$G$496))</f>
        <v>No</v>
      </c>
      <c r="L27" s="9">
        <f t="shared" si="15"/>
        <v>23100</v>
      </c>
      <c r="M27" s="9" t="s">
        <v>5787</v>
      </c>
      <c r="N27" s="10">
        <f>LOOKUP(O27,AA2:AA148,Z2:Z148)</f>
        <v>18</v>
      </c>
      <c r="O27" s="10">
        <v>7</v>
      </c>
      <c r="P27" s="65">
        <v>25</v>
      </c>
      <c r="Q27" s="10">
        <v>13</v>
      </c>
      <c r="R27" s="10" t="s">
        <v>5182</v>
      </c>
      <c r="S27" s="10" t="s">
        <v>5183</v>
      </c>
      <c r="T27" s="10">
        <v>51</v>
      </c>
      <c r="U27" s="10">
        <v>15</v>
      </c>
      <c r="V27" s="10">
        <v>44</v>
      </c>
      <c r="W27" s="10">
        <v>4</v>
      </c>
      <c r="X27" s="10">
        <v>5</v>
      </c>
      <c r="Z27" s="10">
        <v>26</v>
      </c>
      <c r="AA27" s="10">
        <v>10</v>
      </c>
      <c r="AC27" s="10">
        <v>26</v>
      </c>
      <c r="AD27" s="10" t="s">
        <v>5184</v>
      </c>
      <c r="AF27" s="12">
        <v>4</v>
      </c>
      <c r="AG27" s="12">
        <v>4</v>
      </c>
      <c r="AI27" s="12">
        <v>4</v>
      </c>
      <c r="AJ27" s="12">
        <v>9</v>
      </c>
      <c r="AK27" s="12">
        <v>15</v>
      </c>
      <c r="AL27" s="12">
        <v>4</v>
      </c>
      <c r="AN27" s="9">
        <v>640000</v>
      </c>
      <c r="AO27" s="9">
        <v>4</v>
      </c>
      <c r="AQ27" s="1">
        <v>4</v>
      </c>
      <c r="AR27" s="79">
        <v>500</v>
      </c>
      <c r="AS27" s="82">
        <f t="shared" si="25"/>
        <v>1100</v>
      </c>
      <c r="AT27" s="79">
        <v>800</v>
      </c>
      <c r="AU27" s="82">
        <f t="shared" si="26"/>
        <v>1800</v>
      </c>
      <c r="AV27" s="79">
        <v>1300</v>
      </c>
      <c r="AW27" s="82">
        <f t="shared" si="27"/>
        <v>2900</v>
      </c>
      <c r="AX27" s="79">
        <v>2100</v>
      </c>
      <c r="AY27" s="79">
        <f t="shared" si="28"/>
        <v>4700</v>
      </c>
      <c r="BB27" s="185">
        <f>LOOKUP(CharGenMain!A27,'Talents-Skills'!$A$2:$A$496,'Talents-Skills'!$D$2:$D$496)</f>
        <v>0</v>
      </c>
      <c r="BW27" s="9" t="str">
        <f>IF(D27="Rank",CharGenMain!BB27," ")</f>
        <v xml:space="preserve"> </v>
      </c>
      <c r="CA27" s="238">
        <f t="shared" si="16"/>
        <v>0</v>
      </c>
      <c r="CB27" s="240">
        <f t="shared" si="16"/>
        <v>0</v>
      </c>
      <c r="CC27" s="240">
        <f t="shared" si="17"/>
        <v>9</v>
      </c>
      <c r="CD27" s="240" t="e">
        <f>IF(CC27=" "," ",LOOKUP(CA27,'Talents-Skills'!$A$2:$A$496,'Talents-Skills'!$C$2:$C$496))</f>
        <v>#N/A</v>
      </c>
      <c r="CE27" s="240" t="e">
        <f t="shared" si="23"/>
        <v>#N/A</v>
      </c>
      <c r="CF27" s="240" t="e">
        <f t="shared" si="18"/>
        <v>#N/A</v>
      </c>
      <c r="CG27" s="240" t="e">
        <f t="shared" si="19"/>
        <v>#N/A</v>
      </c>
      <c r="CH27" s="240" t="e">
        <f>IF(CC27=" "," ",LOOKUP(CA27,'Talents-Skills'!$A$2:$A$496,'Talents-Skills'!$E$2:$E$496))</f>
        <v>#N/A</v>
      </c>
      <c r="CI27" s="240">
        <f t="shared" si="20"/>
        <v>0</v>
      </c>
      <c r="CJ27" s="240" t="e">
        <f>IF(CI27="Yes","May",IF(CC27=" "," ",LOOKUP(CA27,'Talents-Skills'!$A$2:$A$496,'Talents-Skills'!$F$2:$F$496)))</f>
        <v>#N/A</v>
      </c>
      <c r="CK27" s="242" t="e">
        <f>IF(CC27=" "," ",LOOKUP(CA27,'Talents-Skills'!$A$2:$A$496,'Talents-Skills'!$G$2:$G$496))</f>
        <v>#N/A</v>
      </c>
      <c r="CL27" s="9">
        <f t="shared" si="21"/>
        <v>14200</v>
      </c>
      <c r="CP27" s="9">
        <v>27</v>
      </c>
      <c r="CQ27" s="9">
        <v>18</v>
      </c>
      <c r="CR27" s="9">
        <v>27</v>
      </c>
      <c r="CS27" s="9">
        <v>36</v>
      </c>
      <c r="CT27" s="9">
        <v>43</v>
      </c>
      <c r="CU27" s="9">
        <v>51</v>
      </c>
    </row>
    <row r="28" spans="1:99">
      <c r="A28" s="126" t="str">
        <f t="shared" si="13"/>
        <v>Durability</v>
      </c>
      <c r="B28" s="14">
        <f t="shared" si="13"/>
        <v>2</v>
      </c>
      <c r="C28" s="14">
        <v>11</v>
      </c>
      <c r="D28" s="14" t="str">
        <f>IF(C28=" "," ",LOOKUP(A28,'Talents-Skills'!$A$2:$A$496,'Talents-Skills'!$C$2:$C$496))</f>
        <v>Rank</v>
      </c>
      <c r="E28" s="14" t="s">
        <v>5361</v>
      </c>
      <c r="F28" s="14" t="s">
        <v>5361</v>
      </c>
      <c r="G28" s="14" t="s">
        <v>5361</v>
      </c>
      <c r="H28" s="14" t="str">
        <f>IF(C28=" "," ",LOOKUP(A28,'Talents-Skills'!$A$2:$A$496,'Talents-Skills'!$E$2:$E$496))</f>
        <v>No</v>
      </c>
      <c r="I28" s="14" t="str">
        <f t="shared" si="14"/>
        <v>No</v>
      </c>
      <c r="J28" s="14" t="str">
        <f>IF(I28="Yes","May",IF(C28=" "," ",LOOKUP(A28,'Talents-Skills'!$A$2:$A$496,'Talents-Skills'!$F$2:$F$496)))</f>
        <v>No</v>
      </c>
      <c r="K28" s="140" t="str">
        <f>IF(C28=" "," ",LOOKUP(A28,'Talents-Skills'!$A$2:$A$496,'Talents-Skills'!$G$2:$G$496))</f>
        <v>No</v>
      </c>
      <c r="L28" s="9">
        <f t="shared" si="15"/>
        <v>37500</v>
      </c>
      <c r="M28" s="9" t="s">
        <v>5788</v>
      </c>
      <c r="N28" s="10">
        <f>LOOKUP(O28,AA2:AA148,Z2:Z148)</f>
        <v>15</v>
      </c>
      <c r="O28" s="10">
        <v>6</v>
      </c>
      <c r="P28" s="65">
        <v>26</v>
      </c>
      <c r="Q28" s="10">
        <v>13</v>
      </c>
      <c r="R28" s="10" t="s">
        <v>5185</v>
      </c>
      <c r="S28" s="10" t="s">
        <v>5186</v>
      </c>
      <c r="T28" s="10">
        <v>52</v>
      </c>
      <c r="U28" s="10">
        <v>15</v>
      </c>
      <c r="V28" s="10">
        <v>45</v>
      </c>
      <c r="W28" s="10">
        <v>5</v>
      </c>
      <c r="X28" s="10">
        <v>6</v>
      </c>
      <c r="Z28" s="10">
        <v>27</v>
      </c>
      <c r="AA28" s="10">
        <v>10</v>
      </c>
      <c r="AC28" s="10">
        <v>27</v>
      </c>
      <c r="AD28" s="10" t="s">
        <v>5391</v>
      </c>
      <c r="AF28" s="12">
        <v>5</v>
      </c>
      <c r="AG28" s="12">
        <v>6</v>
      </c>
      <c r="AI28" s="12">
        <v>5</v>
      </c>
      <c r="AJ28" s="12">
        <v>10</v>
      </c>
      <c r="AK28" s="12">
        <v>20</v>
      </c>
      <c r="AL28" s="12">
        <v>6</v>
      </c>
      <c r="AN28" s="9">
        <v>2560000</v>
      </c>
      <c r="AO28" s="9">
        <v>5</v>
      </c>
      <c r="AQ28" s="1">
        <v>5</v>
      </c>
      <c r="AR28" s="79">
        <v>800</v>
      </c>
      <c r="AS28" s="82">
        <f t="shared" si="25"/>
        <v>1900</v>
      </c>
      <c r="AT28" s="79">
        <v>1300</v>
      </c>
      <c r="AU28" s="82">
        <f t="shared" si="26"/>
        <v>3100</v>
      </c>
      <c r="AV28" s="79">
        <v>2100</v>
      </c>
      <c r="AW28" s="82">
        <f t="shared" si="27"/>
        <v>5000</v>
      </c>
      <c r="AX28" s="79">
        <v>3400</v>
      </c>
      <c r="AY28" s="79">
        <f t="shared" si="28"/>
        <v>8100</v>
      </c>
      <c r="BB28" s="185">
        <f>LOOKUP(CharGenMain!A28,'Talents-Skills'!$A$2:$A$496,'Talents-Skills'!$D$2:$D$496)</f>
        <v>0</v>
      </c>
      <c r="BW28" s="9">
        <f>IF(D28="Rank",CharGenMain!BB28," ")</f>
        <v>0</v>
      </c>
      <c r="CA28" s="126">
        <f t="shared" si="16"/>
        <v>0</v>
      </c>
      <c r="CB28" s="14">
        <f t="shared" si="16"/>
        <v>0</v>
      </c>
      <c r="CC28" s="14">
        <f t="shared" ref="CC28:CC53" si="29">IF(CB28&lt;=$D$2,$D$2," ")</f>
        <v>9</v>
      </c>
      <c r="CD28" s="14" t="e">
        <f>IF(CC28=" "," ",LOOKUP(CA28,'Talents-Skills'!$A$2:$A$496,'Talents-Skills'!$C$2:$C$496))</f>
        <v>#N/A</v>
      </c>
      <c r="CE28" s="14" t="s">
        <v>5361</v>
      </c>
      <c r="CF28" s="14" t="e">
        <f t="shared" ref="CF28:CF53" si="30">IF(CC28=" "," ",(CC28+CE28+EB28))</f>
        <v>#VALUE!</v>
      </c>
      <c r="CG28" s="14" t="e">
        <f t="shared" ref="CG28:CG53" si="31">IF(CC28=" "," ",LOOKUP(CF28,$AC$2:$AC$101,$AD$2:$AD$101))</f>
        <v>#VALUE!</v>
      </c>
      <c r="CH28" s="14" t="e">
        <f>IF(CC28=" "," ",LOOKUP(CA28,'Talents-Skills'!$A$2:$A$496,'Talents-Skills'!$E$2:$E$496))</f>
        <v>#N/A</v>
      </c>
      <c r="CI28" s="14">
        <f t="shared" si="20"/>
        <v>0</v>
      </c>
      <c r="CJ28" s="14" t="e">
        <f>IF(CI28="Yes","May",IF(CC28=" "," ",LOOKUP(CA28,'Talents-Skills'!$A$2:$A$496,'Talents-Skills'!$F$2:$F$496)))</f>
        <v>#N/A</v>
      </c>
      <c r="CK28" s="140" t="e">
        <f>IF(CC28=" "," ",LOOKUP(CA28,'Talents-Skills'!$A$2:$A$496,'Talents-Skills'!$G$2:$G$496))</f>
        <v>#N/A</v>
      </c>
      <c r="CL28" s="9">
        <f t="shared" si="21"/>
        <v>14200</v>
      </c>
      <c r="CP28" s="9">
        <v>28</v>
      </c>
      <c r="CQ28" s="9">
        <v>18</v>
      </c>
      <c r="CR28" s="9">
        <v>28</v>
      </c>
      <c r="CS28" s="9">
        <v>38</v>
      </c>
      <c r="CT28" s="9">
        <v>45</v>
      </c>
      <c r="CU28" s="9">
        <v>52</v>
      </c>
    </row>
    <row r="29" spans="1:99">
      <c r="A29" s="238" t="str">
        <f t="shared" si="13"/>
        <v>Animal Training</v>
      </c>
      <c r="B29" s="240">
        <f t="shared" si="13"/>
        <v>2</v>
      </c>
      <c r="C29" s="240">
        <v>8</v>
      </c>
      <c r="D29" s="240" t="str">
        <f>IF(C29=" "," ",LOOKUP(A29,'Talents-Skills'!$A$2:$A$496,'Talents-Skills'!$C$2:$C$496))</f>
        <v>Charisma</v>
      </c>
      <c r="E29" s="240">
        <f t="shared" ref="E29:E57" si="32">IF(D29=$A$6,$F$6,IF(D29=$A$7,$F$7,IF(D29=$A$8,$F$8,IF(D29=$A$9,$F$9,IF(D29=$A$10,$F$10,IF(D29=$A$11,$F$11,IF(D29="Rank",0,BW29)))))))</f>
        <v>5</v>
      </c>
      <c r="F29" s="240">
        <f t="shared" si="24"/>
        <v>13</v>
      </c>
      <c r="G29" s="240" t="str">
        <f t="shared" si="22"/>
        <v>D12+D10</v>
      </c>
      <c r="H29" s="240" t="str">
        <f>IF(C29=" "," ",LOOKUP(A29,'Talents-Skills'!$A$2:$A$496,'Talents-Skills'!$E$2:$E$496))</f>
        <v>Yes</v>
      </c>
      <c r="I29" s="240" t="str">
        <f t="shared" si="14"/>
        <v>No</v>
      </c>
      <c r="J29" s="240" t="str">
        <f>IF(I29="Yes","May",IF(C29=" "," ",LOOKUP(A29,'Talents-Skills'!$A$2:$A$496,'Talents-Skills'!$F$2:$F$496)))</f>
        <v>No</v>
      </c>
      <c r="K29" s="242" t="str">
        <f>IF(C29=" "," ",LOOKUP(A29,'Talents-Skills'!$A$2:$A$496,'Talents-Skills'!$G$2:$G$496))</f>
        <v>No</v>
      </c>
      <c r="L29" s="9">
        <f t="shared" si="15"/>
        <v>8700</v>
      </c>
      <c r="P29" s="65">
        <v>27</v>
      </c>
      <c r="Q29" s="10">
        <v>13</v>
      </c>
      <c r="R29" s="10" t="s">
        <v>5392</v>
      </c>
      <c r="S29" s="10" t="s">
        <v>5393</v>
      </c>
      <c r="T29" s="10">
        <v>54</v>
      </c>
      <c r="U29" s="10">
        <v>15</v>
      </c>
      <c r="V29" s="10">
        <v>47</v>
      </c>
      <c r="W29" s="10">
        <v>5</v>
      </c>
      <c r="X29" s="10">
        <v>6</v>
      </c>
      <c r="Z29" s="10">
        <v>28</v>
      </c>
      <c r="AA29" s="10">
        <v>11</v>
      </c>
      <c r="AC29" s="10">
        <v>28</v>
      </c>
      <c r="AD29" s="10" t="s">
        <v>5189</v>
      </c>
      <c r="AF29" s="12">
        <v>6</v>
      </c>
      <c r="AG29" s="12">
        <v>8</v>
      </c>
      <c r="AI29" s="12">
        <v>6</v>
      </c>
      <c r="AJ29" s="12">
        <v>11</v>
      </c>
      <c r="AK29" s="12">
        <v>25</v>
      </c>
      <c r="AL29" s="12">
        <v>8</v>
      </c>
      <c r="AQ29" s="1">
        <v>6</v>
      </c>
      <c r="AR29" s="79">
        <v>1300</v>
      </c>
      <c r="AS29" s="82">
        <f t="shared" si="25"/>
        <v>3200</v>
      </c>
      <c r="AT29" s="79">
        <v>2100</v>
      </c>
      <c r="AU29" s="82">
        <f t="shared" si="26"/>
        <v>5200</v>
      </c>
      <c r="AV29" s="79">
        <v>3400</v>
      </c>
      <c r="AW29" s="82">
        <f t="shared" si="27"/>
        <v>8400</v>
      </c>
      <c r="AX29" s="79">
        <v>5500</v>
      </c>
      <c r="AY29" s="79">
        <f t="shared" si="28"/>
        <v>13600</v>
      </c>
      <c r="BB29" s="185">
        <f>LOOKUP(CharGenMain!A29,'Talents-Skills'!$A$2:$A$496,'Talents-Skills'!$D$2:$D$496)</f>
        <v>0</v>
      </c>
      <c r="BW29" s="9" t="str">
        <f>IF(D29="Rank",CharGenMain!BB29," ")</f>
        <v xml:space="preserve"> </v>
      </c>
      <c r="CA29" s="238">
        <f t="shared" si="16"/>
        <v>0</v>
      </c>
      <c r="CB29" s="240">
        <f t="shared" si="16"/>
        <v>0</v>
      </c>
      <c r="CC29" s="240">
        <f t="shared" si="29"/>
        <v>9</v>
      </c>
      <c r="CD29" s="240" t="e">
        <f>IF(CC29=" "," ",LOOKUP(CA29,'Talents-Skills'!$A$2:$A$496,'Talents-Skills'!$C$2:$C$496))</f>
        <v>#N/A</v>
      </c>
      <c r="CE29" s="240" t="e">
        <f t="shared" si="23"/>
        <v>#N/A</v>
      </c>
      <c r="CF29" s="240" t="e">
        <f t="shared" si="30"/>
        <v>#N/A</v>
      </c>
      <c r="CG29" s="240" t="e">
        <f t="shared" si="31"/>
        <v>#N/A</v>
      </c>
      <c r="CH29" s="240" t="e">
        <f>IF(CC29=" "," ",LOOKUP(CA29,'Talents-Skills'!$A$2:$A$496,'Talents-Skills'!$E$2:$E$496))</f>
        <v>#N/A</v>
      </c>
      <c r="CI29" s="240">
        <f t="shared" si="20"/>
        <v>0</v>
      </c>
      <c r="CJ29" s="240" t="e">
        <f>IF(CI29="Yes","May",IF(CC29=" "," ",LOOKUP(CA29,'Talents-Skills'!$A$2:$A$496,'Talents-Skills'!$F$2:$F$496)))</f>
        <v>#N/A</v>
      </c>
      <c r="CK29" s="242" t="e">
        <f>IF(CC29=" "," ",LOOKUP(CA29,'Talents-Skills'!$A$2:$A$496,'Talents-Skills'!$G$2:$G$496))</f>
        <v>#N/A</v>
      </c>
      <c r="CL29" s="9">
        <f t="shared" si="21"/>
        <v>14200</v>
      </c>
      <c r="CP29" s="9">
        <v>29</v>
      </c>
      <c r="CQ29" s="9">
        <v>18</v>
      </c>
      <c r="CR29" s="9">
        <v>29</v>
      </c>
      <c r="CS29" s="9">
        <v>40</v>
      </c>
      <c r="CT29" s="9">
        <v>47</v>
      </c>
      <c r="CU29" s="9">
        <v>54</v>
      </c>
    </row>
    <row r="30" spans="1:99">
      <c r="A30" s="126" t="str">
        <f t="shared" si="13"/>
        <v>Creature Analysis</v>
      </c>
      <c r="B30" s="14">
        <f t="shared" si="13"/>
        <v>2</v>
      </c>
      <c r="C30" s="14">
        <v>0</v>
      </c>
      <c r="D30" s="14" t="str">
        <f>IF(C30=" "," ",LOOKUP(A30,'Talents-Skills'!$A$2:$A$496,'Talents-Skills'!$C$2:$C$496))</f>
        <v>Perception</v>
      </c>
      <c r="E30" s="14">
        <f t="shared" si="32"/>
        <v>7</v>
      </c>
      <c r="F30" s="14">
        <f t="shared" si="24"/>
        <v>7</v>
      </c>
      <c r="G30" s="14" t="str">
        <f t="shared" si="22"/>
        <v>D12</v>
      </c>
      <c r="H30" s="14" t="str">
        <f>IF(C30=" "," ",LOOKUP(A30,'Talents-Skills'!$A$2:$A$496,'Talents-Skills'!$E$2:$E$496))</f>
        <v>Yes</v>
      </c>
      <c r="I30" s="14" t="str">
        <f t="shared" si="14"/>
        <v>No</v>
      </c>
      <c r="J30" s="14" t="str">
        <f>IF(I30="Yes","May",IF(C30=" "," ",LOOKUP(A30,'Talents-Skills'!$A$2:$A$496,'Talents-Skills'!$F$2:$F$496)))</f>
        <v>No</v>
      </c>
      <c r="K30" s="140">
        <f>IF(C30=" "," ",LOOKUP(A30,'Talents-Skills'!$A$2:$A$496,'Talents-Skills'!$G$2:$G$496))</f>
        <v>1</v>
      </c>
      <c r="L30" s="9">
        <f t="shared" si="15"/>
        <v>0</v>
      </c>
      <c r="N30" s="10"/>
      <c r="P30" s="65">
        <v>28</v>
      </c>
      <c r="Q30" s="10">
        <v>14</v>
      </c>
      <c r="R30" s="10" t="s">
        <v>5190</v>
      </c>
      <c r="S30" s="10" t="s">
        <v>5191</v>
      </c>
      <c r="T30" s="10">
        <v>55</v>
      </c>
      <c r="U30" s="10">
        <v>16</v>
      </c>
      <c r="V30" s="10">
        <v>48</v>
      </c>
      <c r="W30" s="10">
        <v>5</v>
      </c>
      <c r="X30" s="10">
        <v>6</v>
      </c>
      <c r="Z30" s="10">
        <v>29</v>
      </c>
      <c r="AA30" s="10">
        <v>11</v>
      </c>
      <c r="AC30" s="10">
        <v>29</v>
      </c>
      <c r="AD30" s="10" t="s">
        <v>5196</v>
      </c>
      <c r="AF30" s="12">
        <v>7</v>
      </c>
      <c r="AG30" s="12">
        <v>10</v>
      </c>
      <c r="AI30" s="12">
        <v>7</v>
      </c>
      <c r="AJ30" s="12">
        <v>12</v>
      </c>
      <c r="AK30" s="12">
        <v>30</v>
      </c>
      <c r="AL30" s="12">
        <v>10</v>
      </c>
      <c r="AQ30" s="1">
        <v>7</v>
      </c>
      <c r="AR30" s="79">
        <v>2100</v>
      </c>
      <c r="AS30" s="82">
        <f t="shared" si="25"/>
        <v>5300</v>
      </c>
      <c r="AT30" s="79">
        <v>3400</v>
      </c>
      <c r="AU30" s="82">
        <f t="shared" si="26"/>
        <v>8600</v>
      </c>
      <c r="AV30" s="79">
        <v>5500</v>
      </c>
      <c r="AW30" s="82">
        <f t="shared" si="27"/>
        <v>13900</v>
      </c>
      <c r="AX30" s="79">
        <v>8900</v>
      </c>
      <c r="AY30" s="79">
        <f t="shared" si="28"/>
        <v>22500</v>
      </c>
      <c r="BB30" s="185">
        <f>LOOKUP(CharGenMain!A30,'Talents-Skills'!$A$2:$A$496,'Talents-Skills'!$D$2:$D$496)</f>
        <v>0</v>
      </c>
      <c r="BW30" s="9" t="str">
        <f>IF(D30="Rank",CharGenMain!BB30," ")</f>
        <v xml:space="preserve"> </v>
      </c>
      <c r="CA30" s="126">
        <f t="shared" si="16"/>
        <v>0</v>
      </c>
      <c r="CB30" s="14">
        <f t="shared" si="16"/>
        <v>0</v>
      </c>
      <c r="CC30" s="14">
        <f t="shared" si="29"/>
        <v>9</v>
      </c>
      <c r="CD30" s="14" t="e">
        <f>IF(CC30=" "," ",LOOKUP(CA30,'Talents-Skills'!$A$2:$A$496,'Talents-Skills'!$C$2:$C$496))</f>
        <v>#N/A</v>
      </c>
      <c r="CE30" s="14" t="e">
        <f t="shared" si="23"/>
        <v>#N/A</v>
      </c>
      <c r="CF30" s="14" t="e">
        <f t="shared" si="30"/>
        <v>#N/A</v>
      </c>
      <c r="CG30" s="14" t="e">
        <f t="shared" si="31"/>
        <v>#N/A</v>
      </c>
      <c r="CH30" s="14" t="e">
        <f>IF(CC30=" "," ",LOOKUP(CA30,'Talents-Skills'!$A$2:$A$496,'Talents-Skills'!$E$2:$E$496))</f>
        <v>#N/A</v>
      </c>
      <c r="CI30" s="14">
        <f t="shared" si="20"/>
        <v>0</v>
      </c>
      <c r="CJ30" s="14" t="e">
        <f>IF(CI30="Yes","May",IF(CC30=" "," ",LOOKUP(CA30,'Talents-Skills'!$A$2:$A$496,'Talents-Skills'!$F$2:$F$496)))</f>
        <v>#N/A</v>
      </c>
      <c r="CK30" s="140" t="e">
        <f>IF(CC30=" "," ",LOOKUP(CA30,'Talents-Skills'!$A$2:$A$496,'Talents-Skills'!$G$2:$G$496))</f>
        <v>#N/A</v>
      </c>
      <c r="CL30" s="9">
        <f t="shared" si="21"/>
        <v>14200</v>
      </c>
      <c r="CP30" s="9">
        <v>30</v>
      </c>
      <c r="CQ30" s="9">
        <v>20</v>
      </c>
      <c r="CR30" s="9">
        <v>30</v>
      </c>
      <c r="CS30" s="9">
        <v>40</v>
      </c>
      <c r="CT30" s="9">
        <v>47</v>
      </c>
      <c r="CU30" s="9">
        <v>55</v>
      </c>
    </row>
    <row r="31" spans="1:99">
      <c r="A31" s="238" t="str">
        <f t="shared" si="13"/>
        <v>Borrow Sense</v>
      </c>
      <c r="B31" s="240">
        <f t="shared" si="13"/>
        <v>3</v>
      </c>
      <c r="C31" s="240">
        <v>0</v>
      </c>
      <c r="D31" s="240" t="str">
        <f>IF(C31=" "," ",LOOKUP(A31,'Talents-Skills'!$A$2:$A$496,'Talents-Skills'!$C$2:$C$496))</f>
        <v>Willpower</v>
      </c>
      <c r="E31" s="240">
        <f t="shared" si="32"/>
        <v>6</v>
      </c>
      <c r="F31" s="240">
        <f t="shared" si="24"/>
        <v>6</v>
      </c>
      <c r="G31" s="240" t="str">
        <f t="shared" si="22"/>
        <v>D10</v>
      </c>
      <c r="H31" s="240" t="str">
        <f>IF(C31=" "," ",LOOKUP(A31,'Talents-Skills'!$A$2:$A$496,'Talents-Skills'!$E$2:$E$496))</f>
        <v>Yes</v>
      </c>
      <c r="I31" s="240" t="str">
        <f t="shared" si="14"/>
        <v>No</v>
      </c>
      <c r="J31" s="240" t="str">
        <f>IF(I31="Yes","May",IF(C31=" "," ",LOOKUP(A31,'Talents-Skills'!$A$2:$A$496,'Talents-Skills'!$F$2:$F$496)))</f>
        <v>No</v>
      </c>
      <c r="K31" s="242" t="str">
        <f>IF(C31=" "," ",LOOKUP(A31,'Talents-Skills'!$A$2:$A$496,'Talents-Skills'!$G$2:$G$496))</f>
        <v>No</v>
      </c>
      <c r="L31" s="9">
        <f t="shared" si="15"/>
        <v>0</v>
      </c>
      <c r="M31" s="4" t="s">
        <v>5396</v>
      </c>
      <c r="N31" s="10"/>
      <c r="P31" s="65">
        <v>29</v>
      </c>
      <c r="Q31" s="10">
        <v>14</v>
      </c>
      <c r="R31" s="10" t="s">
        <v>5397</v>
      </c>
      <c r="S31" s="10" t="s">
        <v>5398</v>
      </c>
      <c r="T31" s="10">
        <v>56</v>
      </c>
      <c r="U31" s="10">
        <v>16</v>
      </c>
      <c r="V31" s="10">
        <v>49</v>
      </c>
      <c r="W31" s="10">
        <v>5</v>
      </c>
      <c r="X31" s="10">
        <v>7</v>
      </c>
      <c r="Z31" s="10">
        <v>30</v>
      </c>
      <c r="AA31" s="10">
        <v>11</v>
      </c>
      <c r="AC31" s="10">
        <v>30</v>
      </c>
      <c r="AD31" s="10" t="s">
        <v>5399</v>
      </c>
      <c r="AF31" s="12">
        <v>8</v>
      </c>
      <c r="AG31" s="12">
        <v>15</v>
      </c>
      <c r="AI31" s="12">
        <v>8</v>
      </c>
      <c r="AJ31" s="12">
        <v>13</v>
      </c>
      <c r="AK31" s="12">
        <v>35</v>
      </c>
      <c r="AL31" s="12">
        <v>12</v>
      </c>
      <c r="AQ31" s="1">
        <v>8</v>
      </c>
      <c r="AR31" s="79">
        <v>3400</v>
      </c>
      <c r="AS31" s="82">
        <f t="shared" si="25"/>
        <v>8700</v>
      </c>
      <c r="AT31" s="79">
        <v>5500</v>
      </c>
      <c r="AU31" s="82">
        <f t="shared" si="26"/>
        <v>14100</v>
      </c>
      <c r="AV31" s="79">
        <v>8900</v>
      </c>
      <c r="AW31" s="82">
        <f t="shared" si="27"/>
        <v>22800</v>
      </c>
      <c r="AX31" s="79">
        <v>14400</v>
      </c>
      <c r="AY31" s="79">
        <f t="shared" si="28"/>
        <v>36900</v>
      </c>
      <c r="BB31" s="185">
        <f>LOOKUP(CharGenMain!A31,'Talents-Skills'!$A$2:$A$496,'Talents-Skills'!$D$2:$D$496)</f>
        <v>0</v>
      </c>
      <c r="BW31" s="9" t="str">
        <f>IF(D31="Rank",CharGenMain!BB31," ")</f>
        <v xml:space="preserve"> </v>
      </c>
      <c r="CA31" s="238">
        <f t="shared" si="16"/>
        <v>0</v>
      </c>
      <c r="CB31" s="240">
        <f t="shared" si="16"/>
        <v>0</v>
      </c>
      <c r="CC31" s="240">
        <f t="shared" si="29"/>
        <v>9</v>
      </c>
      <c r="CD31" s="240" t="e">
        <f>IF(CC31=" "," ",LOOKUP(CA31,'Talents-Skills'!$A$2:$A$496,'Talents-Skills'!$C$2:$C$496))</f>
        <v>#N/A</v>
      </c>
      <c r="CE31" s="240" t="e">
        <f t="shared" si="23"/>
        <v>#N/A</v>
      </c>
      <c r="CF31" s="240" t="e">
        <f t="shared" si="30"/>
        <v>#N/A</v>
      </c>
      <c r="CG31" s="240" t="e">
        <f t="shared" si="31"/>
        <v>#N/A</v>
      </c>
      <c r="CH31" s="240" t="e">
        <f>IF(CC31=" "," ",LOOKUP(CA31,'Talents-Skills'!$A$2:$A$496,'Talents-Skills'!$E$2:$E$496))</f>
        <v>#N/A</v>
      </c>
      <c r="CI31" s="240">
        <f t="shared" si="20"/>
        <v>0</v>
      </c>
      <c r="CJ31" s="240" t="e">
        <f>IF(CI31="Yes","May",IF(CC31=" "," ",LOOKUP(CA31,'Talents-Skills'!$A$2:$A$496,'Talents-Skills'!$F$2:$F$496)))</f>
        <v>#N/A</v>
      </c>
      <c r="CK31" s="242" t="e">
        <f>IF(CC31=" "," ",LOOKUP(CA31,'Talents-Skills'!$A$2:$A$496,'Talents-Skills'!$G$2:$G$496))</f>
        <v>#N/A</v>
      </c>
      <c r="CL31" s="9">
        <f t="shared" si="21"/>
        <v>14200</v>
      </c>
      <c r="CP31" s="9">
        <v>31</v>
      </c>
      <c r="CQ31" s="9">
        <v>21</v>
      </c>
      <c r="CR31" s="9">
        <v>31</v>
      </c>
      <c r="CS31" s="9">
        <v>41</v>
      </c>
      <c r="CT31" s="9">
        <v>48</v>
      </c>
      <c r="CU31" s="9">
        <v>56</v>
      </c>
    </row>
    <row r="32" spans="1:99">
      <c r="A32" s="141" t="str">
        <f t="shared" si="13"/>
        <v>Cat's Paw</v>
      </c>
      <c r="B32" s="23">
        <f t="shared" si="13"/>
        <v>3</v>
      </c>
      <c r="C32" s="23">
        <v>9</v>
      </c>
      <c r="D32" s="23" t="str">
        <f>IF(C32=" "," ",LOOKUP(A32,'Talents-Skills'!$A$2:$A$496,'Talents-Skills'!$C$2:$C$496))</f>
        <v>Dexterity</v>
      </c>
      <c r="E32" s="23">
        <f t="shared" si="32"/>
        <v>7</v>
      </c>
      <c r="F32" s="23">
        <f t="shared" si="24"/>
        <v>16</v>
      </c>
      <c r="G32" s="23" t="str">
        <f t="shared" si="22"/>
        <v>D20+D8</v>
      </c>
      <c r="H32" s="23" t="str">
        <f>IF(C32=" "," ",LOOKUP(A32,'Talents-Skills'!$A$2:$A$496,'Talents-Skills'!$E$2:$E$496))</f>
        <v>No</v>
      </c>
      <c r="I32" s="23" t="str">
        <f t="shared" si="14"/>
        <v>Yes</v>
      </c>
      <c r="J32" s="23" t="str">
        <f>IF(I32="Yes","May",IF(C32=" "," ",LOOKUP(A32,'Talents-Skills'!$A$2:$A$496,'Talents-Skills'!$F$2:$F$496)))</f>
        <v>May</v>
      </c>
      <c r="K32" s="142">
        <f>IF(C32=" "," ",LOOKUP(A32,'Talents-Skills'!$A$2:$A$496,'Talents-Skills'!$G$2:$G$496))</f>
        <v>1</v>
      </c>
      <c r="L32" s="9">
        <f t="shared" si="15"/>
        <v>14200</v>
      </c>
      <c r="M32" s="9" t="s">
        <v>5390</v>
      </c>
      <c r="N32" s="10">
        <f t="shared" ref="N32:N37" ca="1" si="33">RANDBETWEEN(9,18)</f>
        <v>17</v>
      </c>
      <c r="P32" s="65">
        <v>30</v>
      </c>
      <c r="Q32" s="10">
        <v>15</v>
      </c>
      <c r="R32" s="10" t="s">
        <v>5400</v>
      </c>
      <c r="S32" s="10" t="s">
        <v>5401</v>
      </c>
      <c r="T32" s="10">
        <v>58</v>
      </c>
      <c r="U32" s="10">
        <v>17</v>
      </c>
      <c r="V32" s="10">
        <v>51</v>
      </c>
      <c r="W32" s="10">
        <v>5</v>
      </c>
      <c r="X32" s="10">
        <v>7</v>
      </c>
      <c r="Z32" s="10">
        <v>31</v>
      </c>
      <c r="AA32" s="10">
        <v>12</v>
      </c>
      <c r="AC32" s="10">
        <v>31</v>
      </c>
      <c r="AD32" s="10" t="s">
        <v>5402</v>
      </c>
      <c r="AF32" s="12">
        <v>9</v>
      </c>
      <c r="AG32" s="12">
        <v>20</v>
      </c>
      <c r="AI32" s="12">
        <v>9</v>
      </c>
      <c r="AJ32" s="12">
        <v>14</v>
      </c>
      <c r="AK32" s="12">
        <v>40</v>
      </c>
      <c r="AL32" s="12">
        <v>15</v>
      </c>
      <c r="AQ32" s="1">
        <v>9</v>
      </c>
      <c r="AR32" s="79">
        <v>5500</v>
      </c>
      <c r="AS32" s="82">
        <f t="shared" si="25"/>
        <v>14200</v>
      </c>
      <c r="AT32" s="79">
        <v>8900</v>
      </c>
      <c r="AU32" s="82">
        <f t="shared" si="26"/>
        <v>23000</v>
      </c>
      <c r="AV32" s="79">
        <v>14400</v>
      </c>
      <c r="AW32" s="82">
        <f t="shared" si="27"/>
        <v>37200</v>
      </c>
      <c r="AX32" s="79">
        <v>23300</v>
      </c>
      <c r="AY32" s="79">
        <f t="shared" si="28"/>
        <v>60200</v>
      </c>
      <c r="BB32" s="185">
        <f>LOOKUP(CharGenMain!A32,'Talents-Skills'!$A$2:$A$496,'Talents-Skills'!$D$2:$D$496)</f>
        <v>0</v>
      </c>
      <c r="BW32" s="9" t="str">
        <f>IF(D32="Rank",CharGenMain!BB32," ")</f>
        <v xml:space="preserve"> </v>
      </c>
      <c r="CA32" s="126">
        <f t="shared" si="16"/>
        <v>0</v>
      </c>
      <c r="CB32" s="14">
        <f t="shared" si="16"/>
        <v>0</v>
      </c>
      <c r="CC32" s="14">
        <f t="shared" si="29"/>
        <v>9</v>
      </c>
      <c r="CD32" s="14" t="e">
        <f>IF(CC32=" "," ",LOOKUP(CA32,'Talents-Skills'!$A$2:$A$496,'Talents-Skills'!$C$2:$C$496))</f>
        <v>#N/A</v>
      </c>
      <c r="CE32" s="14" t="e">
        <f t="shared" si="23"/>
        <v>#N/A</v>
      </c>
      <c r="CF32" s="14" t="e">
        <f t="shared" si="30"/>
        <v>#N/A</v>
      </c>
      <c r="CG32" s="14" t="e">
        <f t="shared" si="31"/>
        <v>#N/A</v>
      </c>
      <c r="CH32" s="14" t="e">
        <f>IF(CC32=" "," ",LOOKUP(CA32,'Talents-Skills'!$A$2:$A$496,'Talents-Skills'!$E$2:$E$496))</f>
        <v>#N/A</v>
      </c>
      <c r="CI32" s="14">
        <f t="shared" si="20"/>
        <v>0</v>
      </c>
      <c r="CJ32" s="14" t="e">
        <f>IF(CI32="Yes","May",IF(CC32=" "," ",LOOKUP(CA32,'Talents-Skills'!$A$2:$A$496,'Talents-Skills'!$F$2:$F$496)))</f>
        <v>#N/A</v>
      </c>
      <c r="CK32" s="140" t="e">
        <f>IF(CC32=" "," ",LOOKUP(CA32,'Talents-Skills'!$A$2:$A$496,'Talents-Skills'!$G$2:$G$496))</f>
        <v>#N/A</v>
      </c>
      <c r="CL32" s="9">
        <f t="shared" si="21"/>
        <v>14200</v>
      </c>
      <c r="CP32" s="9">
        <v>32</v>
      </c>
      <c r="CQ32" s="9">
        <v>22</v>
      </c>
      <c r="CR32" s="9">
        <v>32</v>
      </c>
      <c r="CS32" s="9">
        <v>42</v>
      </c>
      <c r="CT32" s="9">
        <v>49</v>
      </c>
      <c r="CU32" s="9">
        <v>58</v>
      </c>
    </row>
    <row r="33" spans="1:99">
      <c r="A33" s="238" t="str">
        <f t="shared" si="13"/>
        <v>Frighten Animal Servants</v>
      </c>
      <c r="B33" s="240">
        <f t="shared" si="13"/>
        <v>4</v>
      </c>
      <c r="C33" s="240">
        <v>0</v>
      </c>
      <c r="D33" s="240" t="str">
        <f>IF(C33=" "," ",LOOKUP(A33,'Talents-Skills'!$A$2:$A$496,'Talents-Skills'!$C$2:$C$496))</f>
        <v>Willpower</v>
      </c>
      <c r="E33" s="240">
        <f t="shared" si="32"/>
        <v>6</v>
      </c>
      <c r="F33" s="240">
        <f t="shared" si="24"/>
        <v>6</v>
      </c>
      <c r="G33" s="240" t="str">
        <f t="shared" si="22"/>
        <v>D10</v>
      </c>
      <c r="H33" s="240" t="str">
        <f>IF(C33=" "," ",LOOKUP(A33,'Talents-Skills'!$A$2:$A$496,'Talents-Skills'!$E$2:$E$496))</f>
        <v>Yes</v>
      </c>
      <c r="I33" s="240" t="str">
        <f t="shared" si="14"/>
        <v>Yes</v>
      </c>
      <c r="J33" s="240" t="str">
        <f>IF(I33="Yes","May",IF(C33=" "," ",LOOKUP(A33,'Talents-Skills'!$A$2:$A$496,'Talents-Skills'!$F$2:$F$496)))</f>
        <v>May</v>
      </c>
      <c r="K33" s="242" t="str">
        <f>IF(C33=" "," ",LOOKUP(A33,'Talents-Skills'!$A$2:$A$496,'Talents-Skills'!$G$2:$G$496))</f>
        <v>No</v>
      </c>
      <c r="L33" s="9">
        <f t="shared" si="15"/>
        <v>0</v>
      </c>
      <c r="M33" s="9" t="s">
        <v>5596</v>
      </c>
      <c r="N33" s="10">
        <f t="shared" ca="1" si="33"/>
        <v>11</v>
      </c>
      <c r="P33" s="65">
        <v>31</v>
      </c>
      <c r="Q33" s="10">
        <v>15</v>
      </c>
      <c r="R33" s="10" t="s">
        <v>5403</v>
      </c>
      <c r="S33" s="10" t="s">
        <v>5404</v>
      </c>
      <c r="T33" s="10">
        <v>60</v>
      </c>
      <c r="U33" s="10">
        <v>17</v>
      </c>
      <c r="V33" s="10">
        <v>52</v>
      </c>
      <c r="W33" s="10">
        <v>5</v>
      </c>
      <c r="X33" s="10">
        <v>7</v>
      </c>
      <c r="Z33" s="10">
        <v>32</v>
      </c>
      <c r="AA33" s="10">
        <v>12</v>
      </c>
      <c r="AC33" s="10">
        <v>32</v>
      </c>
      <c r="AD33" s="10" t="s">
        <v>5405</v>
      </c>
      <c r="AF33" s="12">
        <v>10</v>
      </c>
      <c r="AG33" s="12">
        <v>30</v>
      </c>
      <c r="AI33" s="12">
        <v>10</v>
      </c>
      <c r="AJ33" s="12">
        <v>15</v>
      </c>
      <c r="AK33" s="12">
        <v>45</v>
      </c>
      <c r="AL33" s="12">
        <v>17</v>
      </c>
      <c r="AQ33" s="1">
        <v>10</v>
      </c>
      <c r="AR33" s="79">
        <v>8900</v>
      </c>
      <c r="AS33" s="82">
        <f t="shared" si="25"/>
        <v>23100</v>
      </c>
      <c r="AT33" s="79">
        <v>14400</v>
      </c>
      <c r="AU33" s="82">
        <f t="shared" si="26"/>
        <v>37400</v>
      </c>
      <c r="AV33" s="79">
        <v>23300</v>
      </c>
      <c r="AW33" s="82">
        <f t="shared" si="27"/>
        <v>60500</v>
      </c>
      <c r="AX33" s="79">
        <v>37700</v>
      </c>
      <c r="AY33" s="79">
        <f t="shared" si="28"/>
        <v>97900</v>
      </c>
      <c r="BB33" s="185">
        <f>LOOKUP(CharGenMain!A33,'Talents-Skills'!$A$2:$A$496,'Talents-Skills'!$D$2:$D$496)</f>
        <v>0</v>
      </c>
      <c r="BW33" s="9" t="str">
        <f>IF(D33="Rank",CharGenMain!BB33," ")</f>
        <v xml:space="preserve"> </v>
      </c>
      <c r="CA33" s="238">
        <f t="shared" si="16"/>
        <v>0</v>
      </c>
      <c r="CB33" s="240">
        <f t="shared" si="16"/>
        <v>0</v>
      </c>
      <c r="CC33" s="240">
        <f t="shared" si="29"/>
        <v>9</v>
      </c>
      <c r="CD33" s="240" t="e">
        <f>IF(CC33=" "," ",LOOKUP(CA33,'Talents-Skills'!$A$2:$A$496,'Talents-Skills'!$C$2:$C$496))</f>
        <v>#N/A</v>
      </c>
      <c r="CE33" s="240" t="e">
        <f t="shared" si="23"/>
        <v>#N/A</v>
      </c>
      <c r="CF33" s="240" t="e">
        <f t="shared" si="30"/>
        <v>#N/A</v>
      </c>
      <c r="CG33" s="240" t="e">
        <f t="shared" si="31"/>
        <v>#N/A</v>
      </c>
      <c r="CH33" s="240" t="e">
        <f>IF(CC33=" "," ",LOOKUP(CA33,'Talents-Skills'!$A$2:$A$496,'Talents-Skills'!$E$2:$E$496))</f>
        <v>#N/A</v>
      </c>
      <c r="CI33" s="240">
        <f t="shared" si="20"/>
        <v>0</v>
      </c>
      <c r="CJ33" s="240" t="e">
        <f>IF(CI33="Yes","May",IF(CC33=" "," ",LOOKUP(CA33,'Talents-Skills'!$A$2:$A$496,'Talents-Skills'!$F$2:$F$496)))</f>
        <v>#N/A</v>
      </c>
      <c r="CK33" s="242" t="e">
        <f>IF(CC33=" "," ",LOOKUP(CA33,'Talents-Skills'!$A$2:$A$496,'Talents-Skills'!$G$2:$G$496))</f>
        <v>#N/A</v>
      </c>
      <c r="CL33" s="9">
        <f t="shared" si="21"/>
        <v>14200</v>
      </c>
      <c r="CP33" s="9">
        <v>33</v>
      </c>
      <c r="CQ33" s="9">
        <v>23</v>
      </c>
      <c r="CR33" s="9">
        <v>33</v>
      </c>
      <c r="CS33" s="9">
        <v>43</v>
      </c>
      <c r="CT33" s="9">
        <v>51</v>
      </c>
      <c r="CU33" s="9">
        <v>59</v>
      </c>
    </row>
    <row r="34" spans="1:99">
      <c r="A34" s="126" t="str">
        <f t="shared" si="13"/>
        <v>Threadweaving</v>
      </c>
      <c r="B34" s="14">
        <f t="shared" si="13"/>
        <v>4</v>
      </c>
      <c r="C34" s="14">
        <v>9</v>
      </c>
      <c r="D34" s="14" t="str">
        <f>IF(C34=" "," ",LOOKUP(A34,'Talents-Skills'!$A$2:$A$496,'Talents-Skills'!$C$2:$C$496))</f>
        <v>Perception</v>
      </c>
      <c r="E34" s="14">
        <f t="shared" si="32"/>
        <v>7</v>
      </c>
      <c r="F34" s="14">
        <f t="shared" si="24"/>
        <v>16</v>
      </c>
      <c r="G34" s="14" t="str">
        <f t="shared" si="22"/>
        <v>D20+D8</v>
      </c>
      <c r="H34" s="14" t="str">
        <f>IF(C34=" "," ",LOOKUP(A34,'Talents-Skills'!$A$2:$A$496,'Talents-Skills'!$E$2:$E$496))</f>
        <v>Yes</v>
      </c>
      <c r="I34" s="14" t="str">
        <f t="shared" si="14"/>
        <v>Yes</v>
      </c>
      <c r="J34" s="14" t="str">
        <f>IF(I34="Yes","May",IF(C34=" "," ",LOOKUP(A34,'Talents-Skills'!$A$2:$A$496,'Talents-Skills'!$F$2:$F$496)))</f>
        <v>May</v>
      </c>
      <c r="K34" s="140" t="str">
        <f>IF(C34=" "," ",LOOKUP(A34,'Talents-Skills'!$A$2:$A$496,'Talents-Skills'!$G$2:$G$496))</f>
        <v>No</v>
      </c>
      <c r="L34" s="9">
        <f t="shared" si="15"/>
        <v>14200</v>
      </c>
      <c r="M34" s="9" t="s">
        <v>5597</v>
      </c>
      <c r="N34" s="10">
        <f t="shared" ca="1" si="33"/>
        <v>14</v>
      </c>
      <c r="P34" s="65">
        <v>32</v>
      </c>
      <c r="Q34" s="10">
        <v>15</v>
      </c>
      <c r="R34" s="10" t="s">
        <v>5406</v>
      </c>
      <c r="S34" s="10" t="s">
        <v>5407</v>
      </c>
      <c r="T34" s="10">
        <v>61</v>
      </c>
      <c r="U34" s="10">
        <v>18</v>
      </c>
      <c r="V34" s="10">
        <v>53</v>
      </c>
      <c r="W34" s="10">
        <v>6</v>
      </c>
      <c r="X34" s="10">
        <v>8</v>
      </c>
      <c r="Z34" s="10">
        <v>33</v>
      </c>
      <c r="AA34" s="10">
        <v>12</v>
      </c>
      <c r="AC34" s="10">
        <v>33</v>
      </c>
      <c r="AD34" s="10" t="s">
        <v>5598</v>
      </c>
      <c r="AF34" s="12">
        <v>11</v>
      </c>
      <c r="AG34" s="12">
        <v>40</v>
      </c>
      <c r="AI34" s="12">
        <v>11</v>
      </c>
      <c r="AJ34" s="12">
        <v>16</v>
      </c>
      <c r="AK34" s="12">
        <v>50</v>
      </c>
      <c r="AL34" s="12">
        <v>20</v>
      </c>
      <c r="AN34" s="6"/>
      <c r="AQ34" s="1">
        <v>11</v>
      </c>
      <c r="AR34" s="79">
        <v>14400</v>
      </c>
      <c r="AS34" s="82">
        <f t="shared" si="25"/>
        <v>37500</v>
      </c>
      <c r="AT34" s="79">
        <v>23300</v>
      </c>
      <c r="AU34" s="82">
        <f t="shared" si="26"/>
        <v>60700</v>
      </c>
      <c r="AV34" s="79">
        <v>37700</v>
      </c>
      <c r="AW34" s="82">
        <f t="shared" si="27"/>
        <v>98200</v>
      </c>
      <c r="AX34" s="79">
        <v>61000</v>
      </c>
      <c r="AY34" s="79">
        <f t="shared" si="28"/>
        <v>158900</v>
      </c>
      <c r="BB34" s="185">
        <f>LOOKUP(CharGenMain!A34,'Talents-Skills'!$A$2:$A$496,'Talents-Skills'!$D$2:$D$496)</f>
        <v>0</v>
      </c>
      <c r="BW34" s="9" t="str">
        <f>IF(D34="Rank",CharGenMain!BB34," ")</f>
        <v xml:space="preserve"> </v>
      </c>
      <c r="CA34" s="126">
        <f t="shared" si="16"/>
        <v>0</v>
      </c>
      <c r="CB34" s="14">
        <f t="shared" si="16"/>
        <v>0</v>
      </c>
      <c r="CC34" s="14">
        <f t="shared" si="29"/>
        <v>9</v>
      </c>
      <c r="CD34" s="14" t="e">
        <f>IF(CC34=" "," ",LOOKUP(CA34,'Talents-Skills'!$A$2:$A$496,'Talents-Skills'!$C$2:$C$496))</f>
        <v>#N/A</v>
      </c>
      <c r="CE34" s="14" t="e">
        <f t="shared" si="23"/>
        <v>#N/A</v>
      </c>
      <c r="CF34" s="14" t="e">
        <f t="shared" si="30"/>
        <v>#N/A</v>
      </c>
      <c r="CG34" s="14" t="e">
        <f t="shared" si="31"/>
        <v>#N/A</v>
      </c>
      <c r="CH34" s="14" t="e">
        <f>IF(CC34=" "," ",LOOKUP(CA34,'Talents-Skills'!$A$2:$A$496,'Talents-Skills'!$E$2:$E$496))</f>
        <v>#N/A</v>
      </c>
      <c r="CI34" s="14">
        <f t="shared" si="20"/>
        <v>0</v>
      </c>
      <c r="CJ34" s="14" t="e">
        <f>IF(CI34="Yes","May",IF(CC34=" "," ",LOOKUP(CA34,'Talents-Skills'!$A$2:$A$496,'Talents-Skills'!$F$2:$F$496)))</f>
        <v>#N/A</v>
      </c>
      <c r="CK34" s="140" t="e">
        <f>IF(CC34=" "," ",LOOKUP(CA34,'Talents-Skills'!$A$2:$A$496,'Talents-Skills'!$G$2:$G$496))</f>
        <v>#N/A</v>
      </c>
      <c r="CL34" s="9">
        <f t="shared" si="21"/>
        <v>14200</v>
      </c>
      <c r="CP34" s="9">
        <v>34</v>
      </c>
      <c r="CQ34" s="9">
        <v>23</v>
      </c>
      <c r="CR34" s="9">
        <v>34</v>
      </c>
      <c r="CS34" s="9">
        <v>45</v>
      </c>
      <c r="CT34" s="9">
        <v>53</v>
      </c>
      <c r="CU34" s="9">
        <v>62</v>
      </c>
    </row>
    <row r="35" spans="1:99">
      <c r="A35" s="238" t="str">
        <f t="shared" si="13"/>
        <v>Heal Animal Serv</v>
      </c>
      <c r="B35" s="240">
        <f t="shared" si="13"/>
        <v>5</v>
      </c>
      <c r="C35" s="240">
        <v>6</v>
      </c>
      <c r="D35" s="240" t="str">
        <f>IF(C35=" "," ",LOOKUP(A35,'Talents-Skills'!$A$2:$A$496,'Talents-Skills'!$C$2:$C$496))</f>
        <v>Toughness</v>
      </c>
      <c r="E35" s="240">
        <f t="shared" si="32"/>
        <v>8</v>
      </c>
      <c r="F35" s="240">
        <f t="shared" si="24"/>
        <v>14</v>
      </c>
      <c r="G35" s="240" t="str">
        <f t="shared" si="22"/>
        <v>D20+D4</v>
      </c>
      <c r="H35" s="240" t="str">
        <f>IF(C35=" "," ",LOOKUP(A35,'Talents-Skills'!$A$2:$A$496,'Talents-Skills'!$E$2:$E$496))</f>
        <v>Yes</v>
      </c>
      <c r="I35" s="240" t="str">
        <f t="shared" si="14"/>
        <v>No</v>
      </c>
      <c r="J35" s="240" t="str">
        <f>IF(I35="Yes","May",IF(C35=" "," ",LOOKUP(A35,'Talents-Skills'!$A$2:$A$496,'Talents-Skills'!$F$2:$F$496)))</f>
        <v>No</v>
      </c>
      <c r="K35" s="242" t="str">
        <f>IF(C35=" "," ",LOOKUP(A35,'Talents-Skills'!$A$2:$A$496,'Talents-Skills'!$G$2:$G$496))</f>
        <v>No</v>
      </c>
      <c r="L35" s="9">
        <f t="shared" si="15"/>
        <v>5200</v>
      </c>
      <c r="M35" s="9" t="s">
        <v>5786</v>
      </c>
      <c r="N35" s="10">
        <f t="shared" ca="1" si="33"/>
        <v>17</v>
      </c>
      <c r="P35" s="65">
        <v>33</v>
      </c>
      <c r="Q35" s="10">
        <v>16</v>
      </c>
      <c r="R35" s="10" t="s">
        <v>5599</v>
      </c>
      <c r="S35" s="10" t="s">
        <v>5600</v>
      </c>
      <c r="T35" s="10">
        <v>62</v>
      </c>
      <c r="U35" s="10">
        <v>18</v>
      </c>
      <c r="V35" s="10">
        <v>54</v>
      </c>
      <c r="W35" s="10">
        <v>6</v>
      </c>
      <c r="X35" s="10">
        <v>8</v>
      </c>
      <c r="Z35" s="10">
        <v>34</v>
      </c>
      <c r="AA35" s="10">
        <v>13</v>
      </c>
      <c r="AC35" s="10">
        <v>34</v>
      </c>
      <c r="AD35" s="10" t="s">
        <v>5601</v>
      </c>
      <c r="AF35" s="12">
        <v>12</v>
      </c>
      <c r="AG35" s="12">
        <v>60</v>
      </c>
      <c r="AI35" s="12">
        <v>12</v>
      </c>
      <c r="AJ35" s="12">
        <v>17</v>
      </c>
      <c r="AK35" s="12">
        <v>55</v>
      </c>
      <c r="AL35" s="12">
        <v>30</v>
      </c>
      <c r="AN35" s="6"/>
      <c r="AQ35" s="1">
        <v>12</v>
      </c>
      <c r="AR35" s="79">
        <v>23300</v>
      </c>
      <c r="AS35" s="82">
        <f t="shared" si="25"/>
        <v>60800</v>
      </c>
      <c r="AT35" s="79">
        <v>37700</v>
      </c>
      <c r="AU35" s="82">
        <f t="shared" si="26"/>
        <v>98400</v>
      </c>
      <c r="AV35" s="79">
        <v>61000</v>
      </c>
      <c r="AW35" s="82">
        <f t="shared" si="27"/>
        <v>159200</v>
      </c>
      <c r="AX35" s="79">
        <v>98700</v>
      </c>
      <c r="AY35" s="79">
        <f t="shared" si="28"/>
        <v>257600</v>
      </c>
      <c r="BB35" s="185">
        <f>LOOKUP(CharGenMain!A35,'Talents-Skills'!$A$2:$A$496,'Talents-Skills'!$D$2:$D$496)</f>
        <v>0</v>
      </c>
      <c r="BW35" s="9" t="str">
        <f>IF(D35="Rank",CharGenMain!BB35," ")</f>
        <v xml:space="preserve"> </v>
      </c>
      <c r="CA35" s="238">
        <f t="shared" si="16"/>
        <v>0</v>
      </c>
      <c r="CB35" s="240">
        <f t="shared" si="16"/>
        <v>0</v>
      </c>
      <c r="CC35" s="240">
        <f t="shared" si="29"/>
        <v>9</v>
      </c>
      <c r="CD35" s="240" t="e">
        <f>IF(CC35=" "," ",LOOKUP(CA35,'Talents-Skills'!$A$2:$A$496,'Talents-Skills'!$C$2:$C$496))</f>
        <v>#N/A</v>
      </c>
      <c r="CE35" s="240" t="e">
        <f t="shared" si="23"/>
        <v>#N/A</v>
      </c>
      <c r="CF35" s="240" t="e">
        <f t="shared" si="30"/>
        <v>#N/A</v>
      </c>
      <c r="CG35" s="240" t="e">
        <f t="shared" si="31"/>
        <v>#N/A</v>
      </c>
      <c r="CH35" s="240" t="e">
        <f>IF(CC35=" "," ",LOOKUP(CA35,'Talents-Skills'!$A$2:$A$496,'Talents-Skills'!$E$2:$E$496))</f>
        <v>#N/A</v>
      </c>
      <c r="CI35" s="240">
        <f t="shared" si="20"/>
        <v>0</v>
      </c>
      <c r="CJ35" s="240" t="e">
        <f>IF(CI35="Yes","May",IF(CC35=" "," ",LOOKUP(CA35,'Talents-Skills'!$A$2:$A$496,'Talents-Skills'!$F$2:$F$496)))</f>
        <v>#N/A</v>
      </c>
      <c r="CK35" s="242" t="e">
        <f>IF(CC35=" "," ",LOOKUP(CA35,'Talents-Skills'!$A$2:$A$496,'Talents-Skills'!$G$2:$G$496))</f>
        <v>#N/A</v>
      </c>
      <c r="CL35" s="9">
        <f t="shared" si="21"/>
        <v>14200</v>
      </c>
      <c r="CP35" s="9">
        <v>35</v>
      </c>
      <c r="CQ35" s="9">
        <v>24</v>
      </c>
      <c r="CR35" s="9">
        <v>35</v>
      </c>
      <c r="CS35" s="9">
        <v>46</v>
      </c>
      <c r="CT35" s="9">
        <v>53</v>
      </c>
      <c r="CU35" s="9">
        <v>62</v>
      </c>
    </row>
    <row r="36" spans="1:99">
      <c r="A36" s="126" t="str">
        <f t="shared" si="13"/>
        <v>Incite Stampede</v>
      </c>
      <c r="B36" s="14">
        <f t="shared" si="13"/>
        <v>5</v>
      </c>
      <c r="C36" s="14">
        <v>0</v>
      </c>
      <c r="D36" s="14" t="str">
        <f>IF(C36=" "," ",LOOKUP(A36,'Talents-Skills'!$A$2:$A$496,'Talents-Skills'!$C$2:$C$496))</f>
        <v>Willpower</v>
      </c>
      <c r="E36" s="14">
        <f t="shared" si="32"/>
        <v>6</v>
      </c>
      <c r="F36" s="14">
        <f t="shared" si="24"/>
        <v>6</v>
      </c>
      <c r="G36" s="14" t="str">
        <f t="shared" si="22"/>
        <v>D10</v>
      </c>
      <c r="H36" s="14" t="str">
        <f>IF(C36=" "," ",LOOKUP(A36,'Talents-Skills'!$A$2:$A$496,'Talents-Skills'!$E$2:$E$496))</f>
        <v>Yes</v>
      </c>
      <c r="I36" s="14" t="str">
        <f t="shared" si="14"/>
        <v>Yes</v>
      </c>
      <c r="J36" s="14" t="str">
        <f>IF(I36="Yes","May",IF(C36=" "," ",LOOKUP(A36,'Talents-Skills'!$A$2:$A$496,'Talents-Skills'!$F$2:$F$496)))</f>
        <v>May</v>
      </c>
      <c r="K36" s="140">
        <f>IF(C36=" "," ",LOOKUP(A36,'Talents-Skills'!$A$2:$A$496,'Talents-Skills'!$G$2:$G$496))</f>
        <v>1</v>
      </c>
      <c r="L36" s="9">
        <f t="shared" si="15"/>
        <v>0</v>
      </c>
      <c r="M36" s="9" t="s">
        <v>5787</v>
      </c>
      <c r="N36" s="10">
        <f t="shared" ca="1" si="33"/>
        <v>16</v>
      </c>
      <c r="P36" s="65">
        <v>34</v>
      </c>
      <c r="Q36" s="10">
        <v>16</v>
      </c>
      <c r="R36" s="10" t="s">
        <v>5602</v>
      </c>
      <c r="S36" s="10" t="s">
        <v>5603</v>
      </c>
      <c r="T36" s="10">
        <v>63</v>
      </c>
      <c r="U36" s="10">
        <v>18</v>
      </c>
      <c r="V36" s="10">
        <v>55</v>
      </c>
      <c r="W36" s="10">
        <v>6</v>
      </c>
      <c r="X36" s="10">
        <v>8</v>
      </c>
      <c r="Z36" s="10">
        <v>35</v>
      </c>
      <c r="AA36" s="10">
        <v>13</v>
      </c>
      <c r="AC36" s="10">
        <v>35</v>
      </c>
      <c r="AD36" s="10" t="s">
        <v>5604</v>
      </c>
      <c r="AF36" s="12">
        <v>13</v>
      </c>
      <c r="AG36" s="12">
        <v>90</v>
      </c>
      <c r="AI36" s="12">
        <v>13</v>
      </c>
      <c r="AJ36" s="12">
        <v>18</v>
      </c>
      <c r="AK36" s="12">
        <v>60</v>
      </c>
      <c r="AL36" s="12">
        <v>45</v>
      </c>
      <c r="AN36" s="6"/>
      <c r="AQ36" s="1">
        <v>13</v>
      </c>
      <c r="AR36" s="79">
        <v>37700</v>
      </c>
      <c r="AS36" s="82">
        <f t="shared" si="25"/>
        <v>98500</v>
      </c>
      <c r="AT36" s="79">
        <v>61000</v>
      </c>
      <c r="AU36" s="82">
        <f t="shared" si="26"/>
        <v>159400</v>
      </c>
      <c r="AV36" s="79">
        <v>98700</v>
      </c>
      <c r="AW36" s="82">
        <f t="shared" si="27"/>
        <v>257900</v>
      </c>
      <c r="AX36" s="79">
        <v>159700</v>
      </c>
      <c r="AY36" s="79">
        <f t="shared" si="28"/>
        <v>417300</v>
      </c>
      <c r="BB36" s="185">
        <f>LOOKUP(CharGenMain!A36,'Talents-Skills'!$A$2:$A$496,'Talents-Skills'!$D$2:$D$496)</f>
        <v>0</v>
      </c>
      <c r="BW36" s="9" t="str">
        <f>IF(D36="Rank",CharGenMain!BB36," ")</f>
        <v xml:space="preserve"> </v>
      </c>
      <c r="CA36" s="126">
        <f t="shared" si="16"/>
        <v>0</v>
      </c>
      <c r="CB36" s="14">
        <f t="shared" si="16"/>
        <v>0</v>
      </c>
      <c r="CC36" s="14">
        <f t="shared" si="29"/>
        <v>9</v>
      </c>
      <c r="CD36" s="14" t="e">
        <f>IF(CC36=" "," ",LOOKUP(CA36,'Talents-Skills'!$A$2:$A$496,'Talents-Skills'!$C$2:$C$496))</f>
        <v>#N/A</v>
      </c>
      <c r="CE36" s="14" t="e">
        <f t="shared" si="23"/>
        <v>#N/A</v>
      </c>
      <c r="CF36" s="14" t="e">
        <f t="shared" si="30"/>
        <v>#N/A</v>
      </c>
      <c r="CG36" s="14" t="e">
        <f t="shared" si="31"/>
        <v>#N/A</v>
      </c>
      <c r="CH36" s="14" t="e">
        <f>IF(CC36=" "," ",LOOKUP(CA36,'Talents-Skills'!$A$2:$A$496,'Talents-Skills'!$E$2:$E$496))</f>
        <v>#N/A</v>
      </c>
      <c r="CI36" s="14">
        <f t="shared" si="20"/>
        <v>0</v>
      </c>
      <c r="CJ36" s="14" t="e">
        <f>IF(CI36="Yes","May",IF(CC36=" "," ",LOOKUP(CA36,'Talents-Skills'!$A$2:$A$496,'Talents-Skills'!$F$2:$F$496)))</f>
        <v>#N/A</v>
      </c>
      <c r="CK36" s="140" t="e">
        <f>IF(CC36=" "," ",LOOKUP(CA36,'Talents-Skills'!$A$2:$A$496,'Talents-Skills'!$G$2:$G$496))</f>
        <v>#N/A</v>
      </c>
      <c r="CL36" s="9">
        <f t="shared" si="21"/>
        <v>14200</v>
      </c>
      <c r="CP36" s="9">
        <v>36</v>
      </c>
      <c r="CQ36" s="9">
        <v>25</v>
      </c>
      <c r="CR36" s="9">
        <v>36</v>
      </c>
      <c r="CS36" s="9">
        <v>47</v>
      </c>
      <c r="CT36" s="9">
        <v>55</v>
      </c>
      <c r="CU36" s="9">
        <v>64</v>
      </c>
    </row>
    <row r="37" spans="1:99">
      <c r="A37" s="238" t="str">
        <f t="shared" si="13"/>
        <v>Endure Cold</v>
      </c>
      <c r="B37" s="240">
        <f t="shared" si="13"/>
        <v>6</v>
      </c>
      <c r="C37" s="240">
        <v>9</v>
      </c>
      <c r="D37" s="240" t="str">
        <f>IF(C37=" "," ",LOOKUP(A37,'Talents-Skills'!$A$2:$A$496,'Talents-Skills'!$C$2:$C$496))</f>
        <v>Toughness</v>
      </c>
      <c r="E37" s="240">
        <f t="shared" si="32"/>
        <v>8</v>
      </c>
      <c r="F37" s="240">
        <f t="shared" si="24"/>
        <v>17</v>
      </c>
      <c r="G37" s="240" t="str">
        <f t="shared" si="22"/>
        <v>D20+D10</v>
      </c>
      <c r="H37" s="240" t="str">
        <f>IF(C37=" "," ",LOOKUP(A37,'Talents-Skills'!$A$2:$A$496,'Talents-Skills'!$E$2:$E$496))</f>
        <v>No</v>
      </c>
      <c r="I37" s="240" t="str">
        <f t="shared" si="14"/>
        <v>No</v>
      </c>
      <c r="J37" s="240" t="str">
        <f>IF(I37="Yes","May",IF(C37=" "," ",LOOKUP(A37,'Talents-Skills'!$A$2:$A$496,'Talents-Skills'!$F$2:$F$496)))</f>
        <v>No</v>
      </c>
      <c r="K37" s="242" t="str">
        <f>IF(C37=" "," ",LOOKUP(A37,'Talents-Skills'!$A$2:$A$496,'Talents-Skills'!$G$2:$G$496))</f>
        <v>No</v>
      </c>
      <c r="L37" s="9">
        <f t="shared" si="15"/>
        <v>23000</v>
      </c>
      <c r="M37" s="9" t="s">
        <v>5788</v>
      </c>
      <c r="N37" s="10">
        <f t="shared" ca="1" si="33"/>
        <v>15</v>
      </c>
      <c r="P37" s="65">
        <v>35</v>
      </c>
      <c r="Q37" s="10">
        <v>16</v>
      </c>
      <c r="R37" s="10" t="s">
        <v>5605</v>
      </c>
      <c r="S37" s="10" t="s">
        <v>5606</v>
      </c>
      <c r="T37" s="10">
        <v>64</v>
      </c>
      <c r="U37" s="10">
        <v>19</v>
      </c>
      <c r="V37" s="10">
        <v>56</v>
      </c>
      <c r="W37" s="10">
        <v>6</v>
      </c>
      <c r="X37" s="10">
        <v>9</v>
      </c>
      <c r="Z37" s="10">
        <v>36</v>
      </c>
      <c r="AA37" s="10">
        <v>13</v>
      </c>
      <c r="AC37" s="10">
        <v>36</v>
      </c>
      <c r="AD37" s="10" t="s">
        <v>5607</v>
      </c>
      <c r="AF37" s="12">
        <v>14</v>
      </c>
      <c r="AG37" s="12">
        <v>150</v>
      </c>
      <c r="AI37" s="12">
        <v>14</v>
      </c>
      <c r="AJ37" s="12">
        <v>19</v>
      </c>
      <c r="AK37" s="12">
        <v>65</v>
      </c>
      <c r="AL37" s="12">
        <v>75</v>
      </c>
      <c r="AN37" s="6"/>
      <c r="AQ37" s="1">
        <v>14</v>
      </c>
      <c r="AR37" s="79">
        <v>61000</v>
      </c>
      <c r="AS37" s="82">
        <f t="shared" si="25"/>
        <v>159500</v>
      </c>
      <c r="AT37" s="79">
        <v>98700</v>
      </c>
      <c r="AU37" s="82">
        <f t="shared" si="26"/>
        <v>258100</v>
      </c>
      <c r="AV37" s="79">
        <v>159700</v>
      </c>
      <c r="AW37" s="82">
        <f t="shared" si="27"/>
        <v>417600</v>
      </c>
      <c r="AX37" s="79">
        <v>258400</v>
      </c>
      <c r="AY37" s="79">
        <f t="shared" si="28"/>
        <v>675700</v>
      </c>
      <c r="BB37" s="185">
        <f>LOOKUP(CharGenMain!A37,'Talents-Skills'!$A$2:$A$496,'Talents-Skills'!$D$2:$D$496)</f>
        <v>0</v>
      </c>
      <c r="BW37" s="9" t="str">
        <f>IF(D37="Rank",CharGenMain!BB37," ")</f>
        <v xml:space="preserve"> </v>
      </c>
      <c r="CA37" s="238">
        <f t="shared" si="16"/>
        <v>0</v>
      </c>
      <c r="CB37" s="240">
        <f t="shared" si="16"/>
        <v>0</v>
      </c>
      <c r="CC37" s="240">
        <f t="shared" si="29"/>
        <v>9</v>
      </c>
      <c r="CD37" s="240" t="e">
        <f>IF(CC37=" "," ",LOOKUP(CA37,'Talents-Skills'!$A$2:$A$496,'Talents-Skills'!$C$2:$C$496))</f>
        <v>#N/A</v>
      </c>
      <c r="CE37" s="240" t="e">
        <f t="shared" si="23"/>
        <v>#N/A</v>
      </c>
      <c r="CF37" s="240" t="e">
        <f t="shared" si="30"/>
        <v>#N/A</v>
      </c>
      <c r="CG37" s="240" t="e">
        <f t="shared" si="31"/>
        <v>#N/A</v>
      </c>
      <c r="CH37" s="240" t="e">
        <f>IF(CC37=" "," ",LOOKUP(CA37,'Talents-Skills'!$A$2:$A$496,'Talents-Skills'!$E$2:$E$496))</f>
        <v>#N/A</v>
      </c>
      <c r="CI37" s="240">
        <f t="shared" si="20"/>
        <v>0</v>
      </c>
      <c r="CJ37" s="240" t="e">
        <f>IF(CI37="Yes","May",IF(CC37=" "," ",LOOKUP(CA37,'Talents-Skills'!$A$2:$A$496,'Talents-Skills'!$F$2:$F$496)))</f>
        <v>#N/A</v>
      </c>
      <c r="CK37" s="242" t="e">
        <f>IF(CC37=" "," ",LOOKUP(CA37,'Talents-Skills'!$A$2:$A$496,'Talents-Skills'!$G$2:$G$496))</f>
        <v>#N/A</v>
      </c>
      <c r="CL37" s="9">
        <f t="shared" si="21"/>
        <v>14200</v>
      </c>
      <c r="CP37" s="9">
        <v>37</v>
      </c>
      <c r="CQ37" s="9">
        <v>26</v>
      </c>
      <c r="CR37" s="9">
        <v>37</v>
      </c>
      <c r="CS37" s="9">
        <v>48</v>
      </c>
      <c r="CT37" s="9">
        <v>56</v>
      </c>
      <c r="CU37" s="9">
        <v>65</v>
      </c>
    </row>
    <row r="38" spans="1:99">
      <c r="A38" s="141" t="str">
        <f t="shared" si="13"/>
        <v>Lizard Leap</v>
      </c>
      <c r="B38" s="23">
        <f t="shared" si="13"/>
        <v>6</v>
      </c>
      <c r="C38" s="23">
        <v>9</v>
      </c>
      <c r="D38" s="23" t="str">
        <f>IF(C38=" "," ",LOOKUP(A38,'Talents-Skills'!$A$2:$A$496,'Talents-Skills'!$C$2:$C$496))</f>
        <v>Strength</v>
      </c>
      <c r="E38" s="23">
        <f t="shared" si="32"/>
        <v>9</v>
      </c>
      <c r="F38" s="23">
        <f t="shared" si="24"/>
        <v>18</v>
      </c>
      <c r="G38" s="23" t="str">
        <f t="shared" si="22"/>
        <v>D20+D12</v>
      </c>
      <c r="H38" s="23" t="str">
        <f>IF(C38=" "," ",LOOKUP(A38,'Talents-Skills'!$A$2:$A$496,'Talents-Skills'!$E$2:$E$496))</f>
        <v>No</v>
      </c>
      <c r="I38" s="23" t="str">
        <f t="shared" si="14"/>
        <v>Yes</v>
      </c>
      <c r="J38" s="23" t="str">
        <f>IF(I38="Yes","May",IF(C38=" "," ",LOOKUP(A38,'Talents-Skills'!$A$2:$A$496,'Talents-Skills'!$F$2:$F$496)))</f>
        <v>May</v>
      </c>
      <c r="K38" s="142" t="str">
        <f>IF(C38=" "," ",LOOKUP(A38,'Talents-Skills'!$A$2:$A$496,'Talents-Skills'!$G$2:$G$496))</f>
        <v>No</v>
      </c>
      <c r="L38" s="9">
        <f t="shared" si="15"/>
        <v>23000</v>
      </c>
      <c r="N38" s="10"/>
      <c r="P38" s="65">
        <v>36</v>
      </c>
      <c r="Q38" s="10">
        <v>17</v>
      </c>
      <c r="R38" s="10" t="s">
        <v>5608</v>
      </c>
      <c r="S38" s="10" t="s">
        <v>5609</v>
      </c>
      <c r="T38" s="10">
        <v>65</v>
      </c>
      <c r="U38" s="10">
        <v>19</v>
      </c>
      <c r="V38" s="10">
        <v>57</v>
      </c>
      <c r="W38" s="10">
        <v>6</v>
      </c>
      <c r="X38" s="10">
        <v>9</v>
      </c>
      <c r="Z38" s="10">
        <v>37</v>
      </c>
      <c r="AA38" s="10">
        <v>14</v>
      </c>
      <c r="AC38" s="10">
        <v>37</v>
      </c>
      <c r="AD38" s="10" t="s">
        <v>5771</v>
      </c>
      <c r="AF38" s="12">
        <v>15</v>
      </c>
      <c r="AG38" s="12">
        <v>400</v>
      </c>
      <c r="AI38" s="12">
        <v>15</v>
      </c>
      <c r="AJ38" s="12">
        <v>20</v>
      </c>
      <c r="AK38" s="12">
        <v>70</v>
      </c>
      <c r="AL38" s="12">
        <v>200</v>
      </c>
      <c r="AN38" s="6"/>
      <c r="AQ38" s="1">
        <v>15</v>
      </c>
      <c r="AR38" s="79">
        <v>98700</v>
      </c>
      <c r="AS38" s="82">
        <f t="shared" si="25"/>
        <v>258200</v>
      </c>
      <c r="AT38" s="79">
        <v>159700</v>
      </c>
      <c r="AU38" s="82">
        <f t="shared" si="26"/>
        <v>417800</v>
      </c>
      <c r="AV38" s="79">
        <v>258400</v>
      </c>
      <c r="AW38" s="82">
        <f t="shared" si="27"/>
        <v>676000</v>
      </c>
      <c r="AX38" s="79">
        <v>418100</v>
      </c>
      <c r="AY38" s="79">
        <f t="shared" si="28"/>
        <v>1093800</v>
      </c>
      <c r="BB38" s="185">
        <f>LOOKUP(CharGenMain!A38,'Talents-Skills'!$A$2:$A$496,'Talents-Skills'!$D$2:$D$496)</f>
        <v>0</v>
      </c>
      <c r="BW38" s="9" t="str">
        <f>IF(D38="Rank",CharGenMain!BB38," ")</f>
        <v xml:space="preserve"> </v>
      </c>
      <c r="CA38" s="126">
        <f t="shared" si="16"/>
        <v>0</v>
      </c>
      <c r="CB38" s="14">
        <f t="shared" si="16"/>
        <v>0</v>
      </c>
      <c r="CC38" s="14">
        <f t="shared" si="29"/>
        <v>9</v>
      </c>
      <c r="CD38" s="14" t="e">
        <f>IF(CC38=" "," ",LOOKUP(CA38,'Talents-Skills'!$A$2:$A$496,'Talents-Skills'!$C$2:$C$496))</f>
        <v>#N/A</v>
      </c>
      <c r="CE38" s="14" t="e">
        <f t="shared" si="23"/>
        <v>#N/A</v>
      </c>
      <c r="CF38" s="14" t="e">
        <f t="shared" si="30"/>
        <v>#N/A</v>
      </c>
      <c r="CG38" s="14" t="e">
        <f t="shared" si="31"/>
        <v>#N/A</v>
      </c>
      <c r="CH38" s="14" t="e">
        <f>IF(CC38=" "," ",LOOKUP(CA38,'Talents-Skills'!$A$2:$A$496,'Talents-Skills'!$E$2:$E$496))</f>
        <v>#N/A</v>
      </c>
      <c r="CI38" s="14">
        <f t="shared" si="20"/>
        <v>0</v>
      </c>
      <c r="CJ38" s="14" t="e">
        <f>IF(CI38="Yes","May",IF(CC38=" "," ",LOOKUP(CA38,'Talents-Skills'!$A$2:$A$496,'Talents-Skills'!$F$2:$F$496)))</f>
        <v>#N/A</v>
      </c>
      <c r="CK38" s="140" t="e">
        <f>IF(CC38=" "," ",LOOKUP(CA38,'Talents-Skills'!$A$2:$A$496,'Talents-Skills'!$G$2:$G$496))</f>
        <v>#N/A</v>
      </c>
      <c r="CL38" s="9">
        <f t="shared" si="21"/>
        <v>14200</v>
      </c>
      <c r="CP38" s="9">
        <v>38</v>
      </c>
      <c r="CQ38" s="9">
        <v>26</v>
      </c>
      <c r="CR38" s="9">
        <v>38</v>
      </c>
      <c r="CS38" s="9">
        <v>50</v>
      </c>
      <c r="CT38" s="9">
        <v>58</v>
      </c>
      <c r="CU38" s="9">
        <v>67</v>
      </c>
    </row>
    <row r="39" spans="1:99">
      <c r="A39" s="243" t="str">
        <f t="shared" si="13"/>
        <v>Claw Frenzy</v>
      </c>
      <c r="B39" s="244">
        <f t="shared" si="13"/>
        <v>7</v>
      </c>
      <c r="C39" s="244">
        <v>9</v>
      </c>
      <c r="D39" s="244" t="str">
        <f>IF(C39=" "," ",LOOKUP(A39,'Talents-Skills'!$A$2:$A$496,'Talents-Skills'!$C$2:$C$496))</f>
        <v>Dexterity</v>
      </c>
      <c r="E39" s="244">
        <f t="shared" si="32"/>
        <v>7</v>
      </c>
      <c r="F39" s="244">
        <f t="shared" si="24"/>
        <v>16</v>
      </c>
      <c r="G39" s="244" t="str">
        <f t="shared" si="22"/>
        <v>D20+D8</v>
      </c>
      <c r="H39" s="244" t="str">
        <f>IF(C39=" "," ",LOOKUP(A39,'Talents-Skills'!$A$2:$A$496,'Talents-Skills'!$E$2:$E$496))</f>
        <v>Yes</v>
      </c>
      <c r="I39" s="244" t="str">
        <f t="shared" si="14"/>
        <v>Yes</v>
      </c>
      <c r="J39" s="244" t="str">
        <f>IF(I39="Yes","May",IF(C39=" "," ",LOOKUP(A39,'Talents-Skills'!$A$2:$A$496,'Talents-Skills'!$F$2:$F$496)))</f>
        <v>May</v>
      </c>
      <c r="K39" s="245">
        <f>IF(C39=" "," ",LOOKUP(A39,'Talents-Skills'!$A$2:$A$496,'Talents-Skills'!$G$2:$G$496))</f>
        <v>1</v>
      </c>
      <c r="L39" s="9">
        <f t="shared" si="15"/>
        <v>23000</v>
      </c>
      <c r="N39" s="10"/>
      <c r="P39" s="65">
        <v>37</v>
      </c>
      <c r="Q39" s="10">
        <v>17</v>
      </c>
      <c r="R39" s="10" t="s">
        <v>5772</v>
      </c>
      <c r="S39" s="10" t="s">
        <v>5773</v>
      </c>
      <c r="T39" s="10">
        <v>66</v>
      </c>
      <c r="U39" s="10">
        <v>19</v>
      </c>
      <c r="V39" s="10">
        <v>58</v>
      </c>
      <c r="W39" s="10">
        <v>6</v>
      </c>
      <c r="X39" s="10">
        <v>9</v>
      </c>
      <c r="Z39" s="10">
        <v>38</v>
      </c>
      <c r="AA39" s="10">
        <v>14</v>
      </c>
      <c r="AC39" s="10">
        <v>38</v>
      </c>
      <c r="AD39" s="10" t="s">
        <v>5774</v>
      </c>
      <c r="AF39" s="12">
        <v>16</v>
      </c>
      <c r="AG39" s="12">
        <v>500</v>
      </c>
      <c r="AI39" s="12">
        <v>16</v>
      </c>
      <c r="AJ39" s="12">
        <v>21</v>
      </c>
      <c r="AK39" s="12">
        <v>80</v>
      </c>
      <c r="AL39" s="12">
        <v>250</v>
      </c>
      <c r="AN39" s="6"/>
      <c r="AT39" s="79"/>
      <c r="AX39" s="79"/>
      <c r="AY39" s="79"/>
      <c r="BB39" s="185">
        <f>LOOKUP(CharGenMain!A39,'Talents-Skills'!$A$2:$A$496,'Talents-Skills'!$D$2:$D$496)</f>
        <v>0</v>
      </c>
      <c r="BW39" s="9" t="str">
        <f>IF(D39="Rank",CharGenMain!BB39," ")</f>
        <v xml:space="preserve"> </v>
      </c>
      <c r="CA39" s="238">
        <f t="shared" si="16"/>
        <v>0</v>
      </c>
      <c r="CB39" s="240">
        <f t="shared" si="16"/>
        <v>0</v>
      </c>
      <c r="CC39" s="240">
        <f t="shared" si="29"/>
        <v>9</v>
      </c>
      <c r="CD39" s="240" t="e">
        <f>IF(CC39=" "," ",LOOKUP(CA39,'Talents-Skills'!$A$2:$A$496,'Talents-Skills'!$C$2:$C$496))</f>
        <v>#N/A</v>
      </c>
      <c r="CE39" s="240" t="e">
        <f t="shared" si="23"/>
        <v>#N/A</v>
      </c>
      <c r="CF39" s="240" t="e">
        <f t="shared" si="30"/>
        <v>#N/A</v>
      </c>
      <c r="CG39" s="240" t="e">
        <f t="shared" si="31"/>
        <v>#N/A</v>
      </c>
      <c r="CH39" s="240" t="e">
        <f>IF(CC39=" "," ",LOOKUP(CA39,'Talents-Skills'!$A$2:$A$496,'Talents-Skills'!$E$2:$E$496))</f>
        <v>#N/A</v>
      </c>
      <c r="CI39" s="240">
        <f t="shared" si="20"/>
        <v>0</v>
      </c>
      <c r="CJ39" s="240" t="e">
        <f>IF(CI39="Yes","May",IF(CC39=" "," ",LOOKUP(CA39,'Talents-Skills'!$A$2:$A$496,'Talents-Skills'!$F$2:$F$496)))</f>
        <v>#N/A</v>
      </c>
      <c r="CK39" s="242" t="e">
        <f>IF(CC39=" "," ",LOOKUP(CA39,'Talents-Skills'!$A$2:$A$496,'Talents-Skills'!$G$2:$G$496))</f>
        <v>#N/A</v>
      </c>
      <c r="CL39" s="9">
        <f t="shared" si="21"/>
        <v>14200</v>
      </c>
      <c r="CP39" s="9">
        <v>39</v>
      </c>
      <c r="CQ39" s="9">
        <v>27</v>
      </c>
      <c r="CR39" s="9">
        <v>39</v>
      </c>
      <c r="CS39" s="9">
        <v>51</v>
      </c>
      <c r="CT39" s="9">
        <v>59</v>
      </c>
      <c r="CU39" s="9">
        <v>68</v>
      </c>
    </row>
    <row r="40" spans="1:99">
      <c r="A40" s="126" t="str">
        <f t="shared" si="13"/>
        <v>Sense Poison</v>
      </c>
      <c r="B40" s="14">
        <f t="shared" si="13"/>
        <v>7</v>
      </c>
      <c r="C40" s="14">
        <v>0</v>
      </c>
      <c r="D40" s="14" t="str">
        <f>IF(C40=" "," ",LOOKUP(A40,'Talents-Skills'!$A$2:$A$496,'Talents-Skills'!$C$2:$C$496))</f>
        <v>Perception</v>
      </c>
      <c r="E40" s="14">
        <f t="shared" si="32"/>
        <v>7</v>
      </c>
      <c r="F40" s="14">
        <f t="shared" si="24"/>
        <v>7</v>
      </c>
      <c r="G40" s="14" t="str">
        <f t="shared" si="22"/>
        <v>D12</v>
      </c>
      <c r="H40" s="14" t="str">
        <f>IF(C40=" "," ",LOOKUP(A40,'Talents-Skills'!$A$2:$A$496,'Talents-Skills'!$E$2:$E$496))</f>
        <v>No</v>
      </c>
      <c r="I40" s="14" t="str">
        <f t="shared" si="14"/>
        <v>No</v>
      </c>
      <c r="J40" s="14" t="str">
        <f>IF(I40="Yes","May",IF(C40=" "," ",LOOKUP(A40,'Talents-Skills'!$A$2:$A$496,'Talents-Skills'!$F$2:$F$496)))</f>
        <v>No</v>
      </c>
      <c r="K40" s="140">
        <f>IF(C40=" "," ",LOOKUP(A40,'Talents-Skills'!$A$2:$A$496,'Talents-Skills'!$G$2:$G$496))</f>
        <v>1</v>
      </c>
      <c r="L40" s="9">
        <f t="shared" si="15"/>
        <v>0</v>
      </c>
      <c r="M40" s="9" t="s">
        <v>5775</v>
      </c>
      <c r="N40" s="10"/>
      <c r="P40" s="65">
        <v>38</v>
      </c>
      <c r="Q40" s="10">
        <v>17</v>
      </c>
      <c r="R40" s="10" t="s">
        <v>5776</v>
      </c>
      <c r="S40" s="10" t="s">
        <v>5777</v>
      </c>
      <c r="T40" s="10">
        <v>67</v>
      </c>
      <c r="U40" s="10">
        <v>20</v>
      </c>
      <c r="V40" s="10">
        <v>59</v>
      </c>
      <c r="W40" s="10">
        <v>7</v>
      </c>
      <c r="X40" s="10">
        <v>10</v>
      </c>
      <c r="Z40" s="10">
        <v>39</v>
      </c>
      <c r="AA40" s="10">
        <v>14</v>
      </c>
      <c r="AC40" s="10">
        <v>39</v>
      </c>
      <c r="AD40" s="10" t="s">
        <v>5617</v>
      </c>
      <c r="AF40" s="12">
        <v>17</v>
      </c>
      <c r="AG40" s="12">
        <v>650</v>
      </c>
      <c r="AI40" s="12">
        <v>17</v>
      </c>
      <c r="AJ40" s="12">
        <v>22</v>
      </c>
      <c r="AK40" s="12">
        <v>90</v>
      </c>
      <c r="AL40" s="12">
        <v>325</v>
      </c>
      <c r="AN40" s="6"/>
      <c r="AQ40" s="29"/>
      <c r="AR40" s="15" t="s">
        <v>5618</v>
      </c>
      <c r="AS40" s="11"/>
      <c r="AT40" s="79"/>
      <c r="AU40" s="11"/>
      <c r="AV40" s="11" t="s">
        <v>5619</v>
      </c>
      <c r="AW40" s="11"/>
      <c r="AX40" s="79"/>
      <c r="AY40" s="79"/>
      <c r="BB40" s="185">
        <f>LOOKUP(CharGenMain!A40,'Talents-Skills'!$A$2:$A$496,'Talents-Skills'!$D$2:$D$496)</f>
        <v>0</v>
      </c>
      <c r="BW40" s="9" t="str">
        <f>IF(D40="Rank",CharGenMain!BB40," ")</f>
        <v xml:space="preserve"> </v>
      </c>
      <c r="CA40" s="126">
        <f t="shared" si="16"/>
        <v>0</v>
      </c>
      <c r="CB40" s="14">
        <f t="shared" si="16"/>
        <v>0</v>
      </c>
      <c r="CC40" s="14">
        <f t="shared" si="29"/>
        <v>9</v>
      </c>
      <c r="CD40" s="14" t="e">
        <f>IF(CC40=" "," ",LOOKUP(CA40,'Talents-Skills'!$A$2:$A$496,'Talents-Skills'!$C$2:$C$496))</f>
        <v>#N/A</v>
      </c>
      <c r="CE40" s="14" t="e">
        <f t="shared" si="23"/>
        <v>#N/A</v>
      </c>
      <c r="CF40" s="14" t="e">
        <f t="shared" si="30"/>
        <v>#N/A</v>
      </c>
      <c r="CG40" s="14" t="e">
        <f t="shared" si="31"/>
        <v>#N/A</v>
      </c>
      <c r="CH40" s="14" t="e">
        <f>IF(CC40=" "," ",LOOKUP(CA40,'Talents-Skills'!$A$2:$A$496,'Talents-Skills'!$E$2:$E$496))</f>
        <v>#N/A</v>
      </c>
      <c r="CI40" s="14">
        <f t="shared" si="20"/>
        <v>0</v>
      </c>
      <c r="CJ40" s="14" t="e">
        <f>IF(CI40="Yes","May",IF(CC40=" "," ",LOOKUP(CA40,'Talents-Skills'!$A$2:$A$496,'Talents-Skills'!$F$2:$F$496)))</f>
        <v>#N/A</v>
      </c>
      <c r="CK40" s="140" t="e">
        <f>IF(CC40=" "," ",LOOKUP(CA40,'Talents-Skills'!$A$2:$A$496,'Talents-Skills'!$G$2:$G$496))</f>
        <v>#N/A</v>
      </c>
      <c r="CL40" s="9">
        <f t="shared" si="21"/>
        <v>14200</v>
      </c>
      <c r="CP40" s="9">
        <v>40</v>
      </c>
      <c r="CQ40" s="9">
        <v>28</v>
      </c>
      <c r="CR40" s="9">
        <v>40</v>
      </c>
      <c r="CS40" s="9">
        <v>52</v>
      </c>
      <c r="CT40" s="9">
        <v>60</v>
      </c>
      <c r="CU40" s="9">
        <v>70</v>
      </c>
    </row>
    <row r="41" spans="1:99">
      <c r="A41" s="238" t="str">
        <f t="shared" si="13"/>
        <v>Lion Heart</v>
      </c>
      <c r="B41" s="240">
        <f t="shared" si="13"/>
        <v>8</v>
      </c>
      <c r="C41" s="240">
        <v>9</v>
      </c>
      <c r="D41" s="240" t="str">
        <f>IF(C41=" "," ",LOOKUP(A41,'Talents-Skills'!$A$2:$A$496,'Talents-Skills'!$C$2:$C$496))</f>
        <v>Willpower</v>
      </c>
      <c r="E41" s="240">
        <f t="shared" si="32"/>
        <v>6</v>
      </c>
      <c r="F41" s="240">
        <f t="shared" si="24"/>
        <v>15</v>
      </c>
      <c r="G41" s="240" t="str">
        <f t="shared" si="22"/>
        <v>D20+D6</v>
      </c>
      <c r="H41" s="240" t="str">
        <f>IF(C41=" "," ",LOOKUP(A41,'Talents-Skills'!$A$2:$A$496,'Talents-Skills'!$E$2:$E$496))</f>
        <v>No</v>
      </c>
      <c r="I41" s="240" t="str">
        <f t="shared" si="14"/>
        <v>Yes</v>
      </c>
      <c r="J41" s="240" t="str">
        <f>IF(I41="Yes","May",IF(C41=" "," ",LOOKUP(A41,'Talents-Skills'!$A$2:$A$496,'Talents-Skills'!$F$2:$F$496)))</f>
        <v>May</v>
      </c>
      <c r="K41" s="242" t="str">
        <f>IF(C41=" "," ",LOOKUP(A41,'Talents-Skills'!$A$2:$A$496,'Talents-Skills'!$G$2:$G$496))</f>
        <v>No</v>
      </c>
      <c r="L41" s="9">
        <f t="shared" si="15"/>
        <v>23000</v>
      </c>
      <c r="M41" s="9" t="s">
        <v>5620</v>
      </c>
      <c r="N41" s="10"/>
      <c r="P41" s="65">
        <v>39</v>
      </c>
      <c r="Q41" s="10">
        <v>18</v>
      </c>
      <c r="R41" s="10" t="s">
        <v>5621</v>
      </c>
      <c r="S41" s="10" t="s">
        <v>5622</v>
      </c>
      <c r="T41" s="10">
        <v>68</v>
      </c>
      <c r="U41" s="10">
        <v>20</v>
      </c>
      <c r="V41" s="10">
        <v>60</v>
      </c>
      <c r="W41" s="10">
        <v>7</v>
      </c>
      <c r="X41" s="10">
        <v>10</v>
      </c>
      <c r="Z41" s="10">
        <v>40</v>
      </c>
      <c r="AA41" s="10">
        <v>15</v>
      </c>
      <c r="AC41" s="10">
        <v>40</v>
      </c>
      <c r="AD41" s="10" t="s">
        <v>5623</v>
      </c>
      <c r="AF41" s="12">
        <v>18</v>
      </c>
      <c r="AG41" s="12">
        <v>1000</v>
      </c>
      <c r="AI41" s="12">
        <v>18</v>
      </c>
      <c r="AJ41" s="12">
        <v>23</v>
      </c>
      <c r="AK41" s="12">
        <v>100</v>
      </c>
      <c r="AL41" s="12">
        <v>500</v>
      </c>
      <c r="AN41" s="6"/>
      <c r="AQ41" s="1" t="s">
        <v>5624</v>
      </c>
      <c r="AR41" s="13" t="s">
        <v>5781</v>
      </c>
      <c r="AS41" s="13" t="s">
        <v>5168</v>
      </c>
      <c r="AT41" s="79"/>
      <c r="AU41" s="13" t="s">
        <v>5782</v>
      </c>
      <c r="AV41" s="13" t="s">
        <v>5781</v>
      </c>
      <c r="AW41" s="13" t="s">
        <v>5168</v>
      </c>
      <c r="AX41" s="79"/>
      <c r="AY41" s="79"/>
      <c r="BB41" s="185">
        <f>LOOKUP(CharGenMain!A41,'Talents-Skills'!$A$2:$A$496,'Talents-Skills'!$D$2:$D$496)</f>
        <v>0</v>
      </c>
      <c r="BW41" s="9" t="str">
        <f>IF(D41="Rank",CharGenMain!BB41," ")</f>
        <v xml:space="preserve"> </v>
      </c>
      <c r="CA41" s="238">
        <f t="shared" si="16"/>
        <v>0</v>
      </c>
      <c r="CB41" s="240">
        <f t="shared" si="16"/>
        <v>0</v>
      </c>
      <c r="CC41" s="240">
        <f t="shared" si="29"/>
        <v>9</v>
      </c>
      <c r="CD41" s="240" t="e">
        <f>IF(CC41=" "," ",LOOKUP(CA41,'Talents-Skills'!$A$2:$A$496,'Talents-Skills'!$C$2:$C$496))</f>
        <v>#N/A</v>
      </c>
      <c r="CE41" s="240" t="e">
        <f t="shared" si="23"/>
        <v>#N/A</v>
      </c>
      <c r="CF41" s="240" t="e">
        <f t="shared" si="30"/>
        <v>#N/A</v>
      </c>
      <c r="CG41" s="240" t="e">
        <f t="shared" si="31"/>
        <v>#N/A</v>
      </c>
      <c r="CH41" s="240" t="e">
        <f>IF(CC41=" "," ",LOOKUP(CA41,'Talents-Skills'!$A$2:$A$496,'Talents-Skills'!$E$2:$E$496))</f>
        <v>#N/A</v>
      </c>
      <c r="CI41" s="240">
        <f t="shared" si="20"/>
        <v>0</v>
      </c>
      <c r="CJ41" s="240" t="e">
        <f>IF(CI41="Yes","May",IF(CC41=" "," ",LOOKUP(CA41,'Talents-Skills'!$A$2:$A$496,'Talents-Skills'!$F$2:$F$496)))</f>
        <v>#N/A</v>
      </c>
      <c r="CK41" s="242" t="e">
        <f>IF(CC41=" "," ",LOOKUP(CA41,'Talents-Skills'!$A$2:$A$496,'Talents-Skills'!$G$2:$G$496))</f>
        <v>#N/A</v>
      </c>
      <c r="CL41" s="9">
        <f t="shared" si="21"/>
        <v>14200</v>
      </c>
      <c r="CP41" s="9">
        <v>41</v>
      </c>
      <c r="CQ41" s="9">
        <v>29</v>
      </c>
      <c r="CR41" s="9">
        <v>41</v>
      </c>
      <c r="CS41" s="9">
        <v>53</v>
      </c>
      <c r="CT41" s="9">
        <v>61</v>
      </c>
      <c r="CU41" s="9">
        <v>71</v>
      </c>
    </row>
    <row r="42" spans="1:99">
      <c r="A42" s="126" t="str">
        <f t="shared" ref="A42:B57" si="34">IF($D$2&gt;0,A922," ")</f>
        <v>Poison Resistance</v>
      </c>
      <c r="B42" s="14">
        <f t="shared" si="34"/>
        <v>8</v>
      </c>
      <c r="C42" s="14">
        <v>0</v>
      </c>
      <c r="D42" s="14" t="str">
        <f>IF(C42=" "," ",LOOKUP(A42,'Talents-Skills'!$A$2:$A$496,'Talents-Skills'!$C$2:$C$496))</f>
        <v>Toughness</v>
      </c>
      <c r="E42" s="14">
        <f t="shared" si="32"/>
        <v>8</v>
      </c>
      <c r="F42" s="14">
        <f t="shared" si="24"/>
        <v>8</v>
      </c>
      <c r="G42" s="14" t="str">
        <f t="shared" si="22"/>
        <v>2D6</v>
      </c>
      <c r="H42" s="14" t="str">
        <f>IF(C42=" "," ",LOOKUP(A42,'Talents-Skills'!$A$2:$A$496,'Talents-Skills'!$E$2:$E$496))</f>
        <v>No</v>
      </c>
      <c r="I42" s="14" t="str">
        <f t="shared" si="14"/>
        <v>No</v>
      </c>
      <c r="J42" s="14" t="str">
        <f>IF(I42="Yes","May",IF(C42=" "," ",LOOKUP(A42,'Talents-Skills'!$A$2:$A$496,'Talents-Skills'!$F$2:$F$496)))</f>
        <v>No</v>
      </c>
      <c r="K42" s="140" t="str">
        <f>IF(C42=" "," ",LOOKUP(A42,'Talents-Skills'!$A$2:$A$496,'Talents-Skills'!$G$2:$G$496))</f>
        <v>No</v>
      </c>
      <c r="L42" s="9">
        <f t="shared" si="15"/>
        <v>0</v>
      </c>
      <c r="M42" s="9" t="s">
        <v>5783</v>
      </c>
      <c r="N42" s="10"/>
      <c r="P42" s="65">
        <v>40</v>
      </c>
      <c r="Q42" s="10">
        <v>18</v>
      </c>
      <c r="R42" s="10" t="s">
        <v>5784</v>
      </c>
      <c r="S42" s="10" t="s">
        <v>5785</v>
      </c>
      <c r="T42" s="10">
        <v>69</v>
      </c>
      <c r="U42" s="10">
        <v>20</v>
      </c>
      <c r="V42" s="10">
        <v>61</v>
      </c>
      <c r="W42" s="10">
        <v>7</v>
      </c>
      <c r="X42" s="10">
        <v>10</v>
      </c>
      <c r="Z42" s="10">
        <v>41</v>
      </c>
      <c r="AA42" s="10">
        <v>15</v>
      </c>
      <c r="AC42" s="10">
        <v>41</v>
      </c>
      <c r="AD42" s="10" t="s">
        <v>5627</v>
      </c>
      <c r="AF42" s="12">
        <v>19</v>
      </c>
      <c r="AG42" s="12">
        <v>2500</v>
      </c>
      <c r="AI42" s="12">
        <v>19</v>
      </c>
      <c r="AJ42" s="12">
        <v>24</v>
      </c>
      <c r="AK42" s="12">
        <v>110</v>
      </c>
      <c r="AL42" s="12">
        <v>1250</v>
      </c>
      <c r="AQ42" s="10">
        <v>0</v>
      </c>
      <c r="AR42" s="10">
        <v>0</v>
      </c>
      <c r="AS42" s="10">
        <v>0</v>
      </c>
      <c r="AT42" s="79"/>
      <c r="AU42" s="10">
        <v>0</v>
      </c>
      <c r="AV42" s="10">
        <v>0</v>
      </c>
      <c r="AW42" s="10">
        <v>0</v>
      </c>
      <c r="AX42" s="79"/>
      <c r="AY42" s="79"/>
      <c r="BB42" s="185">
        <f>LOOKUP(CharGenMain!A42,'Talents-Skills'!$A$2:$A$496,'Talents-Skills'!$D$2:$D$496)</f>
        <v>0</v>
      </c>
      <c r="BW42" s="9" t="str">
        <f>IF(D42="Rank",CharGenMain!BB42," ")</f>
        <v xml:space="preserve"> </v>
      </c>
      <c r="CA42" s="126">
        <f t="shared" si="16"/>
        <v>0</v>
      </c>
      <c r="CB42" s="14">
        <f t="shared" si="16"/>
        <v>0</v>
      </c>
      <c r="CC42" s="14">
        <f t="shared" si="29"/>
        <v>9</v>
      </c>
      <c r="CD42" s="14" t="e">
        <f>IF(CC42=" "," ",LOOKUP(CA42,'Talents-Skills'!$A$2:$A$496,'Talents-Skills'!$C$2:$C$496))</f>
        <v>#N/A</v>
      </c>
      <c r="CE42" s="14" t="e">
        <f t="shared" si="23"/>
        <v>#N/A</v>
      </c>
      <c r="CF42" s="14" t="e">
        <f t="shared" si="30"/>
        <v>#N/A</v>
      </c>
      <c r="CG42" s="14" t="e">
        <f t="shared" si="31"/>
        <v>#N/A</v>
      </c>
      <c r="CH42" s="14" t="e">
        <f>IF(CC42=" "," ",LOOKUP(CA42,'Talents-Skills'!$A$2:$A$496,'Talents-Skills'!$E$2:$E$496))</f>
        <v>#N/A</v>
      </c>
      <c r="CI42" s="14">
        <f t="shared" si="20"/>
        <v>0</v>
      </c>
      <c r="CJ42" s="14" t="e">
        <f>IF(CI42="Yes","May",IF(CC42=" "," ",LOOKUP(CA42,'Talents-Skills'!$A$2:$A$496,'Talents-Skills'!$F$2:$F$496)))</f>
        <v>#N/A</v>
      </c>
      <c r="CK42" s="140" t="e">
        <f>IF(CC42=" "," ",LOOKUP(CA42,'Talents-Skills'!$A$2:$A$496,'Talents-Skills'!$G$2:$G$496))</f>
        <v>#N/A</v>
      </c>
      <c r="CL42" s="9">
        <f t="shared" si="21"/>
        <v>14200</v>
      </c>
      <c r="CP42" s="9">
        <v>42</v>
      </c>
      <c r="CQ42" s="9">
        <v>30</v>
      </c>
      <c r="CR42" s="9">
        <v>42</v>
      </c>
      <c r="CS42" s="9">
        <v>54</v>
      </c>
      <c r="CT42" s="9">
        <v>62</v>
      </c>
      <c r="CU42" s="9">
        <v>72</v>
      </c>
    </row>
    <row r="43" spans="1:99">
      <c r="A43" s="238" t="str">
        <f t="shared" si="34"/>
        <v>Animal Possession</v>
      </c>
      <c r="B43" s="240">
        <f t="shared" si="34"/>
        <v>9</v>
      </c>
      <c r="C43" s="240">
        <v>0</v>
      </c>
      <c r="D43" s="240" t="str">
        <f>IF(C43=" "," ",LOOKUP(A43,'Talents-Skills'!$A$2:$A$496,'Talents-Skills'!$C$2:$C$496))</f>
        <v>Willpower</v>
      </c>
      <c r="E43" s="240">
        <f t="shared" si="32"/>
        <v>6</v>
      </c>
      <c r="F43" s="240">
        <f t="shared" si="24"/>
        <v>6</v>
      </c>
      <c r="G43" s="240" t="str">
        <f t="shared" si="22"/>
        <v>D10</v>
      </c>
      <c r="H43" s="240" t="str">
        <f>IF(C43=" "," ",LOOKUP(A43,'Talents-Skills'!$A$2:$A$496,'Talents-Skills'!$E$2:$E$496))</f>
        <v>Yes</v>
      </c>
      <c r="I43" s="240" t="str">
        <f t="shared" si="14"/>
        <v>Yes</v>
      </c>
      <c r="J43" s="240" t="str">
        <f>IF(I43="Yes","May",IF(C43=" "," ",LOOKUP(A43,'Talents-Skills'!$A$2:$A$496,'Talents-Skills'!$F$2:$F$496)))</f>
        <v>May</v>
      </c>
      <c r="K43" s="242">
        <f>IF(C43=" "," ",LOOKUP(A43,'Talents-Skills'!$A$2:$A$496,'Talents-Skills'!$G$2:$G$496))</f>
        <v>2</v>
      </c>
      <c r="L43" s="9">
        <f t="shared" si="15"/>
        <v>0</v>
      </c>
      <c r="M43" s="9" t="s">
        <v>5628</v>
      </c>
      <c r="N43" s="10"/>
      <c r="P43" s="65">
        <v>41</v>
      </c>
      <c r="Q43" s="10">
        <v>18</v>
      </c>
      <c r="R43" s="10" t="s">
        <v>5629</v>
      </c>
      <c r="S43" s="10" t="s">
        <v>5630</v>
      </c>
      <c r="T43" s="10">
        <v>70</v>
      </c>
      <c r="U43" s="10">
        <v>21</v>
      </c>
      <c r="V43" s="10">
        <v>62</v>
      </c>
      <c r="W43" s="10">
        <v>7</v>
      </c>
      <c r="X43" s="10">
        <v>12</v>
      </c>
      <c r="Z43" s="10">
        <v>42</v>
      </c>
      <c r="AA43" s="10">
        <v>15</v>
      </c>
      <c r="AC43" s="10">
        <v>42</v>
      </c>
      <c r="AD43" s="10" t="s">
        <v>5631</v>
      </c>
      <c r="AF43" s="12">
        <v>20</v>
      </c>
      <c r="AG43" s="12">
        <v>4400</v>
      </c>
      <c r="AI43" s="12">
        <v>20</v>
      </c>
      <c r="AJ43" s="12">
        <v>25</v>
      </c>
      <c r="AK43" s="12">
        <v>120</v>
      </c>
      <c r="AL43" s="12">
        <v>2200</v>
      </c>
      <c r="AQ43" s="10">
        <v>1</v>
      </c>
      <c r="AR43" s="79">
        <v>800</v>
      </c>
      <c r="AS43" s="79">
        <v>800</v>
      </c>
      <c r="AT43" s="79"/>
      <c r="AU43" s="79">
        <v>1</v>
      </c>
      <c r="AV43" s="79">
        <v>200</v>
      </c>
      <c r="AW43" s="79">
        <v>200</v>
      </c>
      <c r="AX43" s="79"/>
      <c r="AY43" s="79"/>
      <c r="BB43" s="185">
        <f>LOOKUP(CharGenMain!A43,'Talents-Skills'!$A$2:$A$496,'Talents-Skills'!$D$2:$D$496)</f>
        <v>0</v>
      </c>
      <c r="BW43" s="9" t="str">
        <f>IF(D43="Rank",CharGenMain!BB43," ")</f>
        <v xml:space="preserve"> </v>
      </c>
      <c r="CA43" s="238">
        <f t="shared" si="16"/>
        <v>0</v>
      </c>
      <c r="CB43" s="240">
        <f t="shared" si="16"/>
        <v>0</v>
      </c>
      <c r="CC43" s="240">
        <f t="shared" si="29"/>
        <v>9</v>
      </c>
      <c r="CD43" s="240" t="e">
        <f>IF(CC43=" "," ",LOOKUP(CA43,'Talents-Skills'!$A$2:$A$496,'Talents-Skills'!$C$2:$C$496))</f>
        <v>#N/A</v>
      </c>
      <c r="CE43" s="240" t="e">
        <f t="shared" si="23"/>
        <v>#N/A</v>
      </c>
      <c r="CF43" s="240" t="e">
        <f t="shared" si="30"/>
        <v>#N/A</v>
      </c>
      <c r="CG43" s="240" t="e">
        <f t="shared" si="31"/>
        <v>#N/A</v>
      </c>
      <c r="CH43" s="240" t="e">
        <f>IF(CC43=" "," ",LOOKUP(CA43,'Talents-Skills'!$A$2:$A$496,'Talents-Skills'!$E$2:$E$496))</f>
        <v>#N/A</v>
      </c>
      <c r="CI43" s="240">
        <f t="shared" si="20"/>
        <v>0</v>
      </c>
      <c r="CJ43" s="240" t="e">
        <f>IF(CI43="Yes","May",IF(CC43=" "," ",LOOKUP(CA43,'Talents-Skills'!$A$2:$A$496,'Talents-Skills'!$F$2:$F$496)))</f>
        <v>#N/A</v>
      </c>
      <c r="CK43" s="242" t="e">
        <f>IF(CC43=" "," ",LOOKUP(CA43,'Talents-Skills'!$A$2:$A$496,'Talents-Skills'!$G$2:$G$496))</f>
        <v>#N/A</v>
      </c>
      <c r="CL43" s="9">
        <f t="shared" si="21"/>
        <v>14200</v>
      </c>
      <c r="CP43" s="9">
        <v>43</v>
      </c>
      <c r="CQ43" s="9">
        <v>31</v>
      </c>
      <c r="CR43" s="9">
        <v>43</v>
      </c>
      <c r="CS43" s="9">
        <v>55</v>
      </c>
      <c r="CT43" s="9">
        <v>64</v>
      </c>
      <c r="CU43" s="9">
        <v>73</v>
      </c>
    </row>
    <row r="44" spans="1:99">
      <c r="A44" s="126" t="str">
        <f t="shared" si="34"/>
        <v>Bestial Toughness</v>
      </c>
      <c r="B44" s="14">
        <f t="shared" si="34"/>
        <v>9</v>
      </c>
      <c r="C44" s="14">
        <v>1</v>
      </c>
      <c r="D44" s="14" t="str">
        <f>IF(C44=" "," ",LOOKUP(A44,'Talents-Skills'!$A$2:$A$496,'Talents-Skills'!$C$2:$C$496))</f>
        <v>Toughness</v>
      </c>
      <c r="E44" s="14">
        <f t="shared" si="32"/>
        <v>8</v>
      </c>
      <c r="F44" s="14">
        <f t="shared" si="24"/>
        <v>9</v>
      </c>
      <c r="G44" s="14" t="str">
        <f t="shared" si="22"/>
        <v>D8+D6</v>
      </c>
      <c r="H44" s="14" t="str">
        <f>IF(C44=" "," ",LOOKUP(A44,'Talents-Skills'!$A$2:$A$496,'Talents-Skills'!$E$2:$E$496))</f>
        <v>No</v>
      </c>
      <c r="I44" s="14" t="str">
        <f t="shared" si="14"/>
        <v>No</v>
      </c>
      <c r="J44" s="14" t="str">
        <f>IF(I44="Yes","May",IF(C44=" "," ",LOOKUP(A44,'Talents-Skills'!$A$2:$A$496,'Talents-Skills'!$F$2:$F$496)))</f>
        <v>Yes</v>
      </c>
      <c r="K44" s="140" t="str">
        <f>IF(C44=" "," ",LOOKUP(A44,'Talents-Skills'!$A$2:$A$496,'Talents-Skills'!$G$2:$G$496))</f>
        <v>No</v>
      </c>
      <c r="L44" s="9">
        <f t="shared" si="15"/>
        <v>300</v>
      </c>
      <c r="M44" s="9" t="s">
        <v>5632</v>
      </c>
      <c r="N44" s="10"/>
      <c r="P44" s="65">
        <v>42</v>
      </c>
      <c r="Q44" s="10">
        <v>19</v>
      </c>
      <c r="R44" s="10" t="s">
        <v>5633</v>
      </c>
      <c r="S44" s="10" t="s">
        <v>5634</v>
      </c>
      <c r="T44" s="10">
        <v>71</v>
      </c>
      <c r="U44" s="10">
        <v>21</v>
      </c>
      <c r="V44" s="10">
        <v>63</v>
      </c>
      <c r="W44" s="10">
        <v>7</v>
      </c>
      <c r="X44" s="10">
        <v>12</v>
      </c>
      <c r="Z44" s="10">
        <v>43</v>
      </c>
      <c r="AA44" s="10">
        <v>16</v>
      </c>
      <c r="AC44" s="10">
        <v>43</v>
      </c>
      <c r="AD44" s="10" t="s">
        <v>5635</v>
      </c>
      <c r="AF44" s="12">
        <v>21</v>
      </c>
      <c r="AG44" s="12">
        <v>7000</v>
      </c>
      <c r="AI44" s="12">
        <v>21</v>
      </c>
      <c r="AJ44" s="12">
        <v>26</v>
      </c>
      <c r="AK44" s="12">
        <v>130</v>
      </c>
      <c r="AL44" s="12">
        <v>3500</v>
      </c>
      <c r="AQ44" s="10">
        <v>2</v>
      </c>
      <c r="AR44" s="79">
        <v>1300</v>
      </c>
      <c r="AS44" s="79">
        <f>AR44+AS43</f>
        <v>2100</v>
      </c>
      <c r="AT44" s="79"/>
      <c r="AU44" s="79">
        <v>2</v>
      </c>
      <c r="AV44" s="79">
        <v>300</v>
      </c>
      <c r="AW44" s="79">
        <f t="shared" ref="AW44:AW52" si="35">AV44+AW43</f>
        <v>500</v>
      </c>
      <c r="AX44" s="79"/>
      <c r="AY44" s="79"/>
      <c r="BB44" s="185">
        <f>LOOKUP(CharGenMain!A44,'Talents-Skills'!$A$2:$A$496,'Talents-Skills'!$D$2:$D$496)</f>
        <v>0</v>
      </c>
      <c r="BW44" s="9" t="str">
        <f>IF(D44="Rank",CharGenMain!BB44," ")</f>
        <v xml:space="preserve"> </v>
      </c>
      <c r="CA44" s="126">
        <f t="shared" si="16"/>
        <v>0</v>
      </c>
      <c r="CB44" s="14">
        <f t="shared" si="16"/>
        <v>0</v>
      </c>
      <c r="CC44" s="14">
        <f t="shared" si="29"/>
        <v>9</v>
      </c>
      <c r="CD44" s="14" t="e">
        <f>IF(CC44=" "," ",LOOKUP(CA44,'Talents-Skills'!$A$2:$A$496,'Talents-Skills'!$C$2:$C$496))</f>
        <v>#N/A</v>
      </c>
      <c r="CE44" s="14" t="e">
        <f t="shared" si="23"/>
        <v>#N/A</v>
      </c>
      <c r="CF44" s="14" t="e">
        <f t="shared" si="30"/>
        <v>#N/A</v>
      </c>
      <c r="CG44" s="14" t="e">
        <f t="shared" si="31"/>
        <v>#N/A</v>
      </c>
      <c r="CH44" s="14" t="e">
        <f>IF(CC44=" "," ",LOOKUP(CA44,'Talents-Skills'!$A$2:$A$496,'Talents-Skills'!$E$2:$E$496))</f>
        <v>#N/A</v>
      </c>
      <c r="CI44" s="14">
        <f t="shared" si="20"/>
        <v>0</v>
      </c>
      <c r="CJ44" s="14" t="e">
        <f>IF(CI44="Yes","May",IF(CC44=" "," ",LOOKUP(CA44,'Talents-Skills'!$A$2:$A$496,'Talents-Skills'!$F$2:$F$496)))</f>
        <v>#N/A</v>
      </c>
      <c r="CK44" s="140" t="e">
        <f>IF(CC44=" "," ",LOOKUP(CA44,'Talents-Skills'!$A$2:$A$496,'Talents-Skills'!$G$2:$G$496))</f>
        <v>#N/A</v>
      </c>
      <c r="CL44" s="9">
        <f t="shared" si="21"/>
        <v>14200</v>
      </c>
      <c r="CP44" s="9">
        <v>44</v>
      </c>
      <c r="CQ44" s="9">
        <v>32</v>
      </c>
      <c r="CR44" s="9">
        <v>44</v>
      </c>
      <c r="CS44" s="9">
        <v>56</v>
      </c>
      <c r="CT44" s="9">
        <v>65</v>
      </c>
      <c r="CU44" s="9">
        <v>75</v>
      </c>
    </row>
    <row r="45" spans="1:99">
      <c r="A45" s="246" t="str">
        <f t="shared" si="34"/>
        <v>Howl</v>
      </c>
      <c r="B45" s="247">
        <f t="shared" si="34"/>
        <v>9</v>
      </c>
      <c r="C45" s="247">
        <f t="shared" ref="C45:C57" si="36">IF(B45&lt;=$D$2,$D$2," ")</f>
        <v>9</v>
      </c>
      <c r="D45" s="247" t="str">
        <f>IF(C45=" "," ",LOOKUP(A45,'Talents-Skills'!$A$2:$A$496,'Talents-Skills'!$C$2:$C$496))</f>
        <v>Charisma</v>
      </c>
      <c r="E45" s="247">
        <f t="shared" si="32"/>
        <v>5</v>
      </c>
      <c r="F45" s="247">
        <f t="shared" si="24"/>
        <v>14</v>
      </c>
      <c r="G45" s="247" t="str">
        <f t="shared" si="22"/>
        <v>D20+D4</v>
      </c>
      <c r="H45" s="247" t="str">
        <f>IF(C45=" "," ",LOOKUP(A45,'Talents-Skills'!$A$2:$A$496,'Talents-Skills'!$E$2:$E$496))</f>
        <v>Yes</v>
      </c>
      <c r="I45" s="247" t="str">
        <f t="shared" si="14"/>
        <v>Yes</v>
      </c>
      <c r="J45" s="247" t="str">
        <f>IF(I45="Yes","May",IF(C45=" "," ",LOOKUP(A45,'Talents-Skills'!$A$2:$A$496,'Talents-Skills'!$F$2:$F$496)))</f>
        <v>May</v>
      </c>
      <c r="K45" s="248">
        <f>IF(C45=" "," ",LOOKUP(A45,'Talents-Skills'!$A$2:$A$496,'Talents-Skills'!$G$2:$G$496))</f>
        <v>1</v>
      </c>
      <c r="L45" s="9">
        <f t="shared" si="15"/>
        <v>37200</v>
      </c>
      <c r="M45" s="9" t="s">
        <v>5636</v>
      </c>
      <c r="N45" s="10"/>
      <c r="P45" s="65">
        <v>43</v>
      </c>
      <c r="Q45" s="10">
        <v>19</v>
      </c>
      <c r="R45" s="10" t="s">
        <v>5637</v>
      </c>
      <c r="S45" s="10" t="s">
        <v>5638</v>
      </c>
      <c r="T45" s="10">
        <v>72</v>
      </c>
      <c r="U45" s="10">
        <v>21</v>
      </c>
      <c r="V45" s="10">
        <v>64</v>
      </c>
      <c r="W45" s="10">
        <v>7</v>
      </c>
      <c r="X45" s="10">
        <v>12</v>
      </c>
      <c r="Z45" s="10">
        <v>44</v>
      </c>
      <c r="AA45" s="10">
        <v>16</v>
      </c>
      <c r="AC45" s="10">
        <v>44</v>
      </c>
      <c r="AD45" s="10" t="s">
        <v>5639</v>
      </c>
      <c r="AF45" s="12">
        <v>22</v>
      </c>
      <c r="AG45" s="12">
        <v>9000</v>
      </c>
      <c r="AI45" s="12">
        <v>22</v>
      </c>
      <c r="AJ45" s="12">
        <v>27</v>
      </c>
      <c r="AK45" s="12">
        <v>140</v>
      </c>
      <c r="AL45" s="12">
        <v>4500</v>
      </c>
      <c r="AQ45" s="10">
        <v>3</v>
      </c>
      <c r="AR45" s="79">
        <v>2100</v>
      </c>
      <c r="AS45" s="79">
        <f>AR45+AS44</f>
        <v>4200</v>
      </c>
      <c r="AT45" s="79"/>
      <c r="AU45" s="79">
        <v>3</v>
      </c>
      <c r="AV45" s="79">
        <v>500</v>
      </c>
      <c r="AW45" s="79">
        <f t="shared" si="35"/>
        <v>1000</v>
      </c>
      <c r="AX45" s="79"/>
      <c r="AY45" s="79"/>
      <c r="BB45" s="185">
        <f>LOOKUP(CharGenMain!A45,'Talents-Skills'!$A$2:$A$496,'Talents-Skills'!$D$2:$D$496)</f>
        <v>0</v>
      </c>
      <c r="BW45" s="9" t="str">
        <f>IF(D45="Rank",CharGenMain!BB45," ")</f>
        <v xml:space="preserve"> </v>
      </c>
      <c r="CA45" s="238">
        <f t="shared" si="16"/>
        <v>0</v>
      </c>
      <c r="CB45" s="240">
        <f t="shared" si="16"/>
        <v>0</v>
      </c>
      <c r="CC45" s="240">
        <f t="shared" si="29"/>
        <v>9</v>
      </c>
      <c r="CD45" s="240" t="e">
        <f>IF(CC45=" "," ",LOOKUP(CA45,'Talents-Skills'!$A$2:$A$496,'Talents-Skills'!$C$2:$C$496))</f>
        <v>#N/A</v>
      </c>
      <c r="CE45" s="240" t="e">
        <f t="shared" si="23"/>
        <v>#N/A</v>
      </c>
      <c r="CF45" s="240" t="e">
        <f t="shared" si="30"/>
        <v>#N/A</v>
      </c>
      <c r="CG45" s="240" t="e">
        <f t="shared" si="31"/>
        <v>#N/A</v>
      </c>
      <c r="CH45" s="240" t="e">
        <f>IF(CC45=" "," ",LOOKUP(CA45,'Talents-Skills'!$A$2:$A$496,'Talents-Skills'!$E$2:$E$496))</f>
        <v>#N/A</v>
      </c>
      <c r="CI45" s="240">
        <f t="shared" si="20"/>
        <v>0</v>
      </c>
      <c r="CJ45" s="240" t="e">
        <f>IF(CI45="Yes","May",IF(CC45=" "," ",LOOKUP(CA45,'Talents-Skills'!$A$2:$A$496,'Talents-Skills'!$F$2:$F$496)))</f>
        <v>#N/A</v>
      </c>
      <c r="CK45" s="242" t="e">
        <f>IF(CC45=" "," ",LOOKUP(CA45,'Talents-Skills'!$A$2:$A$496,'Talents-Skills'!$G$2:$G$496))</f>
        <v>#N/A</v>
      </c>
      <c r="CL45" s="9">
        <f t="shared" si="21"/>
        <v>14200</v>
      </c>
      <c r="CP45" s="9">
        <v>45</v>
      </c>
      <c r="CQ45" s="9">
        <v>32</v>
      </c>
      <c r="CR45" s="9">
        <v>45</v>
      </c>
      <c r="CS45" s="9">
        <v>58</v>
      </c>
      <c r="CT45" s="9">
        <v>67</v>
      </c>
      <c r="CU45" s="9">
        <v>78</v>
      </c>
    </row>
    <row r="46" spans="1:99">
      <c r="A46" s="126" t="str">
        <f t="shared" si="34"/>
        <v>Animal Leadership</v>
      </c>
      <c r="B46" s="14">
        <f t="shared" si="34"/>
        <v>10</v>
      </c>
      <c r="C46" s="14" t="str">
        <f t="shared" si="36"/>
        <v xml:space="preserve"> </v>
      </c>
      <c r="D46" s="14" t="str">
        <f>IF(C46=" "," ",LOOKUP(A46,'Talents-Skills'!$A$2:$A$496,'Talents-Skills'!$C$2:$C$496))</f>
        <v xml:space="preserve"> </v>
      </c>
      <c r="E46" s="14" t="str">
        <f t="shared" si="32"/>
        <v xml:space="preserve"> </v>
      </c>
      <c r="F46" s="14" t="str">
        <f t="shared" si="24"/>
        <v xml:space="preserve"> </v>
      </c>
      <c r="G46" s="14" t="str">
        <f t="shared" si="22"/>
        <v xml:space="preserve"> </v>
      </c>
      <c r="H46" s="14" t="str">
        <f>IF(C46=" "," ",LOOKUP(A46,'Talents-Skills'!$A$2:$A$496,'Talents-Skills'!$E$2:$E$496))</f>
        <v xml:space="preserve"> </v>
      </c>
      <c r="I46" s="14" t="str">
        <f t="shared" si="14"/>
        <v xml:space="preserve"> </v>
      </c>
      <c r="J46" s="14" t="str">
        <f>IF(I46="Yes","May",IF(C46=" "," ",LOOKUP(A46,'Talents-Skills'!$A$2:$A$496,'Talents-Skills'!$F$2:$F$496)))</f>
        <v xml:space="preserve"> </v>
      </c>
      <c r="K46" s="140" t="str">
        <f>IF(C46=" "," ",LOOKUP(A46,'Talents-Skills'!$A$2:$A$496,'Talents-Skills'!$G$2:$G$496))</f>
        <v xml:space="preserve"> </v>
      </c>
      <c r="L46" s="9" t="str">
        <f t="shared" si="15"/>
        <v xml:space="preserve"> </v>
      </c>
      <c r="M46" s="9" t="s">
        <v>5640</v>
      </c>
      <c r="N46" s="10"/>
      <c r="P46" s="65">
        <v>44</v>
      </c>
      <c r="Q46" s="10">
        <v>19</v>
      </c>
      <c r="R46" s="10" t="s">
        <v>5641</v>
      </c>
      <c r="S46" s="10" t="s">
        <v>5642</v>
      </c>
      <c r="T46" s="10">
        <v>73</v>
      </c>
      <c r="U46" s="10">
        <v>22</v>
      </c>
      <c r="V46" s="10">
        <v>65</v>
      </c>
      <c r="W46" s="10">
        <v>8</v>
      </c>
      <c r="X46" s="10">
        <v>13</v>
      </c>
      <c r="Z46" s="10">
        <v>45</v>
      </c>
      <c r="AA46" s="10">
        <v>16</v>
      </c>
      <c r="AC46" s="10">
        <v>45</v>
      </c>
      <c r="AD46" s="10" t="s">
        <v>5447</v>
      </c>
      <c r="AF46" s="12">
        <v>23</v>
      </c>
      <c r="AG46" s="12">
        <v>11000</v>
      </c>
      <c r="AI46" s="12">
        <v>23</v>
      </c>
      <c r="AJ46" s="12">
        <v>28</v>
      </c>
      <c r="AK46" s="12">
        <v>150</v>
      </c>
      <c r="AL46" s="12">
        <v>5500</v>
      </c>
      <c r="AQ46" s="10">
        <v>4</v>
      </c>
      <c r="AR46" s="79">
        <v>3400</v>
      </c>
      <c r="AS46" s="79">
        <f>AR46+AS45</f>
        <v>7600</v>
      </c>
      <c r="AT46" s="79"/>
      <c r="AU46" s="79">
        <v>4</v>
      </c>
      <c r="AV46" s="79">
        <v>1300</v>
      </c>
      <c r="AW46" s="79">
        <f t="shared" si="35"/>
        <v>2300</v>
      </c>
      <c r="AX46" s="79"/>
      <c r="AY46" s="79"/>
      <c r="BB46" s="185">
        <f>LOOKUP(CharGenMain!A46,'Talents-Skills'!$A$2:$A$496,'Talents-Skills'!$D$2:$D$496)</f>
        <v>0</v>
      </c>
      <c r="BW46" s="9" t="str">
        <f>IF(D46="Rank",CharGenMain!BB46," ")</f>
        <v xml:space="preserve"> </v>
      </c>
      <c r="CA46" s="126">
        <f t="shared" si="16"/>
        <v>0</v>
      </c>
      <c r="CB46" s="14">
        <f t="shared" si="16"/>
        <v>0</v>
      </c>
      <c r="CC46" s="14">
        <f t="shared" si="29"/>
        <v>9</v>
      </c>
      <c r="CD46" s="14" t="e">
        <f>IF(CC46=" "," ",LOOKUP(CA46,'Talents-Skills'!$A$2:$A$496,'Talents-Skills'!$C$2:$C$496))</f>
        <v>#N/A</v>
      </c>
      <c r="CE46" s="14" t="e">
        <f t="shared" si="23"/>
        <v>#N/A</v>
      </c>
      <c r="CF46" s="14" t="e">
        <f t="shared" si="30"/>
        <v>#N/A</v>
      </c>
      <c r="CG46" s="14" t="e">
        <f t="shared" si="31"/>
        <v>#N/A</v>
      </c>
      <c r="CH46" s="14" t="e">
        <f>IF(CC46=" "," ",LOOKUP(CA46,'Talents-Skills'!$A$2:$A$496,'Talents-Skills'!$E$2:$E$496))</f>
        <v>#N/A</v>
      </c>
      <c r="CI46" s="14">
        <f t="shared" si="20"/>
        <v>0</v>
      </c>
      <c r="CJ46" s="14" t="e">
        <f>IF(CI46="Yes","May",IF(CC46=" "," ",LOOKUP(CA46,'Talents-Skills'!$A$2:$A$496,'Talents-Skills'!$F$2:$F$496)))</f>
        <v>#N/A</v>
      </c>
      <c r="CK46" s="140" t="e">
        <f>IF(CC46=" "," ",LOOKUP(CA46,'Talents-Skills'!$A$2:$A$496,'Talents-Skills'!$G$2:$G$496))</f>
        <v>#N/A</v>
      </c>
      <c r="CL46" s="9">
        <f t="shared" si="21"/>
        <v>14200</v>
      </c>
      <c r="CP46" s="9">
        <v>46</v>
      </c>
      <c r="CQ46" s="9">
        <v>33</v>
      </c>
      <c r="CR46" s="9">
        <v>46</v>
      </c>
      <c r="CS46" s="9">
        <v>59</v>
      </c>
      <c r="CT46" s="9">
        <v>68</v>
      </c>
      <c r="CU46" s="9">
        <v>78</v>
      </c>
    </row>
    <row r="47" spans="1:99">
      <c r="A47" s="238" t="str">
        <f t="shared" si="34"/>
        <v>Lion Spirit</v>
      </c>
      <c r="B47" s="240">
        <f t="shared" si="34"/>
        <v>10</v>
      </c>
      <c r="C47" s="240" t="str">
        <f t="shared" si="36"/>
        <v xml:space="preserve"> </v>
      </c>
      <c r="D47" s="240" t="str">
        <f>IF(C47=" "," ",LOOKUP(A47,'Talents-Skills'!$A$2:$A$496,'Talents-Skills'!$C$2:$C$496))</f>
        <v xml:space="preserve"> </v>
      </c>
      <c r="E47" s="240" t="str">
        <f t="shared" si="32"/>
        <v xml:space="preserve"> </v>
      </c>
      <c r="F47" s="240" t="str">
        <f t="shared" si="24"/>
        <v xml:space="preserve"> </v>
      </c>
      <c r="G47" s="240" t="str">
        <f t="shared" si="22"/>
        <v xml:space="preserve"> </v>
      </c>
      <c r="H47" s="240" t="str">
        <f>IF(C47=" "," ",LOOKUP(A47,'Talents-Skills'!$A$2:$A$496,'Talents-Skills'!$E$2:$E$496))</f>
        <v xml:space="preserve"> </v>
      </c>
      <c r="I47" s="240" t="str">
        <f t="shared" si="14"/>
        <v xml:space="preserve"> </v>
      </c>
      <c r="J47" s="240" t="str">
        <f>IF(I47="Yes","May",IF(C47=" "," ",LOOKUP(A47,'Talents-Skills'!$A$2:$A$496,'Talents-Skills'!$F$2:$F$496)))</f>
        <v xml:space="preserve"> </v>
      </c>
      <c r="K47" s="242" t="str">
        <f>IF(C47=" "," ",LOOKUP(A47,'Talents-Skills'!$A$2:$A$496,'Talents-Skills'!$G$2:$G$496))</f>
        <v xml:space="preserve"> </v>
      </c>
      <c r="L47" s="9" t="str">
        <f t="shared" si="15"/>
        <v xml:space="preserve"> </v>
      </c>
      <c r="M47" s="9" t="s">
        <v>5448</v>
      </c>
      <c r="N47" s="10"/>
      <c r="P47" s="65">
        <v>45</v>
      </c>
      <c r="Q47" s="10">
        <v>20</v>
      </c>
      <c r="R47" s="10" t="s">
        <v>5449</v>
      </c>
      <c r="S47" s="10" t="s">
        <v>5241</v>
      </c>
      <c r="T47" s="10">
        <v>74</v>
      </c>
      <c r="U47" s="10">
        <v>22</v>
      </c>
      <c r="V47" s="10">
        <v>66</v>
      </c>
      <c r="W47" s="10">
        <v>8</v>
      </c>
      <c r="X47" s="10">
        <v>13</v>
      </c>
      <c r="Z47" s="10">
        <v>46</v>
      </c>
      <c r="AA47" s="10">
        <v>17</v>
      </c>
      <c r="AC47" s="10">
        <v>46</v>
      </c>
      <c r="AD47" s="10" t="s">
        <v>5242</v>
      </c>
      <c r="AF47" s="12">
        <v>24</v>
      </c>
      <c r="AG47" s="12">
        <v>14000</v>
      </c>
      <c r="AI47" s="12">
        <v>24</v>
      </c>
      <c r="AJ47" s="12">
        <v>29</v>
      </c>
      <c r="AK47" s="12">
        <v>160</v>
      </c>
      <c r="AL47" s="12">
        <v>7000</v>
      </c>
      <c r="AQ47" s="10">
        <v>5</v>
      </c>
      <c r="AR47" s="79">
        <v>5500</v>
      </c>
      <c r="AS47" s="79">
        <f>AR47+AS46</f>
        <v>13100</v>
      </c>
      <c r="AT47" s="79"/>
      <c r="AU47" s="79">
        <v>5</v>
      </c>
      <c r="AV47" s="79">
        <v>2100</v>
      </c>
      <c r="AW47" s="79">
        <f t="shared" si="35"/>
        <v>4400</v>
      </c>
      <c r="AX47" s="79"/>
      <c r="AY47" s="79"/>
      <c r="BB47" s="185">
        <f>LOOKUP(CharGenMain!A47,'Talents-Skills'!$A$2:$A$496,'Talents-Skills'!$D$2:$D$496)</f>
        <v>0</v>
      </c>
      <c r="BW47" s="9" t="str">
        <f>IF(D47="Rank",CharGenMain!BB47," ")</f>
        <v xml:space="preserve"> </v>
      </c>
      <c r="CA47" s="238">
        <f t="shared" si="16"/>
        <v>0</v>
      </c>
      <c r="CB47" s="240">
        <f t="shared" si="16"/>
        <v>0</v>
      </c>
      <c r="CC47" s="240">
        <f t="shared" si="29"/>
        <v>9</v>
      </c>
      <c r="CD47" s="240" t="e">
        <f>IF(CC47=" "," ",LOOKUP(CA47,'Talents-Skills'!$A$2:$A$496,'Talents-Skills'!$C$2:$C$496))</f>
        <v>#N/A</v>
      </c>
      <c r="CE47" s="240" t="e">
        <f t="shared" si="23"/>
        <v>#N/A</v>
      </c>
      <c r="CF47" s="240" t="e">
        <f t="shared" si="30"/>
        <v>#N/A</v>
      </c>
      <c r="CG47" s="240" t="e">
        <f t="shared" si="31"/>
        <v>#N/A</v>
      </c>
      <c r="CH47" s="240" t="e">
        <f>IF(CC47=" "," ",LOOKUP(CA47,'Talents-Skills'!$A$2:$A$496,'Talents-Skills'!$E$2:$E$496))</f>
        <v>#N/A</v>
      </c>
      <c r="CI47" s="240">
        <f t="shared" si="20"/>
        <v>0</v>
      </c>
      <c r="CJ47" s="240" t="e">
        <f>IF(CI47="Yes","May",IF(CC47=" "," ",LOOKUP(CA47,'Talents-Skills'!$A$2:$A$496,'Talents-Skills'!$F$2:$F$496)))</f>
        <v>#N/A</v>
      </c>
      <c r="CK47" s="242" t="e">
        <f>IF(CC47=" "," ",LOOKUP(CA47,'Talents-Skills'!$A$2:$A$496,'Talents-Skills'!$G$2:$G$496))</f>
        <v>#N/A</v>
      </c>
      <c r="CL47" s="9">
        <f t="shared" si="21"/>
        <v>14200</v>
      </c>
      <c r="CP47" s="9">
        <v>47</v>
      </c>
      <c r="CQ47" s="9">
        <v>34</v>
      </c>
      <c r="CR47" s="9">
        <v>47</v>
      </c>
      <c r="CS47" s="9">
        <v>60</v>
      </c>
      <c r="CT47" s="9">
        <v>68</v>
      </c>
      <c r="CU47" s="9">
        <v>79</v>
      </c>
    </row>
    <row r="48" spans="1:99">
      <c r="A48" s="126" t="str">
        <f t="shared" si="34"/>
        <v>Develop Anim Sense</v>
      </c>
      <c r="B48" s="14">
        <f t="shared" si="34"/>
        <v>11</v>
      </c>
      <c r="C48" s="14" t="str">
        <f t="shared" si="36"/>
        <v xml:space="preserve"> </v>
      </c>
      <c r="D48" s="14" t="str">
        <f>IF(C48=" "," ",LOOKUP(A48,'Talents-Skills'!$A$2:$A$496,'Talents-Skills'!$C$2:$C$496))</f>
        <v xml:space="preserve"> </v>
      </c>
      <c r="E48" s="14" t="str">
        <f t="shared" si="32"/>
        <v xml:space="preserve"> </v>
      </c>
      <c r="F48" s="14" t="str">
        <f t="shared" si="24"/>
        <v xml:space="preserve"> </v>
      </c>
      <c r="G48" s="14" t="str">
        <f t="shared" si="22"/>
        <v xml:space="preserve"> </v>
      </c>
      <c r="H48" s="14" t="str">
        <f>IF(C48=" "," ",LOOKUP(A48,'Talents-Skills'!$A$2:$A$496,'Talents-Skills'!$E$2:$E$496))</f>
        <v xml:space="preserve"> </v>
      </c>
      <c r="I48" s="14" t="str">
        <f t="shared" si="14"/>
        <v xml:space="preserve"> </v>
      </c>
      <c r="J48" s="14" t="str">
        <f>IF(I48="Yes","May",IF(C48=" "," ",LOOKUP(A48,'Talents-Skills'!$A$2:$A$496,'Talents-Skills'!$F$2:$F$496)))</f>
        <v xml:space="preserve"> </v>
      </c>
      <c r="K48" s="140" t="str">
        <f>IF(C48=" "," ",LOOKUP(A48,'Talents-Skills'!$A$2:$A$496,'Talents-Skills'!$G$2:$G$496))</f>
        <v xml:space="preserve"> </v>
      </c>
      <c r="L48" s="9" t="str">
        <f t="shared" si="15"/>
        <v xml:space="preserve"> </v>
      </c>
      <c r="M48" s="9" t="s">
        <v>5243</v>
      </c>
      <c r="N48" s="10"/>
      <c r="P48" s="65">
        <v>46</v>
      </c>
      <c r="Q48" s="10">
        <v>20</v>
      </c>
      <c r="R48" s="10" t="s">
        <v>5244</v>
      </c>
      <c r="S48" s="10" t="s">
        <v>5454</v>
      </c>
      <c r="T48" s="10">
        <v>75</v>
      </c>
      <c r="U48" s="10">
        <v>22</v>
      </c>
      <c r="V48" s="10">
        <v>67</v>
      </c>
      <c r="W48" s="10">
        <v>8</v>
      </c>
      <c r="X48" s="10">
        <v>13</v>
      </c>
      <c r="Z48" s="10">
        <v>47</v>
      </c>
      <c r="AA48" s="10">
        <v>17</v>
      </c>
      <c r="AC48" s="10">
        <v>47</v>
      </c>
      <c r="AD48" s="10" t="s">
        <v>5455</v>
      </c>
      <c r="AF48" s="12">
        <v>25</v>
      </c>
      <c r="AG48" s="12">
        <v>18000</v>
      </c>
      <c r="AI48" s="12">
        <v>25</v>
      </c>
      <c r="AJ48" s="12">
        <v>30</v>
      </c>
      <c r="AK48" s="12">
        <v>180</v>
      </c>
      <c r="AL48" s="12">
        <v>9000</v>
      </c>
      <c r="AQ48" s="10"/>
      <c r="AR48" s="79"/>
      <c r="AS48" s="79"/>
      <c r="AT48" s="79"/>
      <c r="AU48" s="79">
        <v>6</v>
      </c>
      <c r="AV48" s="79">
        <v>3400</v>
      </c>
      <c r="AW48" s="79">
        <f t="shared" si="35"/>
        <v>7800</v>
      </c>
      <c r="AX48" s="79"/>
      <c r="AY48" s="79"/>
      <c r="BB48" s="185">
        <f>LOOKUP(CharGenMain!A48,'Talents-Skills'!$A$2:$A$496,'Talents-Skills'!$D$2:$D$496)</f>
        <v>0</v>
      </c>
      <c r="BW48" s="9" t="str">
        <f>IF(D48="Rank",CharGenMain!BB48," ")</f>
        <v xml:space="preserve"> </v>
      </c>
      <c r="CA48" s="126">
        <f t="shared" si="16"/>
        <v>0</v>
      </c>
      <c r="CB48" s="14">
        <f t="shared" si="16"/>
        <v>0</v>
      </c>
      <c r="CC48" s="14">
        <f t="shared" si="29"/>
        <v>9</v>
      </c>
      <c r="CD48" s="14" t="e">
        <f>IF(CC48=" "," ",LOOKUP(CA48,'Talents-Skills'!$A$2:$A$496,'Talents-Skills'!$C$2:$C$496))</f>
        <v>#N/A</v>
      </c>
      <c r="CE48" s="14" t="e">
        <f t="shared" si="23"/>
        <v>#N/A</v>
      </c>
      <c r="CF48" s="14" t="e">
        <f t="shared" si="30"/>
        <v>#N/A</v>
      </c>
      <c r="CG48" s="14" t="e">
        <f t="shared" si="31"/>
        <v>#N/A</v>
      </c>
      <c r="CH48" s="14" t="e">
        <f>IF(CC48=" "," ",LOOKUP(CA48,'Talents-Skills'!$A$2:$A$496,'Talents-Skills'!$E$2:$E$496))</f>
        <v>#N/A</v>
      </c>
      <c r="CI48" s="14">
        <f t="shared" si="20"/>
        <v>0</v>
      </c>
      <c r="CJ48" s="14" t="e">
        <f>IF(CI48="Yes","May",IF(CC48=" "," ",LOOKUP(CA48,'Talents-Skills'!$A$2:$A$496,'Talents-Skills'!$F$2:$F$496)))</f>
        <v>#N/A</v>
      </c>
      <c r="CK48" s="140" t="e">
        <f>IF(CC48=" "," ",LOOKUP(CA48,'Talents-Skills'!$A$2:$A$496,'Talents-Skills'!$G$2:$G$496))</f>
        <v>#N/A</v>
      </c>
      <c r="CL48" s="9">
        <f t="shared" si="21"/>
        <v>14200</v>
      </c>
      <c r="CP48" s="9">
        <v>48</v>
      </c>
      <c r="CQ48" s="9">
        <v>35</v>
      </c>
      <c r="CR48" s="9">
        <v>48</v>
      </c>
      <c r="CS48" s="9">
        <v>61</v>
      </c>
      <c r="CT48" s="9">
        <v>70</v>
      </c>
      <c r="CU48" s="9">
        <v>80</v>
      </c>
    </row>
    <row r="49" spans="1:99">
      <c r="A49" s="238" t="str">
        <f t="shared" si="34"/>
        <v>Tame Mount</v>
      </c>
      <c r="B49" s="240">
        <f t="shared" si="34"/>
        <v>11</v>
      </c>
      <c r="C49" s="240" t="str">
        <f t="shared" si="36"/>
        <v xml:space="preserve"> </v>
      </c>
      <c r="D49" s="240" t="str">
        <f>IF(C49=" "," ",LOOKUP(A49,'Talents-Skills'!$A$2:$A$496,'Talents-Skills'!$C$2:$C$496))</f>
        <v xml:space="preserve"> </v>
      </c>
      <c r="E49" s="240" t="str">
        <f t="shared" si="32"/>
        <v xml:space="preserve"> </v>
      </c>
      <c r="F49" s="240" t="str">
        <f t="shared" si="24"/>
        <v xml:space="preserve"> </v>
      </c>
      <c r="G49" s="240" t="str">
        <f t="shared" si="22"/>
        <v xml:space="preserve"> </v>
      </c>
      <c r="H49" s="240" t="str">
        <f>IF(C49=" "," ",LOOKUP(A49,'Talents-Skills'!$A$2:$A$496,'Talents-Skills'!$E$2:$E$496))</f>
        <v xml:space="preserve"> </v>
      </c>
      <c r="I49" s="240" t="str">
        <f t="shared" si="14"/>
        <v xml:space="preserve"> </v>
      </c>
      <c r="J49" s="240" t="str">
        <f>IF(I49="Yes","May",IF(C49=" "," ",LOOKUP(A49,'Talents-Skills'!$A$2:$A$496,'Talents-Skills'!$F$2:$F$496)))</f>
        <v xml:space="preserve"> </v>
      </c>
      <c r="K49" s="242" t="str">
        <f>IF(C49=" "," ",LOOKUP(A49,'Talents-Skills'!$A$2:$A$496,'Talents-Skills'!$G$2:$G$496))</f>
        <v xml:space="preserve"> </v>
      </c>
      <c r="L49" s="9" t="str">
        <f t="shared" si="15"/>
        <v xml:space="preserve"> </v>
      </c>
      <c r="M49" s="9" t="s">
        <v>5456</v>
      </c>
      <c r="N49" s="10"/>
      <c r="P49" s="65">
        <v>47</v>
      </c>
      <c r="Q49" s="10">
        <v>20</v>
      </c>
      <c r="R49" s="10" t="s">
        <v>5457</v>
      </c>
      <c r="S49" s="10" t="s">
        <v>5458</v>
      </c>
      <c r="T49" s="10">
        <v>76</v>
      </c>
      <c r="U49" s="10">
        <v>23</v>
      </c>
      <c r="V49" s="10">
        <v>68</v>
      </c>
      <c r="W49" s="10">
        <v>8</v>
      </c>
      <c r="X49" s="10">
        <v>14</v>
      </c>
      <c r="Z49" s="10">
        <v>48</v>
      </c>
      <c r="AA49" s="10">
        <v>17</v>
      </c>
      <c r="AC49" s="10">
        <v>48</v>
      </c>
      <c r="AD49" s="10" t="s">
        <v>5250</v>
      </c>
      <c r="AF49" s="12">
        <v>26</v>
      </c>
      <c r="AG49" s="12">
        <v>28000</v>
      </c>
      <c r="AI49" s="12">
        <v>26</v>
      </c>
      <c r="AJ49" s="12">
        <v>31</v>
      </c>
      <c r="AK49" s="12">
        <v>200</v>
      </c>
      <c r="AL49" s="12">
        <v>14000</v>
      </c>
      <c r="AQ49" s="10"/>
      <c r="AR49" s="79"/>
      <c r="AS49" s="79"/>
      <c r="AT49" s="79"/>
      <c r="AU49" s="79">
        <v>7</v>
      </c>
      <c r="AV49" s="79">
        <v>8900</v>
      </c>
      <c r="AW49" s="79">
        <f t="shared" si="35"/>
        <v>16700</v>
      </c>
      <c r="AX49" s="79"/>
      <c r="AY49" s="79"/>
      <c r="BB49" s="185">
        <f>LOOKUP(CharGenMain!A49,'Talents-Skills'!$A$2:$A$496,'Talents-Skills'!$D$2:$D$496)</f>
        <v>0</v>
      </c>
      <c r="BW49" s="9" t="str">
        <f>IF(D49="Rank",CharGenMain!BB49," ")</f>
        <v xml:space="preserve"> </v>
      </c>
      <c r="CA49" s="238">
        <f t="shared" si="16"/>
        <v>0</v>
      </c>
      <c r="CB49" s="240">
        <f t="shared" si="16"/>
        <v>0</v>
      </c>
      <c r="CC49" s="240">
        <f t="shared" si="29"/>
        <v>9</v>
      </c>
      <c r="CD49" s="240" t="e">
        <f>IF(CC49=" "," ",LOOKUP(CA49,'Talents-Skills'!$A$2:$A$496,'Talents-Skills'!$C$2:$C$496))</f>
        <v>#N/A</v>
      </c>
      <c r="CE49" s="240" t="e">
        <f t="shared" si="23"/>
        <v>#N/A</v>
      </c>
      <c r="CF49" s="240" t="e">
        <f t="shared" si="30"/>
        <v>#N/A</v>
      </c>
      <c r="CG49" s="240" t="e">
        <f t="shared" si="31"/>
        <v>#N/A</v>
      </c>
      <c r="CH49" s="240" t="e">
        <f>IF(CC49=" "," ",LOOKUP(CA49,'Talents-Skills'!$A$2:$A$496,'Talents-Skills'!$E$2:$E$496))</f>
        <v>#N/A</v>
      </c>
      <c r="CI49" s="240">
        <f t="shared" si="20"/>
        <v>0</v>
      </c>
      <c r="CJ49" s="240" t="e">
        <f>IF(CI49="Yes","May",IF(CC49=" "," ",LOOKUP(CA49,'Talents-Skills'!$A$2:$A$496,'Talents-Skills'!$F$2:$F$496)))</f>
        <v>#N/A</v>
      </c>
      <c r="CK49" s="242" t="e">
        <f>IF(CC49=" "," ",LOOKUP(CA49,'Talents-Skills'!$A$2:$A$496,'Talents-Skills'!$G$2:$G$496))</f>
        <v>#N/A</v>
      </c>
      <c r="CL49" s="9">
        <f t="shared" si="21"/>
        <v>14200</v>
      </c>
      <c r="CP49" s="9">
        <v>49</v>
      </c>
      <c r="CQ49" s="9">
        <v>36</v>
      </c>
      <c r="CR49" s="9">
        <v>49</v>
      </c>
      <c r="CS49" s="9">
        <v>62</v>
      </c>
      <c r="CT49" s="9">
        <v>71</v>
      </c>
      <c r="CU49" s="9">
        <v>81</v>
      </c>
    </row>
    <row r="50" spans="1:99">
      <c r="A50" s="126" t="str">
        <f t="shared" si="34"/>
        <v>Bestial Resilience</v>
      </c>
      <c r="B50" s="14">
        <f t="shared" si="34"/>
        <v>12</v>
      </c>
      <c r="C50" s="14" t="str">
        <f t="shared" si="36"/>
        <v xml:space="preserve"> </v>
      </c>
      <c r="D50" s="14" t="str">
        <f>IF(C50=" "," ",LOOKUP(A50,'Talents-Skills'!$A$2:$A$496,'Talents-Skills'!$C$2:$C$496))</f>
        <v xml:space="preserve"> </v>
      </c>
      <c r="E50" s="14" t="str">
        <f t="shared" si="32"/>
        <v xml:space="preserve"> </v>
      </c>
      <c r="F50" s="14" t="str">
        <f t="shared" si="24"/>
        <v xml:space="preserve"> </v>
      </c>
      <c r="G50" s="14" t="str">
        <f t="shared" si="22"/>
        <v xml:space="preserve"> </v>
      </c>
      <c r="H50" s="14" t="str">
        <f>IF(C50=" "," ",LOOKUP(A50,'Talents-Skills'!$A$2:$A$496,'Talents-Skills'!$E$2:$E$496))</f>
        <v xml:space="preserve"> </v>
      </c>
      <c r="I50" s="14" t="str">
        <f t="shared" si="14"/>
        <v xml:space="preserve"> </v>
      </c>
      <c r="J50" s="14" t="str">
        <f>IF(I50="Yes","May",IF(C50=" "," ",LOOKUP(A50,'Talents-Skills'!$A$2:$A$496,'Talents-Skills'!$F$2:$F$496)))</f>
        <v xml:space="preserve"> </v>
      </c>
      <c r="K50" s="140" t="str">
        <f>IF(C50=" "," ",LOOKUP(A50,'Talents-Skills'!$A$2:$A$496,'Talents-Skills'!$G$2:$G$496))</f>
        <v xml:space="preserve"> </v>
      </c>
      <c r="L50" s="9" t="str">
        <f t="shared" si="15"/>
        <v xml:space="preserve"> </v>
      </c>
      <c r="M50" s="9" t="s">
        <v>5251</v>
      </c>
      <c r="N50" s="10"/>
      <c r="P50" s="65">
        <v>48</v>
      </c>
      <c r="Q50" s="10">
        <v>21</v>
      </c>
      <c r="R50" s="10" t="s">
        <v>5252</v>
      </c>
      <c r="S50" s="10" t="s">
        <v>5253</v>
      </c>
      <c r="T50" s="10">
        <v>77</v>
      </c>
      <c r="U50" s="10">
        <v>23</v>
      </c>
      <c r="V50" s="10">
        <v>69</v>
      </c>
      <c r="W50" s="10">
        <v>8</v>
      </c>
      <c r="X50" s="10">
        <v>14</v>
      </c>
      <c r="Z50" s="10">
        <v>49</v>
      </c>
      <c r="AA50" s="10">
        <v>18</v>
      </c>
      <c r="AC50" s="10">
        <v>49</v>
      </c>
      <c r="AD50" s="10" t="s">
        <v>5070</v>
      </c>
      <c r="AF50" s="12">
        <v>27</v>
      </c>
      <c r="AG50" s="12">
        <v>38000</v>
      </c>
      <c r="AH50" s="3"/>
      <c r="AI50" s="12">
        <v>27</v>
      </c>
      <c r="AJ50" s="12">
        <v>32</v>
      </c>
      <c r="AK50" s="12">
        <v>220</v>
      </c>
      <c r="AL50" s="12">
        <v>19000</v>
      </c>
      <c r="AQ50" s="10"/>
      <c r="AR50" s="79"/>
      <c r="AS50" s="79"/>
      <c r="AT50" s="79"/>
      <c r="AU50" s="79">
        <v>8</v>
      </c>
      <c r="AV50" s="79">
        <v>14400</v>
      </c>
      <c r="AW50" s="79">
        <f t="shared" si="35"/>
        <v>31100</v>
      </c>
      <c r="AX50" s="79"/>
      <c r="AY50" s="79"/>
      <c r="BB50" s="185">
        <f>LOOKUP(CharGenMain!A50,'Talents-Skills'!$A$2:$A$496,'Talents-Skills'!$D$2:$D$496)</f>
        <v>0</v>
      </c>
      <c r="BW50" s="9" t="str">
        <f>IF(D50="Rank",CharGenMain!BB50," ")</f>
        <v xml:space="preserve"> </v>
      </c>
      <c r="CA50" s="126">
        <f t="shared" si="16"/>
        <v>0</v>
      </c>
      <c r="CB50" s="14">
        <f t="shared" si="16"/>
        <v>0</v>
      </c>
      <c r="CC50" s="14">
        <f t="shared" si="29"/>
        <v>9</v>
      </c>
      <c r="CD50" s="14" t="e">
        <f>IF(CC50=" "," ",LOOKUP(CA50,'Talents-Skills'!$A$2:$A$496,'Talents-Skills'!$C$2:$C$496))</f>
        <v>#N/A</v>
      </c>
      <c r="CE50" s="14" t="e">
        <f t="shared" si="23"/>
        <v>#N/A</v>
      </c>
      <c r="CF50" s="14" t="e">
        <f t="shared" si="30"/>
        <v>#N/A</v>
      </c>
      <c r="CG50" s="14" t="e">
        <f t="shared" si="31"/>
        <v>#N/A</v>
      </c>
      <c r="CH50" s="14" t="e">
        <f>IF(CC50=" "," ",LOOKUP(CA50,'Talents-Skills'!$A$2:$A$496,'Talents-Skills'!$E$2:$E$496))</f>
        <v>#N/A</v>
      </c>
      <c r="CI50" s="14">
        <f t="shared" si="20"/>
        <v>0</v>
      </c>
      <c r="CJ50" s="14" t="e">
        <f>IF(CI50="Yes","May",IF(CC50=" "," ",LOOKUP(CA50,'Talents-Skills'!$A$2:$A$496,'Talents-Skills'!$F$2:$F$496)))</f>
        <v>#N/A</v>
      </c>
      <c r="CK50" s="140" t="e">
        <f>IF(CC50=" "," ",LOOKUP(CA50,'Talents-Skills'!$A$2:$A$496,'Talents-Skills'!$G$2:$G$496))</f>
        <v>#N/A</v>
      </c>
      <c r="CL50" s="9">
        <f t="shared" si="21"/>
        <v>14200</v>
      </c>
      <c r="CP50" s="9">
        <v>50</v>
      </c>
      <c r="CQ50" s="9">
        <v>37</v>
      </c>
      <c r="CR50" s="9">
        <v>50</v>
      </c>
      <c r="CS50" s="9">
        <v>63</v>
      </c>
      <c r="CT50" s="9">
        <v>72</v>
      </c>
      <c r="CU50" s="9">
        <v>83</v>
      </c>
    </row>
    <row r="51" spans="1:99">
      <c r="A51" s="246" t="str">
        <f t="shared" si="34"/>
        <v>Chameleon</v>
      </c>
      <c r="B51" s="247">
        <f t="shared" si="34"/>
        <v>12</v>
      </c>
      <c r="C51" s="247" t="str">
        <f t="shared" si="36"/>
        <v xml:space="preserve"> </v>
      </c>
      <c r="D51" s="247" t="str">
        <f>IF(C51=" "," ",LOOKUP(A51,'Talents-Skills'!$A$2:$A$496,'Talents-Skills'!$C$2:$C$496))</f>
        <v xml:space="preserve"> </v>
      </c>
      <c r="E51" s="247" t="str">
        <f t="shared" si="32"/>
        <v xml:space="preserve"> </v>
      </c>
      <c r="F51" s="247" t="str">
        <f t="shared" si="24"/>
        <v xml:space="preserve"> </v>
      </c>
      <c r="G51" s="247" t="str">
        <f t="shared" si="22"/>
        <v xml:space="preserve"> </v>
      </c>
      <c r="H51" s="247" t="str">
        <f>IF(C51=" "," ",LOOKUP(A51,'Talents-Skills'!$A$2:$A$496,'Talents-Skills'!$E$2:$E$496))</f>
        <v xml:space="preserve"> </v>
      </c>
      <c r="I51" s="247" t="str">
        <f t="shared" si="14"/>
        <v xml:space="preserve"> </v>
      </c>
      <c r="J51" s="247" t="str">
        <f>IF(I51="Yes","May",IF(C51=" "," ",LOOKUP(A51,'Talents-Skills'!$A$2:$A$496,'Talents-Skills'!$F$2:$F$496)))</f>
        <v xml:space="preserve"> </v>
      </c>
      <c r="K51" s="248" t="str">
        <f>IF(C51=" "," ",LOOKUP(A51,'Talents-Skills'!$A$2:$A$496,'Talents-Skills'!$G$2:$G$496))</f>
        <v xml:space="preserve"> </v>
      </c>
      <c r="L51" s="9" t="str">
        <f t="shared" si="15"/>
        <v xml:space="preserve"> </v>
      </c>
      <c r="M51" s="9" t="s">
        <v>5071</v>
      </c>
      <c r="N51" s="10"/>
      <c r="P51" s="65">
        <v>49</v>
      </c>
      <c r="Q51" s="10">
        <v>21</v>
      </c>
      <c r="R51" s="10" t="s">
        <v>5072</v>
      </c>
      <c r="S51" s="10" t="s">
        <v>5073</v>
      </c>
      <c r="T51" s="10">
        <v>78</v>
      </c>
      <c r="U51" s="10">
        <v>23</v>
      </c>
      <c r="V51" s="10">
        <v>70</v>
      </c>
      <c r="W51" s="10">
        <v>8</v>
      </c>
      <c r="X51" s="10">
        <v>14</v>
      </c>
      <c r="Z51" s="10">
        <v>50</v>
      </c>
      <c r="AA51" s="10">
        <v>18</v>
      </c>
      <c r="AC51" s="10">
        <v>50</v>
      </c>
      <c r="AD51" s="10" t="s">
        <v>5074</v>
      </c>
      <c r="AF51" s="12">
        <v>28</v>
      </c>
      <c r="AG51" s="12">
        <v>48000</v>
      </c>
      <c r="AH51" s="12"/>
      <c r="AI51" s="12">
        <v>28</v>
      </c>
      <c r="AJ51" s="12">
        <v>33</v>
      </c>
      <c r="AK51" s="12">
        <v>240</v>
      </c>
      <c r="AL51" s="12">
        <v>24000</v>
      </c>
      <c r="AU51" s="79">
        <v>9</v>
      </c>
      <c r="AV51" s="79">
        <v>23300</v>
      </c>
      <c r="AW51" s="79">
        <f t="shared" si="35"/>
        <v>54400</v>
      </c>
      <c r="BB51" s="185">
        <f>LOOKUP(CharGenMain!A51,'Talents-Skills'!$A$2:$A$496,'Talents-Skills'!$D$2:$D$496)</f>
        <v>0</v>
      </c>
      <c r="BW51" s="9" t="str">
        <f>IF(D51="Rank",CharGenMain!BB51," ")</f>
        <v xml:space="preserve"> </v>
      </c>
      <c r="CA51" s="238">
        <f t="shared" si="16"/>
        <v>0</v>
      </c>
      <c r="CB51" s="240">
        <f t="shared" si="16"/>
        <v>0</v>
      </c>
      <c r="CC51" s="240">
        <f t="shared" si="29"/>
        <v>9</v>
      </c>
      <c r="CD51" s="240" t="e">
        <f>IF(CC51=" "," ",LOOKUP(CA51,'Talents-Skills'!$A$2:$A$496,'Talents-Skills'!$C$2:$C$496))</f>
        <v>#N/A</v>
      </c>
      <c r="CE51" s="240" t="e">
        <f t="shared" si="23"/>
        <v>#N/A</v>
      </c>
      <c r="CF51" s="240" t="e">
        <f t="shared" si="30"/>
        <v>#N/A</v>
      </c>
      <c r="CG51" s="240" t="e">
        <f t="shared" si="31"/>
        <v>#N/A</v>
      </c>
      <c r="CH51" s="240" t="e">
        <f>IF(CC51=" "," ",LOOKUP(CA51,'Talents-Skills'!$A$2:$A$496,'Talents-Skills'!$E$2:$E$496))</f>
        <v>#N/A</v>
      </c>
      <c r="CI51" s="240">
        <f t="shared" si="20"/>
        <v>0</v>
      </c>
      <c r="CJ51" s="240" t="e">
        <f>IF(CI51="Yes","May",IF(CC51=" "," ",LOOKUP(CA51,'Talents-Skills'!$A$2:$A$496,'Talents-Skills'!$F$2:$F$496)))</f>
        <v>#N/A</v>
      </c>
      <c r="CK51" s="242" t="e">
        <f>IF(CC51=" "," ",LOOKUP(CA51,'Talents-Skills'!$A$2:$A$496,'Talents-Skills'!$G$2:$G$496))</f>
        <v>#N/A</v>
      </c>
      <c r="CL51" s="9">
        <f t="shared" si="21"/>
        <v>14200</v>
      </c>
    </row>
    <row r="52" spans="1:99">
      <c r="A52" s="126" t="str">
        <f t="shared" si="34"/>
        <v>Pin</v>
      </c>
      <c r="B52" s="14">
        <f t="shared" si="34"/>
        <v>13</v>
      </c>
      <c r="C52" s="14" t="str">
        <f t="shared" si="36"/>
        <v xml:space="preserve"> </v>
      </c>
      <c r="D52" s="14" t="str">
        <f>IF(C52=" "," ",LOOKUP(A52,'Talents-Skills'!$A$2:$A$496,'Talents-Skills'!$C$2:$C$496))</f>
        <v xml:space="preserve"> </v>
      </c>
      <c r="E52" s="14" t="str">
        <f t="shared" si="32"/>
        <v xml:space="preserve"> </v>
      </c>
      <c r="F52" s="14" t="str">
        <f t="shared" si="24"/>
        <v xml:space="preserve"> </v>
      </c>
      <c r="G52" s="14" t="str">
        <f t="shared" si="22"/>
        <v xml:space="preserve"> </v>
      </c>
      <c r="H52" s="14" t="str">
        <f>IF(C52=" "," ",LOOKUP(A52,'Talents-Skills'!$A$2:$A$496,'Talents-Skills'!$E$2:$E$496))</f>
        <v xml:space="preserve"> </v>
      </c>
      <c r="I52" s="14" t="str">
        <f t="shared" si="14"/>
        <v xml:space="preserve"> </v>
      </c>
      <c r="J52" s="14" t="str">
        <f>IF(I52="Yes","May",IF(C52=" "," ",LOOKUP(A52,'Talents-Skills'!$A$2:$A$496,'Talents-Skills'!$F$2:$F$496)))</f>
        <v xml:space="preserve"> </v>
      </c>
      <c r="K52" s="140" t="str">
        <f>IF(C52=" "," ",LOOKUP(A52,'Talents-Skills'!$A$2:$A$496,'Talents-Skills'!$G$2:$G$496))</f>
        <v xml:space="preserve"> </v>
      </c>
      <c r="L52" s="9" t="str">
        <f t="shared" si="15"/>
        <v xml:space="preserve"> </v>
      </c>
      <c r="M52" s="9" t="s">
        <v>5075</v>
      </c>
      <c r="N52" s="10"/>
      <c r="P52" s="65">
        <v>50</v>
      </c>
      <c r="Q52" s="10">
        <v>21</v>
      </c>
      <c r="R52" s="10" t="s">
        <v>5076</v>
      </c>
      <c r="S52" s="10" t="s">
        <v>5077</v>
      </c>
      <c r="T52" s="10">
        <v>79</v>
      </c>
      <c r="U52" s="10">
        <v>24</v>
      </c>
      <c r="V52" s="10">
        <v>71</v>
      </c>
      <c r="W52" s="10">
        <v>9</v>
      </c>
      <c r="X52" s="10">
        <v>15</v>
      </c>
      <c r="Z52" s="10">
        <v>51</v>
      </c>
      <c r="AA52" s="10">
        <v>18</v>
      </c>
      <c r="AC52" s="10">
        <v>51</v>
      </c>
      <c r="AD52" s="10" t="s">
        <v>5078</v>
      </c>
      <c r="AF52" s="12">
        <v>29</v>
      </c>
      <c r="AG52" s="12">
        <v>54000</v>
      </c>
      <c r="AH52" s="12"/>
      <c r="AI52" s="12">
        <v>29</v>
      </c>
      <c r="AJ52" s="12">
        <v>34</v>
      </c>
      <c r="AK52" s="12">
        <v>260</v>
      </c>
      <c r="AL52" s="12">
        <v>27000</v>
      </c>
      <c r="AU52" s="79">
        <v>10</v>
      </c>
      <c r="AV52" s="79">
        <v>37700</v>
      </c>
      <c r="AW52" s="79">
        <f t="shared" si="35"/>
        <v>92100</v>
      </c>
      <c r="BB52" s="185">
        <f>LOOKUP(CharGenMain!A52,'Talents-Skills'!$A$2:$A$496,'Talents-Skills'!$D$2:$D$496)</f>
        <v>0</v>
      </c>
      <c r="BW52" s="9" t="str">
        <f>IF(D52="Rank",CharGenMain!BB52," ")</f>
        <v xml:space="preserve"> </v>
      </c>
      <c r="CA52" s="126">
        <f t="shared" si="16"/>
        <v>0</v>
      </c>
      <c r="CB52" s="14">
        <f t="shared" si="16"/>
        <v>0</v>
      </c>
      <c r="CC52" s="14">
        <f t="shared" si="29"/>
        <v>9</v>
      </c>
      <c r="CD52" s="14" t="e">
        <f>IF(CC52=" "," ",LOOKUP(CA52,'Talents-Skills'!$A$2:$A$496,'Talents-Skills'!$C$2:$C$496))</f>
        <v>#N/A</v>
      </c>
      <c r="CE52" s="14" t="e">
        <f t="shared" si="23"/>
        <v>#N/A</v>
      </c>
      <c r="CF52" s="14" t="e">
        <f t="shared" si="30"/>
        <v>#N/A</v>
      </c>
      <c r="CG52" s="14" t="e">
        <f t="shared" si="31"/>
        <v>#N/A</v>
      </c>
      <c r="CH52" s="14" t="e">
        <f>IF(CC52=" "," ",LOOKUP(CA52,'Talents-Skills'!$A$2:$A$496,'Talents-Skills'!$E$2:$E$496))</f>
        <v>#N/A</v>
      </c>
      <c r="CI52" s="14">
        <f t="shared" si="20"/>
        <v>0</v>
      </c>
      <c r="CJ52" s="14" t="e">
        <f>IF(CI52="Yes","May",IF(CC52=" "," ",LOOKUP(CA52,'Talents-Skills'!$A$2:$A$496,'Talents-Skills'!$F$2:$F$496)))</f>
        <v>#N/A</v>
      </c>
      <c r="CK52" s="140" t="e">
        <f>IF(CC52=" "," ",LOOKUP(CA52,'Talents-Skills'!$A$2:$A$496,'Talents-Skills'!$G$2:$G$496))</f>
        <v>#N/A</v>
      </c>
      <c r="CL52" s="9">
        <f t="shared" si="21"/>
        <v>14200</v>
      </c>
    </row>
    <row r="53" spans="1:99">
      <c r="A53" s="243" t="str">
        <f t="shared" si="34"/>
        <v>Shield Beater</v>
      </c>
      <c r="B53" s="244">
        <f t="shared" si="34"/>
        <v>13</v>
      </c>
      <c r="C53" s="244" t="str">
        <f t="shared" si="36"/>
        <v xml:space="preserve"> </v>
      </c>
      <c r="D53" s="244" t="str">
        <f>IF(C53=" "," ",LOOKUP(A53,'Talents-Skills'!$A$2:$A$496,'Talents-Skills'!$C$2:$C$496))</f>
        <v xml:space="preserve"> </v>
      </c>
      <c r="E53" s="244" t="str">
        <f t="shared" si="32"/>
        <v xml:space="preserve"> </v>
      </c>
      <c r="F53" s="244" t="str">
        <f t="shared" si="24"/>
        <v xml:space="preserve"> </v>
      </c>
      <c r="G53" s="244" t="str">
        <f t="shared" si="22"/>
        <v xml:space="preserve"> </v>
      </c>
      <c r="H53" s="244" t="str">
        <f>IF(C53=" "," ",LOOKUP(A53,'Talents-Skills'!$A$2:$A$496,'Talents-Skills'!$E$2:$E$496))</f>
        <v xml:space="preserve"> </v>
      </c>
      <c r="I53" s="244" t="str">
        <f t="shared" si="14"/>
        <v xml:space="preserve"> </v>
      </c>
      <c r="J53" s="244" t="str">
        <f>IF(I53="Yes","May",IF(C53=" "," ",LOOKUP(A53,'Talents-Skills'!$A$2:$A$496,'Talents-Skills'!$F$2:$F$496)))</f>
        <v xml:space="preserve"> </v>
      </c>
      <c r="K53" s="245" t="str">
        <f>IF(C53=" "," ",LOOKUP(A53,'Talents-Skills'!$A$2:$A$496,'Talents-Skills'!$G$2:$G$496))</f>
        <v xml:space="preserve"> </v>
      </c>
      <c r="L53" s="9" t="str">
        <f t="shared" si="15"/>
        <v xml:space="preserve"> </v>
      </c>
      <c r="M53" s="9" t="s">
        <v>5079</v>
      </c>
      <c r="N53" s="10"/>
      <c r="P53" s="65">
        <v>51</v>
      </c>
      <c r="Q53" s="10">
        <v>22</v>
      </c>
      <c r="R53" s="10" t="s">
        <v>5080</v>
      </c>
      <c r="S53" s="10" t="s">
        <v>5081</v>
      </c>
      <c r="T53" s="10">
        <v>80</v>
      </c>
      <c r="U53" s="10">
        <v>24</v>
      </c>
      <c r="V53" s="10">
        <v>72</v>
      </c>
      <c r="W53" s="10">
        <v>9</v>
      </c>
      <c r="X53" s="10">
        <v>15</v>
      </c>
      <c r="Z53" s="10">
        <v>52</v>
      </c>
      <c r="AA53" s="10">
        <v>19</v>
      </c>
      <c r="AC53" s="10">
        <v>52</v>
      </c>
      <c r="AD53" s="10" t="s">
        <v>5082</v>
      </c>
      <c r="AF53" s="12">
        <v>30</v>
      </c>
      <c r="AG53" s="12">
        <v>60000</v>
      </c>
      <c r="AH53" s="12"/>
      <c r="AI53" s="12">
        <v>30</v>
      </c>
      <c r="AJ53" s="12">
        <v>35</v>
      </c>
      <c r="AK53" s="12">
        <v>280</v>
      </c>
      <c r="AL53" s="12">
        <v>30000</v>
      </c>
      <c r="BB53" s="185">
        <f>LOOKUP(CharGenMain!A53,'Talents-Skills'!$A$2:$A$496,'Talents-Skills'!$D$2:$D$496)</f>
        <v>0</v>
      </c>
      <c r="BW53" s="9" t="str">
        <f>IF(D53="Rank",CharGenMain!BB53," ")</f>
        <v xml:space="preserve"> </v>
      </c>
      <c r="CA53" s="238">
        <f t="shared" si="16"/>
        <v>0</v>
      </c>
      <c r="CB53" s="240">
        <f t="shared" si="16"/>
        <v>0</v>
      </c>
      <c r="CC53" s="240">
        <f t="shared" si="29"/>
        <v>9</v>
      </c>
      <c r="CD53" s="240" t="e">
        <f>IF(CC53=" "," ",LOOKUP(CA53,'Talents-Skills'!$A$2:$A$496,'Talents-Skills'!$C$2:$C$496))</f>
        <v>#N/A</v>
      </c>
      <c r="CE53" s="240" t="e">
        <f t="shared" si="23"/>
        <v>#N/A</v>
      </c>
      <c r="CF53" s="240" t="e">
        <f t="shared" si="30"/>
        <v>#N/A</v>
      </c>
      <c r="CG53" s="240" t="e">
        <f t="shared" si="31"/>
        <v>#N/A</v>
      </c>
      <c r="CH53" s="240" t="e">
        <f>IF(CC53=" "," ",LOOKUP(CA53,'Talents-Skills'!$A$2:$A$496,'Talents-Skills'!$E$2:$E$496))</f>
        <v>#N/A</v>
      </c>
      <c r="CI53" s="240">
        <f t="shared" si="20"/>
        <v>0</v>
      </c>
      <c r="CJ53" s="240" t="e">
        <f>IF(CI53="Yes","May",IF(CC53=" "," ",LOOKUP(CA53,'Talents-Skills'!$A$2:$A$496,'Talents-Skills'!$F$2:$F$496)))</f>
        <v>#N/A</v>
      </c>
      <c r="CK53" s="242" t="e">
        <f>IF(CC53=" "," ",LOOKUP(CA53,'Talents-Skills'!$A$2:$A$496,'Talents-Skills'!$G$2:$G$496))</f>
        <v>#N/A</v>
      </c>
      <c r="CL53" s="9">
        <f t="shared" si="21"/>
        <v>14200</v>
      </c>
    </row>
    <row r="54" spans="1:99">
      <c r="A54" s="126" t="str">
        <f t="shared" si="34"/>
        <v>Echo Location</v>
      </c>
      <c r="B54" s="14">
        <f t="shared" si="34"/>
        <v>14</v>
      </c>
      <c r="C54" s="14" t="str">
        <f t="shared" si="36"/>
        <v xml:space="preserve"> </v>
      </c>
      <c r="D54" s="14" t="str">
        <f>IF(C54=" "," ",LOOKUP(A54,'Talents-Skills'!$A$2:$A$496,'Talents-Skills'!$C$2:$C$496))</f>
        <v xml:space="preserve"> </v>
      </c>
      <c r="E54" s="14" t="str">
        <f t="shared" si="32"/>
        <v xml:space="preserve"> </v>
      </c>
      <c r="F54" s="14" t="str">
        <f t="shared" si="24"/>
        <v xml:space="preserve"> </v>
      </c>
      <c r="G54" s="14" t="str">
        <f t="shared" si="22"/>
        <v xml:space="preserve"> </v>
      </c>
      <c r="H54" s="14" t="str">
        <f>IF(C54=" "," ",LOOKUP(A54,'Talents-Skills'!$A$2:$A$496,'Talents-Skills'!$E$2:$E$496))</f>
        <v xml:space="preserve"> </v>
      </c>
      <c r="I54" s="14" t="str">
        <f t="shared" si="14"/>
        <v xml:space="preserve"> </v>
      </c>
      <c r="J54" s="14" t="str">
        <f>IF(I54="Yes","May",IF(C54=" "," ",LOOKUP(A54,'Talents-Skills'!$A$2:$A$496,'Talents-Skills'!$F$2:$F$496)))</f>
        <v xml:space="preserve"> </v>
      </c>
      <c r="K54" s="140" t="str">
        <f>IF(C54=" "," ",LOOKUP(A54,'Talents-Skills'!$A$2:$A$496,'Talents-Skills'!$G$2:$G$496))</f>
        <v xml:space="preserve"> </v>
      </c>
      <c r="L54" s="9" t="str">
        <f t="shared" si="15"/>
        <v xml:space="preserve"> </v>
      </c>
      <c r="N54" s="10"/>
      <c r="P54" s="65">
        <v>52</v>
      </c>
      <c r="Q54" s="10">
        <v>22</v>
      </c>
      <c r="R54" s="10" t="s">
        <v>5083</v>
      </c>
      <c r="S54" s="10" t="s">
        <v>5084</v>
      </c>
      <c r="T54" s="10">
        <v>81</v>
      </c>
      <c r="U54" s="10">
        <v>24</v>
      </c>
      <c r="V54" s="10">
        <v>73</v>
      </c>
      <c r="W54" s="10">
        <v>9</v>
      </c>
      <c r="X54" s="10">
        <v>15</v>
      </c>
      <c r="Z54" s="10">
        <v>53</v>
      </c>
      <c r="AA54" s="10">
        <v>19</v>
      </c>
      <c r="AC54" s="10">
        <v>53</v>
      </c>
      <c r="AD54" s="10" t="s">
        <v>5085</v>
      </c>
      <c r="AF54" s="12">
        <v>31</v>
      </c>
      <c r="AG54" s="12">
        <v>75000</v>
      </c>
      <c r="AH54" s="12"/>
      <c r="AI54" s="12">
        <v>31</v>
      </c>
      <c r="AJ54" s="12">
        <v>36</v>
      </c>
      <c r="AK54" s="12">
        <v>300</v>
      </c>
      <c r="AL54" s="12">
        <v>37500</v>
      </c>
      <c r="AQ54" s="4" t="s">
        <v>5086</v>
      </c>
      <c r="BB54" s="185">
        <f>LOOKUP(CharGenMain!A54,'Talents-Skills'!$A$2:$A$496,'Talents-Skills'!$D$2:$D$496)</f>
        <v>0</v>
      </c>
      <c r="BW54" s="9" t="str">
        <f>IF(D54="Rank",CharGenMain!BB54," ")</f>
        <v xml:space="preserve"> </v>
      </c>
      <c r="CA54" s="126">
        <f t="shared" ref="CA54:CB58" si="37">IF($D$2&gt;0,CA934," ")</f>
        <v>0</v>
      </c>
      <c r="CB54" s="14">
        <f t="shared" si="37"/>
        <v>0</v>
      </c>
      <c r="CC54" s="14">
        <f>IF(CB54&lt;=$D$2,$D$2," ")</f>
        <v>9</v>
      </c>
      <c r="CD54" s="14" t="e">
        <f>IF(CC54=" "," ",LOOKUP(CA54,'Talents-Skills'!$A$2:$A$496,'Talents-Skills'!$C$2:$C$496))</f>
        <v>#N/A</v>
      </c>
      <c r="CE54" s="14" t="e">
        <f t="shared" si="23"/>
        <v>#N/A</v>
      </c>
      <c r="CF54" s="14" t="e">
        <f>IF(CC54=" "," ",(CC54+CE54+EB54))</f>
        <v>#N/A</v>
      </c>
      <c r="CG54" s="14" t="e">
        <f>IF(CC54=" "," ",LOOKUP(CF54,$AC$2:$AC$101,$AD$2:$AD$101))</f>
        <v>#N/A</v>
      </c>
      <c r="CH54" s="14" t="e">
        <f>IF(CC54=" "," ",LOOKUP(CA54,'Talents-Skills'!$A$2:$A$496,'Talents-Skills'!$E$2:$E$496))</f>
        <v>#N/A</v>
      </c>
      <c r="CI54" s="14">
        <f t="shared" si="20"/>
        <v>0</v>
      </c>
      <c r="CJ54" s="14" t="e">
        <f>IF(CI54="Yes","May",IF(CC54=" "," ",LOOKUP(CA54,'Talents-Skills'!$A$2:$A$496,'Talents-Skills'!$F$2:$F$496)))</f>
        <v>#N/A</v>
      </c>
      <c r="CK54" s="140" t="e">
        <f>IF(CC54=" "," ",LOOKUP(CA54,'Talents-Skills'!$A$2:$A$496,'Talents-Skills'!$G$2:$G$496))</f>
        <v>#N/A</v>
      </c>
      <c r="CL54" s="9">
        <f t="shared" si="21"/>
        <v>14200</v>
      </c>
    </row>
    <row r="55" spans="1:99">
      <c r="A55" s="243" t="str">
        <f t="shared" si="34"/>
        <v>Spirit Strike</v>
      </c>
      <c r="B55" s="244">
        <f t="shared" si="34"/>
        <v>14</v>
      </c>
      <c r="C55" s="244" t="str">
        <f t="shared" si="36"/>
        <v xml:space="preserve"> </v>
      </c>
      <c r="D55" s="244" t="str">
        <f>IF(C55=" "," ",LOOKUP(A55,'Talents-Skills'!$A$2:$A$496,'Talents-Skills'!$C$2:$C$496))</f>
        <v xml:space="preserve"> </v>
      </c>
      <c r="E55" s="244" t="str">
        <f t="shared" si="32"/>
        <v xml:space="preserve"> </v>
      </c>
      <c r="F55" s="244" t="str">
        <f t="shared" si="24"/>
        <v xml:space="preserve"> </v>
      </c>
      <c r="G55" s="244" t="str">
        <f t="shared" si="22"/>
        <v xml:space="preserve"> </v>
      </c>
      <c r="H55" s="244" t="str">
        <f>IF(C55=" "," ",LOOKUP(A55,'Talents-Skills'!$A$2:$A$496,'Talents-Skills'!$E$2:$E$496))</f>
        <v xml:space="preserve"> </v>
      </c>
      <c r="I55" s="244" t="str">
        <f t="shared" si="14"/>
        <v xml:space="preserve"> </v>
      </c>
      <c r="J55" s="244" t="str">
        <f>IF(I55="Yes","May",IF(C55=" "," ",LOOKUP(A55,'Talents-Skills'!$A$2:$A$496,'Talents-Skills'!$F$2:$F$496)))</f>
        <v xml:space="preserve"> </v>
      </c>
      <c r="K55" s="245" t="str">
        <f>IF(C55=" "," ",LOOKUP(A55,'Talents-Skills'!$A$2:$A$496,'Talents-Skills'!$G$2:$G$496))</f>
        <v xml:space="preserve"> </v>
      </c>
      <c r="L55" s="9" t="str">
        <f t="shared" si="15"/>
        <v xml:space="preserve"> </v>
      </c>
      <c r="N55" s="10"/>
      <c r="P55" s="65">
        <v>53</v>
      </c>
      <c r="Q55" s="10">
        <v>22</v>
      </c>
      <c r="R55" s="10" t="s">
        <v>5272</v>
      </c>
      <c r="S55" s="10" t="s">
        <v>5273</v>
      </c>
      <c r="T55" s="10">
        <v>82</v>
      </c>
      <c r="U55" s="10">
        <v>25</v>
      </c>
      <c r="V55" s="10">
        <v>74</v>
      </c>
      <c r="W55" s="10">
        <v>9</v>
      </c>
      <c r="X55" s="10">
        <v>16</v>
      </c>
      <c r="Z55" s="10">
        <v>54</v>
      </c>
      <c r="AA55" s="10">
        <v>19</v>
      </c>
      <c r="AC55" s="10">
        <v>54</v>
      </c>
      <c r="AD55" s="10" t="s">
        <v>5274</v>
      </c>
      <c r="AF55" s="12">
        <v>32</v>
      </c>
      <c r="AG55" s="12">
        <v>87000</v>
      </c>
      <c r="AH55" s="12"/>
      <c r="AI55" s="12">
        <v>32</v>
      </c>
      <c r="AJ55" s="12">
        <v>37</v>
      </c>
      <c r="AK55" s="12">
        <v>320</v>
      </c>
      <c r="AL55" s="12">
        <v>43500</v>
      </c>
      <c r="AQ55" s="212"/>
      <c r="AR55" s="214" t="s">
        <v>5275</v>
      </c>
      <c r="AS55" s="215"/>
      <c r="AT55" s="84"/>
      <c r="AU55" s="57"/>
      <c r="AV55" s="214" t="s">
        <v>5276</v>
      </c>
      <c r="AW55" s="215"/>
      <c r="AX55" s="84"/>
      <c r="AY55" s="84"/>
      <c r="AZ55" s="77"/>
      <c r="BB55" s="185">
        <f>LOOKUP(CharGenMain!A55,'Talents-Skills'!$A$2:$A$496,'Talents-Skills'!$D$2:$D$496)</f>
        <v>0</v>
      </c>
      <c r="BW55" s="9" t="str">
        <f>IF(D55="Rank",CharGenMain!BB55," ")</f>
        <v xml:space="preserve"> </v>
      </c>
      <c r="CA55" s="238">
        <f t="shared" si="37"/>
        <v>0</v>
      </c>
      <c r="CB55" s="240">
        <f t="shared" si="37"/>
        <v>0</v>
      </c>
      <c r="CC55" s="240">
        <f>IF(CB55&lt;=$D$2,$D$2," ")</f>
        <v>9</v>
      </c>
      <c r="CD55" s="240" t="e">
        <f>IF(CC55=" "," ",LOOKUP(CA55,'Talents-Skills'!$A$2:$A$496,'Talents-Skills'!$C$2:$C$496))</f>
        <v>#N/A</v>
      </c>
      <c r="CE55" s="240" t="e">
        <f t="shared" si="23"/>
        <v>#N/A</v>
      </c>
      <c r="CF55" s="240" t="e">
        <f>IF(CC55=" "," ",(CC55+CE55+EB55))</f>
        <v>#N/A</v>
      </c>
      <c r="CG55" s="240" t="e">
        <f>IF(CC55=" "," ",LOOKUP(CF55,$AC$2:$AC$101,$AD$2:$AD$101))</f>
        <v>#N/A</v>
      </c>
      <c r="CH55" s="240" t="e">
        <f>IF(CC55=" "," ",LOOKUP(CA55,'Talents-Skills'!$A$2:$A$496,'Talents-Skills'!$E$2:$E$496))</f>
        <v>#N/A</v>
      </c>
      <c r="CI55" s="240">
        <f t="shared" si="20"/>
        <v>0</v>
      </c>
      <c r="CJ55" s="240" t="e">
        <f>IF(CI55="Yes","May",IF(CC55=" "," ",LOOKUP(CA55,'Talents-Skills'!$A$2:$A$496,'Talents-Skills'!$F$2:$F$496)))</f>
        <v>#N/A</v>
      </c>
      <c r="CK55" s="242" t="e">
        <f>IF(CC55=" "," ",LOOKUP(CA55,'Talents-Skills'!$A$2:$A$496,'Talents-Skills'!$G$2:$G$496))</f>
        <v>#N/A</v>
      </c>
      <c r="CL55" s="9">
        <f t="shared" si="21"/>
        <v>14200</v>
      </c>
    </row>
    <row r="56" spans="1:99">
      <c r="A56" s="126" t="str">
        <f t="shared" si="34"/>
        <v>Venom</v>
      </c>
      <c r="B56" s="14">
        <f t="shared" si="34"/>
        <v>15</v>
      </c>
      <c r="C56" s="14" t="str">
        <f t="shared" si="36"/>
        <v xml:space="preserve"> </v>
      </c>
      <c r="D56" s="14" t="str">
        <f>IF(C56=" "," ",LOOKUP(A56,'Talents-Skills'!$A$2:$A$496,'Talents-Skills'!$C$2:$C$496))</f>
        <v xml:space="preserve"> </v>
      </c>
      <c r="E56" s="14" t="str">
        <f t="shared" si="32"/>
        <v xml:space="preserve"> </v>
      </c>
      <c r="F56" s="14" t="str">
        <f t="shared" si="24"/>
        <v xml:space="preserve"> </v>
      </c>
      <c r="G56" s="14" t="str">
        <f t="shared" si="22"/>
        <v xml:space="preserve"> </v>
      </c>
      <c r="H56" s="14" t="str">
        <f>IF(C56=" "," ",LOOKUP(A56,'Talents-Skills'!$A$2:$A$496,'Talents-Skills'!$E$2:$E$496))</f>
        <v xml:space="preserve"> </v>
      </c>
      <c r="I56" s="14" t="str">
        <f t="shared" si="14"/>
        <v xml:space="preserve"> </v>
      </c>
      <c r="J56" s="14" t="str">
        <f>IF(I56="Yes","May",IF(C56=" "," ",LOOKUP(A56,'Talents-Skills'!$A$2:$A$496,'Talents-Skills'!$F$2:$F$496)))</f>
        <v xml:space="preserve"> </v>
      </c>
      <c r="K56" s="140" t="str">
        <f>IF(C56=" "," ",LOOKUP(A56,'Talents-Skills'!$A$2:$A$496,'Talents-Skills'!$G$2:$G$496))</f>
        <v xml:space="preserve"> </v>
      </c>
      <c r="L56" s="9" t="str">
        <f t="shared" si="15"/>
        <v xml:space="preserve"> </v>
      </c>
      <c r="N56" s="10"/>
      <c r="P56" s="65">
        <v>54</v>
      </c>
      <c r="Q56" s="10">
        <v>23</v>
      </c>
      <c r="R56" s="10" t="s">
        <v>5277</v>
      </c>
      <c r="S56" s="10" t="s">
        <v>5091</v>
      </c>
      <c r="T56" s="10">
        <v>83</v>
      </c>
      <c r="U56" s="10">
        <v>25</v>
      </c>
      <c r="V56" s="10">
        <v>75</v>
      </c>
      <c r="W56" s="10">
        <v>9</v>
      </c>
      <c r="X56" s="10">
        <v>16</v>
      </c>
      <c r="Z56" s="10">
        <v>55</v>
      </c>
      <c r="AA56" s="10">
        <v>20</v>
      </c>
      <c r="AC56" s="10">
        <v>55</v>
      </c>
      <c r="AD56" s="10" t="s">
        <v>5092</v>
      </c>
      <c r="AF56" s="12">
        <v>33</v>
      </c>
      <c r="AG56" s="12">
        <v>100000</v>
      </c>
      <c r="AH56" s="12"/>
      <c r="AI56" s="12">
        <v>33</v>
      </c>
      <c r="AJ56" s="12">
        <v>38</v>
      </c>
      <c r="AK56" s="12">
        <v>340</v>
      </c>
      <c r="AL56" s="12">
        <v>50000</v>
      </c>
      <c r="AQ56" s="27" t="s">
        <v>5093</v>
      </c>
      <c r="AR56" s="26" t="s">
        <v>5094</v>
      </c>
      <c r="AS56" s="26" t="s">
        <v>5095</v>
      </c>
      <c r="AT56" s="26" t="s">
        <v>5096</v>
      </c>
      <c r="AU56" s="26"/>
      <c r="AV56" s="26" t="s">
        <v>5097</v>
      </c>
      <c r="AW56" s="26" t="s">
        <v>5098</v>
      </c>
      <c r="AX56" s="164" t="s">
        <v>5286</v>
      </c>
      <c r="AY56" s="21"/>
      <c r="AZ56" s="28"/>
      <c r="BB56" s="185">
        <f>LOOKUP(CharGenMain!A56,'Talents-Skills'!$A$2:$A$496,'Talents-Skills'!$D$2:$D$496)</f>
        <v>5</v>
      </c>
      <c r="BW56" s="9" t="str">
        <f>IF(D56="Rank",CharGenMain!BB56," ")</f>
        <v xml:space="preserve"> </v>
      </c>
      <c r="CA56" s="126">
        <f t="shared" si="37"/>
        <v>0</v>
      </c>
      <c r="CB56" s="14">
        <f t="shared" si="37"/>
        <v>0</v>
      </c>
      <c r="CC56" s="14">
        <f>IF(CB56&lt;=$D$2,$D$2," ")</f>
        <v>9</v>
      </c>
      <c r="CD56" s="14" t="e">
        <f>IF(CC56=" "," ",LOOKUP(CA56,'Talents-Skills'!$A$2:$A$496,'Talents-Skills'!$C$2:$C$496))</f>
        <v>#N/A</v>
      </c>
      <c r="CE56" s="14" t="e">
        <f t="shared" si="23"/>
        <v>#N/A</v>
      </c>
      <c r="CF56" s="14" t="e">
        <f>IF(CC56=" "," ",(CC56+CE56+EB56))</f>
        <v>#N/A</v>
      </c>
      <c r="CG56" s="14" t="e">
        <f>IF(CC56=" "," ",LOOKUP(CF56,$AC$2:$AC$101,$AD$2:$AD$101))</f>
        <v>#N/A</v>
      </c>
      <c r="CH56" s="14" t="e">
        <f>IF(CC56=" "," ",LOOKUP(CA56,'Talents-Skills'!$A$2:$A$496,'Talents-Skills'!$E$2:$E$496))</f>
        <v>#N/A</v>
      </c>
      <c r="CI56" s="14">
        <f t="shared" si="20"/>
        <v>0</v>
      </c>
      <c r="CJ56" s="14" t="e">
        <f>IF(CI56="Yes","May",IF(CC56=" "," ",LOOKUP(CA56,'Talents-Skills'!$A$2:$A$496,'Talents-Skills'!$F$2:$F$496)))</f>
        <v>#N/A</v>
      </c>
      <c r="CK56" s="140" t="e">
        <f>IF(CC56=" "," ",LOOKUP(CA56,'Talents-Skills'!$A$2:$A$496,'Talents-Skills'!$G$2:$G$496))</f>
        <v>#N/A</v>
      </c>
      <c r="CL56" s="9">
        <f t="shared" si="21"/>
        <v>14200</v>
      </c>
    </row>
    <row r="57" spans="1:99">
      <c r="A57" s="238" t="str">
        <f t="shared" si="34"/>
        <v>Web Astral</v>
      </c>
      <c r="B57" s="240">
        <f t="shared" si="34"/>
        <v>15</v>
      </c>
      <c r="C57" s="240" t="str">
        <f t="shared" si="36"/>
        <v xml:space="preserve"> </v>
      </c>
      <c r="D57" s="240" t="str">
        <f>IF(C57=" "," ",LOOKUP(A57,'Talents-Skills'!$A$2:$A$496,'Talents-Skills'!$C$2:$C$496))</f>
        <v xml:space="preserve"> </v>
      </c>
      <c r="E57" s="240" t="str">
        <f t="shared" si="32"/>
        <v xml:space="preserve"> </v>
      </c>
      <c r="F57" s="240" t="str">
        <f t="shared" si="24"/>
        <v xml:space="preserve"> </v>
      </c>
      <c r="G57" s="240" t="str">
        <f t="shared" si="22"/>
        <v xml:space="preserve"> </v>
      </c>
      <c r="H57" s="240" t="str">
        <f>IF(C57=" "," ",LOOKUP(A57,'Talents-Skills'!$A$2:$A$496,'Talents-Skills'!$E$2:$E$496))</f>
        <v xml:space="preserve"> </v>
      </c>
      <c r="I57" s="240" t="str">
        <f t="shared" si="14"/>
        <v xml:space="preserve"> </v>
      </c>
      <c r="J57" s="240" t="str">
        <f>IF(I57="Yes","May",IF(C57=" "," ",LOOKUP(A57,'Talents-Skills'!$A$2:$A$496,'Talents-Skills'!$F$2:$F$496)))</f>
        <v xml:space="preserve"> </v>
      </c>
      <c r="K57" s="242" t="str">
        <f>IF(C57=" "," ",LOOKUP(A57,'Talents-Skills'!$A$2:$A$496,'Talents-Skills'!$G$2:$G$496))</f>
        <v xml:space="preserve"> </v>
      </c>
      <c r="L57" s="9" t="str">
        <f t="shared" si="15"/>
        <v xml:space="preserve"> </v>
      </c>
      <c r="N57" s="10"/>
      <c r="P57" s="65">
        <v>55</v>
      </c>
      <c r="Q57" s="10">
        <v>23</v>
      </c>
      <c r="R57" s="10" t="s">
        <v>5287</v>
      </c>
      <c r="S57" s="10" t="s">
        <v>5288</v>
      </c>
      <c r="T57" s="10">
        <v>84</v>
      </c>
      <c r="U57" s="10">
        <v>25</v>
      </c>
      <c r="V57" s="10">
        <v>76</v>
      </c>
      <c r="W57" s="10">
        <v>9</v>
      </c>
      <c r="X57" s="10">
        <v>16</v>
      </c>
      <c r="Z57" s="10">
        <v>56</v>
      </c>
      <c r="AA57" s="10">
        <v>20</v>
      </c>
      <c r="AC57" s="10">
        <v>56</v>
      </c>
      <c r="AD57" s="10" t="s">
        <v>5101</v>
      </c>
      <c r="AF57" s="12">
        <v>34</v>
      </c>
      <c r="AG57" s="12">
        <v>125000</v>
      </c>
      <c r="AH57" s="12"/>
      <c r="AI57" s="12">
        <v>34</v>
      </c>
      <c r="AJ57" s="12">
        <v>39</v>
      </c>
      <c r="AK57" s="12">
        <v>360</v>
      </c>
      <c r="AL57" s="12">
        <v>62500</v>
      </c>
      <c r="AQ57" s="104">
        <v>2</v>
      </c>
      <c r="AR57" s="14">
        <v>5</v>
      </c>
      <c r="AS57" s="14">
        <v>2</v>
      </c>
      <c r="AT57" s="14">
        <v>1</v>
      </c>
      <c r="AU57" s="14"/>
      <c r="AV57" s="14">
        <v>1</v>
      </c>
      <c r="AW57" s="14">
        <f>COUNTIF(C22:C28,"&gt;1")</f>
        <v>7</v>
      </c>
      <c r="AX57" s="14">
        <f>COUNTIF(C22:C28,"&gt;1")</f>
        <v>7</v>
      </c>
      <c r="AY57" s="14">
        <f>IF(AW57&gt;=AR57,1,0)</f>
        <v>1</v>
      </c>
      <c r="AZ57" s="85">
        <f>IF(AND(AX57&gt;0,AY57&gt;0),1,0)</f>
        <v>1</v>
      </c>
      <c r="BB57" s="185">
        <f>LOOKUP(CharGenMain!A57,'Talents-Skills'!$A$2:$A$496,'Talents-Skills'!$D$2:$D$496)</f>
        <v>10</v>
      </c>
      <c r="BW57" s="9" t="str">
        <f>IF(D57="Rank",CharGenMain!BB57," ")</f>
        <v xml:space="preserve"> </v>
      </c>
      <c r="CA57" s="238">
        <f t="shared" si="37"/>
        <v>0</v>
      </c>
      <c r="CB57" s="240">
        <f t="shared" si="37"/>
        <v>0</v>
      </c>
      <c r="CC57" s="240">
        <f>IF(CB57&lt;=$D$2,$D$2," ")</f>
        <v>9</v>
      </c>
      <c r="CD57" s="240" t="e">
        <f>IF(CC57=" "," ",LOOKUP(CA57,'Talents-Skills'!$A$2:$A$496,'Talents-Skills'!$C$2:$C$496))</f>
        <v>#N/A</v>
      </c>
      <c r="CE57" s="240" t="e">
        <f t="shared" si="23"/>
        <v>#N/A</v>
      </c>
      <c r="CF57" s="240" t="e">
        <f>IF(CC57=" "," ",(CC57+CE57+EB57))</f>
        <v>#N/A</v>
      </c>
      <c r="CG57" s="240" t="e">
        <f>IF(CC57=" "," ",LOOKUP(CF57,$AC$2:$AC$101,$AD$2:$AD$101))</f>
        <v>#N/A</v>
      </c>
      <c r="CH57" s="240" t="e">
        <f>IF(CC57=" "," ",LOOKUP(CA57,'Talents-Skills'!$A$2:$A$496,'Talents-Skills'!$E$2:$E$496))</f>
        <v>#N/A</v>
      </c>
      <c r="CI57" s="240">
        <f t="shared" si="20"/>
        <v>0</v>
      </c>
      <c r="CJ57" s="240" t="e">
        <f>IF(CI57="Yes","May",IF(CC57=" "," ",LOOKUP(CA57,'Talents-Skills'!$A$2:$A$496,'Talents-Skills'!$F$2:$F$496)))</f>
        <v>#N/A</v>
      </c>
      <c r="CK57" s="242" t="e">
        <f>IF(CC57=" "," ",LOOKUP(CA57,'Talents-Skills'!$A$2:$A$496,'Talents-Skills'!$G$2:$G$496))</f>
        <v>#N/A</v>
      </c>
      <c r="CL57" s="9">
        <f t="shared" si="21"/>
        <v>14200</v>
      </c>
    </row>
    <row r="58" spans="1:99">
      <c r="A58" s="141"/>
      <c r="B58" s="23"/>
      <c r="C58" s="23"/>
      <c r="D58" s="23"/>
      <c r="E58" s="14" t="str">
        <f>IF(D58=$A$6,$F$6,IF(D58=$A$7,$F$7,IF(D58=$A$8,$F$8,IF(D58=$A$9,$F$9,IF(D58=$A$10,$F$10,IF(D58=$A$11,$F$11,BW58))))))</f>
        <v xml:space="preserve"> </v>
      </c>
      <c r="F58" s="14"/>
      <c r="G58" s="14"/>
      <c r="H58" s="23"/>
      <c r="I58" s="23"/>
      <c r="J58" s="23"/>
      <c r="K58" s="142"/>
      <c r="L58" s="9">
        <f t="shared" si="15"/>
        <v>0</v>
      </c>
      <c r="N58" s="10"/>
      <c r="P58" s="65">
        <v>56</v>
      </c>
      <c r="Q58" s="10">
        <v>23</v>
      </c>
      <c r="R58" s="10" t="s">
        <v>5291</v>
      </c>
      <c r="S58" s="10" t="s">
        <v>5295</v>
      </c>
      <c r="T58" s="10">
        <v>85</v>
      </c>
      <c r="U58" s="10">
        <v>26</v>
      </c>
      <c r="V58" s="10">
        <v>77</v>
      </c>
      <c r="W58" s="10">
        <v>10</v>
      </c>
      <c r="X58" s="10">
        <v>17</v>
      </c>
      <c r="Z58" s="10">
        <v>57</v>
      </c>
      <c r="AA58" s="10">
        <v>20</v>
      </c>
      <c r="AC58" s="10">
        <v>57</v>
      </c>
      <c r="AD58" s="10" t="s">
        <v>5296</v>
      </c>
      <c r="AF58" s="12">
        <v>35</v>
      </c>
      <c r="AG58" s="12">
        <v>150000</v>
      </c>
      <c r="AH58" s="12"/>
      <c r="AI58" s="12">
        <v>35</v>
      </c>
      <c r="AJ58" s="12">
        <v>40</v>
      </c>
      <c r="AK58" s="12">
        <v>380</v>
      </c>
      <c r="AL58" s="12">
        <v>75000</v>
      </c>
      <c r="AQ58" s="104">
        <v>3</v>
      </c>
      <c r="AR58" s="14">
        <v>6</v>
      </c>
      <c r="AS58" s="14">
        <v>3</v>
      </c>
      <c r="AT58" s="14">
        <v>2</v>
      </c>
      <c r="AU58" s="14"/>
      <c r="AV58" s="14">
        <v>2</v>
      </c>
      <c r="AW58" s="14">
        <f>COUNTIF(C22:C31,"&gt;2")</f>
        <v>8</v>
      </c>
      <c r="AX58" s="14">
        <f>COUNTIF(C29:C31,"&gt;2")</f>
        <v>1</v>
      </c>
      <c r="AY58" s="14">
        <f t="shared" ref="AY58:AY70" si="38">IF(AW58&gt;=AR58,1,0)</f>
        <v>1</v>
      </c>
      <c r="AZ58" s="85">
        <f t="shared" ref="AZ58:AZ71" si="39">IF(AND(AX58&gt;0,AY58&gt;0),1,0)</f>
        <v>1</v>
      </c>
      <c r="BB58" s="185" t="e">
        <f>LOOKUP(CharGenMain!A58,'Talents-Skills'!$A$2:$A$496,'Talents-Skills'!$D$2:$D$496)</f>
        <v>#N/A</v>
      </c>
      <c r="BW58" s="9" t="str">
        <f>IF(D58="Rank",CharGenMain!BB58," ")</f>
        <v xml:space="preserve"> </v>
      </c>
      <c r="CA58" s="141">
        <f t="shared" si="37"/>
        <v>0</v>
      </c>
      <c r="CB58" s="23">
        <f t="shared" si="37"/>
        <v>0</v>
      </c>
      <c r="CC58" s="23">
        <f>IF(CB58&lt;=$D$2,$D$2," ")</f>
        <v>9</v>
      </c>
      <c r="CD58" s="23" t="e">
        <f>IF(CC58=" "," ",LOOKUP(CA58,'Talents-Skills'!$A$2:$A$496,'Talents-Skills'!$C$2:$C$496))</f>
        <v>#N/A</v>
      </c>
      <c r="CE58" s="14" t="e">
        <f t="shared" si="23"/>
        <v>#N/A</v>
      </c>
      <c r="CF58" s="14" t="e">
        <f>IF(CC58=" "," ",(CC58+CE58+EB58))</f>
        <v>#N/A</v>
      </c>
      <c r="CG58" s="14" t="e">
        <f>IF(CC58=" "," ",LOOKUP(CF58,$AC$2:$AC$101,$AD$2:$AD$101))</f>
        <v>#N/A</v>
      </c>
      <c r="CH58" s="23" t="e">
        <f>IF(CC58=" "," ",LOOKUP(CA58,'Talents-Skills'!$A$2:$A$496,'Talents-Skills'!$E$2:$E$496))</f>
        <v>#N/A</v>
      </c>
      <c r="CI58" s="23">
        <f t="shared" si="20"/>
        <v>0</v>
      </c>
      <c r="CJ58" s="23" t="e">
        <f>IF(CI58="Yes","May",IF(CC58=" "," ",LOOKUP(CA58,'Talents-Skills'!$A$2:$A$496,'Talents-Skills'!$F$2:$F$496)))</f>
        <v>#N/A</v>
      </c>
      <c r="CK58" s="142" t="e">
        <f>IF(CC58=" "," ",LOOKUP(CA58,'Talents-Skills'!$A$2:$A$496,'Talents-Skills'!$G$2:$G$496))</f>
        <v>#N/A</v>
      </c>
      <c r="CL58" s="9">
        <f t="shared" si="21"/>
        <v>14200</v>
      </c>
    </row>
    <row r="59" spans="1:99">
      <c r="A59" s="143" t="s">
        <v>5297</v>
      </c>
      <c r="B59" s="83"/>
      <c r="C59" s="17" t="s">
        <v>5588</v>
      </c>
      <c r="D59" s="84"/>
      <c r="E59" s="18" t="s">
        <v>5298</v>
      </c>
      <c r="F59" s="18" t="s">
        <v>5372</v>
      </c>
      <c r="G59" s="19" t="s">
        <v>5299</v>
      </c>
      <c r="H59" s="16" t="s">
        <v>5300</v>
      </c>
      <c r="I59" s="18" t="s">
        <v>5301</v>
      </c>
      <c r="J59" s="18" t="s">
        <v>5302</v>
      </c>
      <c r="K59" s="139" t="s">
        <v>5303</v>
      </c>
      <c r="L59" s="14"/>
      <c r="N59" s="10"/>
      <c r="P59" s="65">
        <v>57</v>
      </c>
      <c r="Q59" s="10">
        <v>24</v>
      </c>
      <c r="R59" s="10" t="s">
        <v>5304</v>
      </c>
      <c r="S59" s="10" t="s">
        <v>5305</v>
      </c>
      <c r="T59" s="10">
        <v>86</v>
      </c>
      <c r="U59" s="10">
        <v>26</v>
      </c>
      <c r="V59" s="10">
        <v>78</v>
      </c>
      <c r="W59" s="10">
        <v>10</v>
      </c>
      <c r="X59" s="10">
        <v>17</v>
      </c>
      <c r="Z59" s="10">
        <v>58</v>
      </c>
      <c r="AA59" s="10">
        <v>21</v>
      </c>
      <c r="AC59" s="10">
        <v>58</v>
      </c>
      <c r="AD59" s="10" t="s">
        <v>5306</v>
      </c>
      <c r="AF59" s="12">
        <v>36</v>
      </c>
      <c r="AG59" s="12">
        <v>175000</v>
      </c>
      <c r="AH59" s="12"/>
      <c r="AI59" s="12">
        <v>36</v>
      </c>
      <c r="AJ59" s="12">
        <v>41</v>
      </c>
      <c r="AK59" s="12">
        <v>400</v>
      </c>
      <c r="AL59" s="12">
        <v>87500</v>
      </c>
      <c r="AQ59" s="104">
        <v>4</v>
      </c>
      <c r="AR59" s="14">
        <v>7</v>
      </c>
      <c r="AS59" s="14">
        <v>4</v>
      </c>
      <c r="AT59" s="14">
        <v>3</v>
      </c>
      <c r="AU59" s="14"/>
      <c r="AV59" s="14">
        <v>3</v>
      </c>
      <c r="AW59" s="14">
        <f>COUNTIF(C22:C33,"&gt;3")</f>
        <v>9</v>
      </c>
      <c r="AX59" s="14">
        <f>COUNTIF(C32:C33,"&gt;3")</f>
        <v>1</v>
      </c>
      <c r="AY59" s="14">
        <f t="shared" si="38"/>
        <v>1</v>
      </c>
      <c r="AZ59" s="85">
        <f t="shared" si="39"/>
        <v>1</v>
      </c>
      <c r="BB59" s="185"/>
      <c r="CA59" s="143" t="s">
        <v>5297</v>
      </c>
      <c r="CB59" s="83"/>
      <c r="CC59" s="17" t="s">
        <v>5588</v>
      </c>
      <c r="CD59" s="84"/>
      <c r="CE59" s="18" t="s">
        <v>5298</v>
      </c>
      <c r="CF59" s="18" t="s">
        <v>5372</v>
      </c>
      <c r="CG59" s="19" t="s">
        <v>5299</v>
      </c>
      <c r="CH59" s="16" t="s">
        <v>5300</v>
      </c>
      <c r="CI59" s="18" t="s">
        <v>5301</v>
      </c>
      <c r="CJ59" s="18" t="s">
        <v>5302</v>
      </c>
      <c r="CK59" s="139" t="s">
        <v>5303</v>
      </c>
      <c r="CL59" s="14"/>
    </row>
    <row r="60" spans="1:99">
      <c r="A60" s="126"/>
      <c r="B60" s="85"/>
      <c r="C60" s="20" t="str">
        <f>IF(A202&gt;0,A202,"*Enter Armor Type Here*")</f>
        <v>Faerie Chainmail</v>
      </c>
      <c r="D60" s="21"/>
      <c r="E60" s="14">
        <f>IF(G202=" ",LOOKUP(C60,'Armor-Weapons'!$A$2:$A$46,'Armor-Weapons'!$B$2:$B$46),G202)</f>
        <v>10</v>
      </c>
      <c r="F60" s="14">
        <f>IF(H202=" ",LOOKUP(C60,'Armor-Weapons'!$A$2:$A$46,'Armor-Weapons'!$C$2:$C$46),H202)</f>
        <v>3</v>
      </c>
      <c r="G60" s="14">
        <f>IF(I202=" ",LOOKUP(C60,'Armor-Weapons'!$A$2:$A$46,'Armor-Weapons'!$D$2:$D$46),I202)</f>
        <v>1</v>
      </c>
      <c r="H60" s="20" t="s">
        <v>5307</v>
      </c>
      <c r="I60" s="14">
        <f>IF(A206&gt;0,H206,LOOKUP($H$60,'Armor-Weapons'!$K$2:$K$119,'Armor-Weapons'!$L$2:$L$119))</f>
        <v>6</v>
      </c>
      <c r="J60" s="14">
        <v>6</v>
      </c>
      <c r="K60" s="144">
        <f>IF(H60='Armor-Weapons'!$K$2,0,(I60+J60+$F$7+$C$75))</f>
        <v>23</v>
      </c>
      <c r="L60" s="10"/>
      <c r="N60" s="10"/>
      <c r="P60" s="65">
        <v>58</v>
      </c>
      <c r="Q60" s="10">
        <v>24</v>
      </c>
      <c r="R60" s="10" t="s">
        <v>5515</v>
      </c>
      <c r="S60" s="10" t="s">
        <v>5516</v>
      </c>
      <c r="T60" s="10">
        <v>87</v>
      </c>
      <c r="U60" s="10">
        <v>26</v>
      </c>
      <c r="V60" s="10">
        <v>79</v>
      </c>
      <c r="W60" s="10">
        <v>10</v>
      </c>
      <c r="X60" s="10">
        <v>17</v>
      </c>
      <c r="Z60" s="10">
        <v>59</v>
      </c>
      <c r="AA60" s="10">
        <v>21</v>
      </c>
      <c r="AC60" s="10">
        <v>59</v>
      </c>
      <c r="AD60" s="10" t="s">
        <v>5517</v>
      </c>
      <c r="AF60" s="12">
        <v>37</v>
      </c>
      <c r="AG60" s="12">
        <v>200000</v>
      </c>
      <c r="AH60" s="12"/>
      <c r="AI60" s="12">
        <v>37</v>
      </c>
      <c r="AJ60" s="12">
        <v>42</v>
      </c>
      <c r="AK60" s="12">
        <v>420</v>
      </c>
      <c r="AL60" s="12">
        <v>100000</v>
      </c>
      <c r="AQ60" s="104">
        <v>5</v>
      </c>
      <c r="AR60" s="14">
        <v>8</v>
      </c>
      <c r="AS60" s="14">
        <v>5</v>
      </c>
      <c r="AT60" s="14">
        <v>4</v>
      </c>
      <c r="AU60" s="14"/>
      <c r="AV60" s="14">
        <v>4</v>
      </c>
      <c r="AW60" s="14">
        <f>COUNTIF(C22:C35,"&gt;4")</f>
        <v>11</v>
      </c>
      <c r="AX60" s="14">
        <f>COUNTIF(C34:C35,"&gt;4")</f>
        <v>2</v>
      </c>
      <c r="AY60" s="14">
        <f t="shared" si="38"/>
        <v>1</v>
      </c>
      <c r="AZ60" s="85">
        <f t="shared" si="39"/>
        <v>1</v>
      </c>
      <c r="BB60" s="185"/>
      <c r="CA60" s="126"/>
      <c r="CB60" s="85"/>
      <c r="CC60" s="20" t="str">
        <f>IF(CA202&gt;0,CA202,"*Enter Armor Type Here*")</f>
        <v>*Enter Armor Type Here*</v>
      </c>
      <c r="CD60" s="21"/>
      <c r="CE60" s="14">
        <f>IF(CG202=" ",LOOKUP(CC60,'Armor-Weapons'!$A$2:$A$46,'Armor-Weapons'!$B$2:$B$46),CG202)</f>
        <v>10</v>
      </c>
      <c r="CF60" s="14">
        <f>IF(CH202=" ",LOOKUP(CC60,'Armor-Weapons'!$A$2:$A$46,'Armor-Weapons'!$C$2:$C$46),CH202)</f>
        <v>3</v>
      </c>
      <c r="CG60" s="14">
        <f>IF(CI202=" ",LOOKUP(CC60,'Armor-Weapons'!$A$2:$A$46,'Armor-Weapons'!$D$2:$D$46),CI202)</f>
        <v>1</v>
      </c>
      <c r="CH60" s="20" t="str">
        <f>IF(CA206&gt;0,CA206,"*Enter Melee*")</f>
        <v>*Enter Melee*</v>
      </c>
      <c r="CI60" s="14">
        <f>IF(CA206&gt;0,CH206,LOOKUP($H$60,'Armor-Weapons'!$K$2:$K$119,'Armor-Weapons'!$L$2:$L$119))</f>
        <v>6</v>
      </c>
      <c r="CJ60" s="14"/>
      <c r="CK60" s="144">
        <f>IF(CH60='Armor-Weapons'!$K$2,0,(CI60+CJ60+$F$7+$C$75))</f>
        <v>0</v>
      </c>
      <c r="CL60" s="10"/>
    </row>
    <row r="61" spans="1:99">
      <c r="A61" s="249"/>
      <c r="B61" s="85"/>
      <c r="C61" s="22" t="str">
        <f>IF(A204&gt;0,A204,"*Enter Shield Type Here*")</f>
        <v>*Enter Shield Type Here*</v>
      </c>
      <c r="D61" s="23"/>
      <c r="E61" s="14">
        <f>IF(G204=" ",LOOKUP(C61,'Armor-Weapons'!$F$2:$F$16,'Armor-Weapons'!$G$2:$G$16),G204)</f>
        <v>0</v>
      </c>
      <c r="F61" s="14">
        <f>IF(H204=" ",LOOKUP(C61,'Armor-Weapons'!$F$2:$F$16,'Armor-Weapons'!$H$2:$H$16),H204)</f>
        <v>0</v>
      </c>
      <c r="G61" s="14">
        <f>IF(I204=" ",LOOKUP(C61,'Armor-Weapons'!$F$2:$F$16,'Armor-Weapons'!$I$2:$I$16),I204)</f>
        <v>0</v>
      </c>
      <c r="H61" s="20" t="s">
        <v>5518</v>
      </c>
      <c r="I61" s="14">
        <f>IF(A207&gt;0,H207,LOOKUP($H$61,'Armor-Weapons'!$K$2:$K$119,'Armor-Weapons'!$L$2:$L$119))</f>
        <v>4</v>
      </c>
      <c r="J61" s="14"/>
      <c r="K61" s="144">
        <f>IF(H61='Armor-Weapons'!$K$2,0,(I61+J61+$F$7+$C$75))</f>
        <v>15</v>
      </c>
      <c r="L61" s="10"/>
      <c r="N61" s="10"/>
      <c r="P61" s="65">
        <v>59</v>
      </c>
      <c r="Q61" s="10">
        <v>24</v>
      </c>
      <c r="R61" s="10" t="s">
        <v>5519</v>
      </c>
      <c r="S61" s="10" t="s">
        <v>5520</v>
      </c>
      <c r="T61" s="10">
        <v>88</v>
      </c>
      <c r="U61" s="10">
        <v>27</v>
      </c>
      <c r="V61" s="10">
        <v>80</v>
      </c>
      <c r="W61" s="10">
        <v>10</v>
      </c>
      <c r="X61" s="10">
        <v>18</v>
      </c>
      <c r="Z61" s="10">
        <v>60</v>
      </c>
      <c r="AA61" s="10">
        <v>21</v>
      </c>
      <c r="AC61" s="10">
        <v>60</v>
      </c>
      <c r="AD61" s="10" t="s">
        <v>5521</v>
      </c>
      <c r="AF61" s="12">
        <v>38</v>
      </c>
      <c r="AG61" s="12">
        <v>225000</v>
      </c>
      <c r="AH61" s="12"/>
      <c r="AI61" s="12">
        <v>38</v>
      </c>
      <c r="AJ61" s="12">
        <v>43</v>
      </c>
      <c r="AK61" s="12">
        <v>440</v>
      </c>
      <c r="AL61" s="12">
        <v>112500</v>
      </c>
      <c r="AQ61" s="104">
        <v>6</v>
      </c>
      <c r="AR61" s="14">
        <v>9</v>
      </c>
      <c r="AS61" s="14">
        <v>6</v>
      </c>
      <c r="AT61" s="14">
        <v>5</v>
      </c>
      <c r="AU61" s="14"/>
      <c r="AV61" s="14">
        <v>5</v>
      </c>
      <c r="AW61" s="14">
        <f>COUNTIF(C22:C37,"&gt;5")</f>
        <v>12</v>
      </c>
      <c r="AX61" s="14">
        <f>COUNTIF(C36:C37,"&gt;5")</f>
        <v>1</v>
      </c>
      <c r="AY61" s="14">
        <f t="shared" si="38"/>
        <v>1</v>
      </c>
      <c r="AZ61" s="85">
        <f t="shared" si="39"/>
        <v>1</v>
      </c>
      <c r="BB61" s="185"/>
      <c r="CA61" s="249"/>
      <c r="CB61" s="85"/>
      <c r="CC61" s="22" t="str">
        <f>IF(CA204&gt;0,CA204,"*Enter Shield Type Here*")</f>
        <v>*Enter Shield Type Here*</v>
      </c>
      <c r="CD61" s="23"/>
      <c r="CE61" s="14">
        <f>IF(CG204=" ",LOOKUP(CC61,'Armor-Weapons'!$F$2:$F$16,'Armor-Weapons'!$G$2:$G$16),CG204)</f>
        <v>0</v>
      </c>
      <c r="CF61" s="14">
        <f>IF(CH204=" ",LOOKUP(CC61,'Armor-Weapons'!$F$2:$F$16,'Armor-Weapons'!$H$2:$H$16),CH204)</f>
        <v>0</v>
      </c>
      <c r="CG61" s="14">
        <f>IF(CI204=" ",LOOKUP(CC61,'Armor-Weapons'!$F$2:$F$16,'Armor-Weapons'!$I$2:$I$16),CI204)</f>
        <v>0</v>
      </c>
      <c r="CH61" s="20" t="str">
        <f>IF(CA207&gt;0,CA207,"*Enter Melee*")</f>
        <v>*Enter Melee*</v>
      </c>
      <c r="CI61" s="14">
        <f>IF(CA207&gt;0,CH207,LOOKUP($H$61,'Armor-Weapons'!$K$2:$K$119,'Armor-Weapons'!$L$2:$L$119))</f>
        <v>4</v>
      </c>
      <c r="CJ61" s="14"/>
      <c r="CK61" s="144">
        <f>IF(CH61='Armor-Weapons'!$K$2,0,(CI61+CJ61+$F$7+$C$75))</f>
        <v>0</v>
      </c>
      <c r="CL61" s="10"/>
    </row>
    <row r="62" spans="1:99">
      <c r="A62" s="126"/>
      <c r="B62" s="85"/>
      <c r="C62" s="17" t="s">
        <v>5522</v>
      </c>
      <c r="D62" s="24"/>
      <c r="E62" s="24"/>
      <c r="F62" s="24"/>
      <c r="G62" s="77"/>
      <c r="H62" s="20" t="s">
        <v>5523</v>
      </c>
      <c r="I62" s="14">
        <f>LOOKUP($H$62,'Armor-Weapons'!$K$2:$K$119,'Armor-Weapons'!$L$2:$L$119)</f>
        <v>4</v>
      </c>
      <c r="J62" s="14"/>
      <c r="K62" s="144">
        <f>IF(H62='Armor-Weapons'!$K$2,0,(I62+J62+$F$7+$C$75))</f>
        <v>15</v>
      </c>
      <c r="L62" s="10"/>
      <c r="M62" s="9" t="str">
        <f>A212</f>
        <v>Group Thread to Ngaroc, Spell Defense</v>
      </c>
      <c r="N62" s="10"/>
      <c r="P62" s="65">
        <v>60</v>
      </c>
      <c r="Q62" s="10">
        <v>25</v>
      </c>
      <c r="R62" s="10" t="s">
        <v>5524</v>
      </c>
      <c r="S62" s="10" t="s">
        <v>5525</v>
      </c>
      <c r="T62" s="10">
        <v>89</v>
      </c>
      <c r="U62" s="10">
        <v>27</v>
      </c>
      <c r="V62" s="10">
        <v>81</v>
      </c>
      <c r="W62" s="10">
        <v>10</v>
      </c>
      <c r="X62" s="10">
        <v>18</v>
      </c>
      <c r="Z62" s="10">
        <v>61</v>
      </c>
      <c r="AA62" s="10">
        <v>22</v>
      </c>
      <c r="AC62" s="10">
        <v>61</v>
      </c>
      <c r="AD62" s="10" t="s">
        <v>5697</v>
      </c>
      <c r="AF62" s="12">
        <v>39</v>
      </c>
      <c r="AG62" s="12">
        <v>250000</v>
      </c>
      <c r="AH62" s="12"/>
      <c r="AI62" s="12">
        <v>39</v>
      </c>
      <c r="AJ62" s="12">
        <v>44</v>
      </c>
      <c r="AK62" s="12">
        <v>460</v>
      </c>
      <c r="AL62" s="12">
        <v>125000</v>
      </c>
      <c r="AQ62" s="104">
        <v>7</v>
      </c>
      <c r="AR62" s="14">
        <v>10</v>
      </c>
      <c r="AS62" s="14">
        <v>7</v>
      </c>
      <c r="AT62" s="14">
        <v>6</v>
      </c>
      <c r="AU62" s="14"/>
      <c r="AV62" s="14">
        <v>6</v>
      </c>
      <c r="AW62" s="14">
        <f>COUNTIF(C22:C39,"&gt;6")</f>
        <v>13</v>
      </c>
      <c r="AX62" s="14">
        <f>COUNTIF(C38:C39,"&gt;6")</f>
        <v>2</v>
      </c>
      <c r="AY62" s="14">
        <f t="shared" si="38"/>
        <v>1</v>
      </c>
      <c r="AZ62" s="85">
        <f t="shared" si="39"/>
        <v>1</v>
      </c>
      <c r="BB62" s="185"/>
      <c r="CA62" s="126"/>
      <c r="CB62" s="85"/>
      <c r="CC62" s="17" t="s">
        <v>5522</v>
      </c>
      <c r="CD62" s="24"/>
      <c r="CE62" s="24"/>
      <c r="CF62" s="24"/>
      <c r="CG62" s="77"/>
      <c r="CH62" s="20" t="s">
        <v>5698</v>
      </c>
      <c r="CI62" s="14">
        <f>LOOKUP($H$62,'Armor-Weapons'!$K$2:$K$119,'Armor-Weapons'!$L$2:$L$119)</f>
        <v>4</v>
      </c>
      <c r="CJ62" s="14"/>
      <c r="CK62" s="144">
        <f>IF(CH62='Armor-Weapons'!$K$2,0,(CI62+CJ62+$F$7+$C$75))</f>
        <v>0</v>
      </c>
      <c r="CL62" s="10"/>
    </row>
    <row r="63" spans="1:99">
      <c r="A63" s="126"/>
      <c r="B63" s="85"/>
      <c r="C63" s="25" t="s">
        <v>5699</v>
      </c>
      <c r="D63" s="26" t="s">
        <v>5700</v>
      </c>
      <c r="E63" s="26"/>
      <c r="F63" s="26" t="s">
        <v>5701</v>
      </c>
      <c r="G63" s="28"/>
      <c r="H63" s="20" t="str">
        <f>IF(K180&gt;=K195,J180,J195)</f>
        <v>Unarmed</v>
      </c>
      <c r="I63" s="14">
        <f>IF(K180&gt;=K195,K180,K195)</f>
        <v>12</v>
      </c>
      <c r="J63" s="14"/>
      <c r="K63" s="144">
        <f>I63+J63+F7+C75</f>
        <v>23</v>
      </c>
      <c r="L63" s="10"/>
      <c r="M63" s="9" t="str">
        <f>A213</f>
        <v>Group Thread to Physical Defense</v>
      </c>
      <c r="N63" s="10"/>
      <c r="P63" s="65">
        <v>61</v>
      </c>
      <c r="Q63" s="10">
        <v>25</v>
      </c>
      <c r="R63" s="10" t="s">
        <v>5702</v>
      </c>
      <c r="S63" s="10" t="s">
        <v>5703</v>
      </c>
      <c r="T63" s="10">
        <v>90</v>
      </c>
      <c r="U63" s="10">
        <v>27</v>
      </c>
      <c r="V63" s="10">
        <v>82</v>
      </c>
      <c r="W63" s="10">
        <v>10</v>
      </c>
      <c r="X63" s="10">
        <v>18</v>
      </c>
      <c r="Z63" s="10">
        <v>62</v>
      </c>
      <c r="AA63" s="10">
        <v>22</v>
      </c>
      <c r="AC63" s="10">
        <v>62</v>
      </c>
      <c r="AD63" s="10" t="s">
        <v>5704</v>
      </c>
      <c r="AF63" s="12">
        <v>40</v>
      </c>
      <c r="AG63" s="12">
        <v>275000</v>
      </c>
      <c r="AH63" s="12"/>
      <c r="AI63" s="12">
        <v>40</v>
      </c>
      <c r="AJ63" s="12">
        <v>45</v>
      </c>
      <c r="AK63" s="12">
        <v>480</v>
      </c>
      <c r="AL63" s="12">
        <v>137500</v>
      </c>
      <c r="AQ63" s="104">
        <v>8</v>
      </c>
      <c r="AR63" s="14">
        <v>11</v>
      </c>
      <c r="AS63" s="14">
        <v>8</v>
      </c>
      <c r="AT63" s="14">
        <v>7</v>
      </c>
      <c r="AU63" s="14"/>
      <c r="AV63" s="14">
        <v>7</v>
      </c>
      <c r="AW63" s="14">
        <f>COUNTIF(C22:C41,"&gt;7")</f>
        <v>14</v>
      </c>
      <c r="AX63" s="14">
        <f>COUNTIF(C40:C41,"&gt;7")</f>
        <v>1</v>
      </c>
      <c r="AY63" s="14">
        <f t="shared" si="38"/>
        <v>1</v>
      </c>
      <c r="AZ63" s="85">
        <f t="shared" si="39"/>
        <v>1</v>
      </c>
      <c r="BB63" s="185"/>
      <c r="CA63" s="126"/>
      <c r="CB63" s="85"/>
      <c r="CC63" s="25" t="s">
        <v>5699</v>
      </c>
      <c r="CD63" s="26" t="s">
        <v>5700</v>
      </c>
      <c r="CE63" s="26"/>
      <c r="CF63" s="26" t="s">
        <v>5701</v>
      </c>
      <c r="CG63" s="28"/>
      <c r="CH63" s="20" t="str">
        <f>IF(CK180&gt;=CK195,CJ180,CJ195)</f>
        <v>Unarmed</v>
      </c>
      <c r="CI63" s="14">
        <f>IF(CK180&gt;=CK195,CK180,CK195)</f>
        <v>0</v>
      </c>
      <c r="CJ63" s="14"/>
      <c r="CK63" s="144">
        <f>CI63+CJ63+CF7+CC75</f>
        <v>0</v>
      </c>
      <c r="CL63" s="10"/>
    </row>
    <row r="64" spans="1:99">
      <c r="A64" s="249"/>
      <c r="B64" s="85"/>
      <c r="C64" s="52">
        <v>4</v>
      </c>
      <c r="D64" s="87" t="s">
        <v>5590</v>
      </c>
      <c r="E64" s="21"/>
      <c r="F64" s="44" t="s">
        <v>5530</v>
      </c>
      <c r="G64" s="45"/>
      <c r="H64" s="20" t="s">
        <v>5531</v>
      </c>
      <c r="I64" s="14">
        <f>IF(A209&gt;0,H209,LOOKUP($H$64,'Armor-Weapons'!$P$2:$P$54,'Armor-Weapons'!$Q$2:$Q$54))</f>
        <v>4</v>
      </c>
      <c r="J64" s="14"/>
      <c r="K64" s="144">
        <f>IF(H64='Armor-Weapons'!$P$2,0,(I64+J64+$F$7+$C$75))</f>
        <v>15</v>
      </c>
      <c r="L64" s="10"/>
      <c r="M64" s="9" t="str">
        <f>A214</f>
        <v>Group Thread to Spell Defense</v>
      </c>
      <c r="N64" s="10"/>
      <c r="P64" s="65">
        <v>62</v>
      </c>
      <c r="Q64" s="10">
        <v>25</v>
      </c>
      <c r="R64" s="10" t="s">
        <v>5532</v>
      </c>
      <c r="S64" s="10" t="s">
        <v>5533</v>
      </c>
      <c r="T64" s="10">
        <v>91</v>
      </c>
      <c r="U64" s="10">
        <v>28</v>
      </c>
      <c r="V64" s="10">
        <v>83</v>
      </c>
      <c r="W64" s="10">
        <v>11</v>
      </c>
      <c r="X64" s="10">
        <v>19</v>
      </c>
      <c r="Z64" s="10">
        <v>63</v>
      </c>
      <c r="AA64" s="10">
        <v>22</v>
      </c>
      <c r="AC64" s="10">
        <v>63</v>
      </c>
      <c r="AD64" s="10" t="s">
        <v>5534</v>
      </c>
      <c r="AH64" s="12"/>
      <c r="AQ64" s="104">
        <v>9</v>
      </c>
      <c r="AR64" s="14">
        <v>12</v>
      </c>
      <c r="AS64" s="14">
        <v>9</v>
      </c>
      <c r="AT64" s="14">
        <v>8</v>
      </c>
      <c r="AU64" s="14"/>
      <c r="AV64" s="14">
        <v>8</v>
      </c>
      <c r="AW64" s="14">
        <f>COUNTIF(C22:C43,"&gt;8")</f>
        <v>12</v>
      </c>
      <c r="AX64" s="14">
        <f>COUNTIF(C42:C43,"&gt;8")</f>
        <v>0</v>
      </c>
      <c r="AY64" s="14">
        <f t="shared" si="38"/>
        <v>1</v>
      </c>
      <c r="AZ64" s="85">
        <f t="shared" si="39"/>
        <v>0</v>
      </c>
      <c r="BB64" s="185"/>
      <c r="CA64" s="249"/>
      <c r="CB64" s="85"/>
      <c r="CC64" s="52">
        <v>0</v>
      </c>
      <c r="CD64" s="87" t="s">
        <v>5590</v>
      </c>
      <c r="CE64" s="21"/>
      <c r="CF64" s="44"/>
      <c r="CG64" s="45"/>
      <c r="CH64" s="20" t="str">
        <f>IF(CA209&gt;0,CA209,"*Enter Missile*")</f>
        <v>*Enter Missile*</v>
      </c>
      <c r="CI64" s="14">
        <f>IF(CA209&gt;0,CH209,LOOKUP($H$64,'Armor-Weapons'!$P$2:$P$54,'Armor-Weapons'!$Q$2:$Q$54))</f>
        <v>4</v>
      </c>
      <c r="CJ64" s="14"/>
      <c r="CK64" s="144">
        <f>IF(CH64='Armor-Weapons'!$P$2,0,(CI64+CJ64+$F$7+$C$75))</f>
        <v>0</v>
      </c>
      <c r="CL64" s="10"/>
    </row>
    <row r="65" spans="1:90">
      <c r="A65" s="126"/>
      <c r="B65" s="85"/>
      <c r="C65" s="52">
        <v>1</v>
      </c>
      <c r="D65" s="21" t="s">
        <v>5651</v>
      </c>
      <c r="E65" s="21"/>
      <c r="F65" s="44" t="s">
        <v>5535</v>
      </c>
      <c r="G65" s="45"/>
      <c r="H65" s="20" t="s">
        <v>5536</v>
      </c>
      <c r="I65" s="14">
        <f>IF(A210&gt;0,H210,LOOKUP($H$65,'Armor-Weapons'!$P$2:$P$54,'Armor-Weapons'!$Q$2:$Q$54))</f>
        <v>4</v>
      </c>
      <c r="J65" s="14"/>
      <c r="K65" s="144">
        <f>IF(H65='Armor-Weapons'!$P$2,0,(I65+J65+$F$7+$C$75))</f>
        <v>15</v>
      </c>
      <c r="L65" s="10"/>
      <c r="M65" s="9" t="str">
        <f>A215</f>
        <v>Group Thread to Wound Threshhold</v>
      </c>
      <c r="N65" s="10"/>
      <c r="P65" s="65">
        <v>63</v>
      </c>
      <c r="Q65" s="10">
        <v>26</v>
      </c>
      <c r="R65" s="10" t="s">
        <v>5537</v>
      </c>
      <c r="S65" s="10" t="s">
        <v>5538</v>
      </c>
      <c r="T65" s="10">
        <v>92</v>
      </c>
      <c r="U65" s="10">
        <v>28</v>
      </c>
      <c r="V65" s="10">
        <v>84</v>
      </c>
      <c r="W65" s="10">
        <v>11</v>
      </c>
      <c r="X65" s="10">
        <v>19</v>
      </c>
      <c r="Z65" s="10">
        <v>64</v>
      </c>
      <c r="AA65" s="10">
        <v>23</v>
      </c>
      <c r="AC65" s="10">
        <v>64</v>
      </c>
      <c r="AD65" s="10" t="s">
        <v>5712</v>
      </c>
      <c r="AH65" s="12"/>
      <c r="AQ65" s="104">
        <v>10</v>
      </c>
      <c r="AR65" s="14">
        <v>13</v>
      </c>
      <c r="AS65" s="14">
        <v>10</v>
      </c>
      <c r="AT65" s="14">
        <v>9</v>
      </c>
      <c r="AU65" s="14"/>
      <c r="AV65" s="14">
        <v>9</v>
      </c>
      <c r="AW65" s="14">
        <f>COUNTIF(C22:C46,"&gt;9")</f>
        <v>2</v>
      </c>
      <c r="AX65" s="14">
        <f>COUNTIF(C44:C46,"&gt;9")</f>
        <v>0</v>
      </c>
      <c r="AY65" s="14">
        <f t="shared" si="38"/>
        <v>0</v>
      </c>
      <c r="AZ65" s="85">
        <f t="shared" si="39"/>
        <v>0</v>
      </c>
      <c r="BB65" s="185"/>
      <c r="CA65" s="126"/>
      <c r="CB65" s="85"/>
      <c r="CC65" s="52">
        <v>0</v>
      </c>
      <c r="CD65" s="21" t="s">
        <v>5651</v>
      </c>
      <c r="CE65" s="21"/>
      <c r="CF65" s="44"/>
      <c r="CG65" s="45"/>
      <c r="CH65" s="20" t="str">
        <f>IF(CA210&gt;0,CA210,"*Enter Missile*")</f>
        <v>*Enter Missile*</v>
      </c>
      <c r="CI65" s="14">
        <f>IF(CA210&gt;0,CH210,LOOKUP($H$65,'Armor-Weapons'!$P$2:$P$54,'Armor-Weapons'!$Q$2:$Q$54))</f>
        <v>4</v>
      </c>
      <c r="CJ65" s="14"/>
      <c r="CK65" s="144">
        <f>IF(CH65='Armor-Weapons'!$P$2,0,(CI65+CJ65+$F$7+$C$75))</f>
        <v>0</v>
      </c>
      <c r="CL65" s="10"/>
    </row>
    <row r="66" spans="1:90">
      <c r="A66" s="126"/>
      <c r="B66" s="85"/>
      <c r="C66" s="52">
        <v>0</v>
      </c>
      <c r="D66" s="21" t="s">
        <v>5466</v>
      </c>
      <c r="E66" s="21"/>
      <c r="F66" s="44"/>
      <c r="G66" s="45"/>
      <c r="H66" s="17" t="s">
        <v>5713</v>
      </c>
      <c r="I66" s="84"/>
      <c r="J66" s="84"/>
      <c r="K66" s="145"/>
      <c r="L66" s="10"/>
      <c r="M66" s="9">
        <f t="shared" ref="M66:M71" si="40">A221</f>
        <v>0</v>
      </c>
      <c r="N66" s="10"/>
      <c r="P66" s="65">
        <v>64</v>
      </c>
      <c r="Q66" s="10">
        <v>26</v>
      </c>
      <c r="R66" s="10" t="s">
        <v>5714</v>
      </c>
      <c r="S66" s="10" t="s">
        <v>5541</v>
      </c>
      <c r="T66" s="10">
        <v>93</v>
      </c>
      <c r="U66" s="10">
        <v>28</v>
      </c>
      <c r="V66" s="10">
        <v>85</v>
      </c>
      <c r="W66" s="10">
        <v>11</v>
      </c>
      <c r="X66" s="10">
        <v>19</v>
      </c>
      <c r="Z66" s="10">
        <v>65</v>
      </c>
      <c r="AA66" s="10">
        <v>23</v>
      </c>
      <c r="AC66" s="10">
        <v>65</v>
      </c>
      <c r="AD66" s="10" t="s">
        <v>5542</v>
      </c>
      <c r="AH66" s="12"/>
      <c r="AQ66" s="104">
        <v>11</v>
      </c>
      <c r="AR66" s="14">
        <v>14</v>
      </c>
      <c r="AS66" s="14">
        <v>11</v>
      </c>
      <c r="AT66" s="14">
        <v>10</v>
      </c>
      <c r="AU66" s="14"/>
      <c r="AV66" s="14">
        <v>10</v>
      </c>
      <c r="AW66" s="14">
        <f>COUNTIF(C22:C48,"&gt;10")</f>
        <v>1</v>
      </c>
      <c r="AX66" s="14">
        <f>COUNTIF(C47:C48,"&gt;10")</f>
        <v>0</v>
      </c>
      <c r="AY66" s="14">
        <f t="shared" si="38"/>
        <v>0</v>
      </c>
      <c r="AZ66" s="85">
        <f t="shared" si="39"/>
        <v>0</v>
      </c>
      <c r="BB66" s="185"/>
      <c r="CA66" s="126"/>
      <c r="CB66" s="85"/>
      <c r="CC66" s="52">
        <v>0</v>
      </c>
      <c r="CD66" s="21" t="s">
        <v>5466</v>
      </c>
      <c r="CE66" s="21"/>
      <c r="CF66" s="44"/>
      <c r="CG66" s="45"/>
      <c r="CH66" s="17" t="s">
        <v>5713</v>
      </c>
      <c r="CI66" s="84"/>
      <c r="CJ66" s="84"/>
      <c r="CK66" s="145"/>
      <c r="CL66" s="10"/>
    </row>
    <row r="67" spans="1:90">
      <c r="A67" s="249"/>
      <c r="B67" s="85"/>
      <c r="C67" s="52">
        <v>0</v>
      </c>
      <c r="D67" s="21" t="s">
        <v>5283</v>
      </c>
      <c r="E67" s="21"/>
      <c r="F67" s="44"/>
      <c r="G67" s="45"/>
      <c r="H67" s="20" t="str">
        <f>IF($D$2&gt;3,$H$173,$L$81)</f>
        <v>Karma on a recovery test</v>
      </c>
      <c r="I67" s="21"/>
      <c r="J67" s="21"/>
      <c r="K67" s="135"/>
      <c r="L67" s="10"/>
      <c r="M67" s="9">
        <f t="shared" si="40"/>
        <v>0</v>
      </c>
      <c r="N67" s="10"/>
      <c r="P67" s="65">
        <v>65</v>
      </c>
      <c r="Q67" s="10">
        <v>26</v>
      </c>
      <c r="R67" s="10" t="s">
        <v>5543</v>
      </c>
      <c r="S67" s="10" t="s">
        <v>5544</v>
      </c>
      <c r="T67" s="10">
        <v>94</v>
      </c>
      <c r="U67" s="10">
        <v>29</v>
      </c>
      <c r="V67" s="10">
        <v>86</v>
      </c>
      <c r="W67" s="10">
        <v>11</v>
      </c>
      <c r="X67" s="10">
        <v>20</v>
      </c>
      <c r="Z67" s="10">
        <v>66</v>
      </c>
      <c r="AA67" s="10">
        <v>23</v>
      </c>
      <c r="AC67" s="10">
        <v>66</v>
      </c>
      <c r="AD67" s="10" t="s">
        <v>5545</v>
      </c>
      <c r="AH67" s="12"/>
      <c r="AQ67" s="104">
        <v>12</v>
      </c>
      <c r="AR67" s="14">
        <v>15</v>
      </c>
      <c r="AS67" s="14">
        <v>11</v>
      </c>
      <c r="AT67" s="14">
        <v>11</v>
      </c>
      <c r="AU67" s="14"/>
      <c r="AV67" s="14">
        <v>11</v>
      </c>
      <c r="AW67" s="14">
        <f>COUNTIF(C22:C50,"&gt;10")</f>
        <v>1</v>
      </c>
      <c r="AX67" s="14">
        <f>COUNTIF(C49:C50,"&gt;10")</f>
        <v>0</v>
      </c>
      <c r="AY67" s="14">
        <f t="shared" si="38"/>
        <v>0</v>
      </c>
      <c r="AZ67" s="85">
        <f t="shared" si="39"/>
        <v>0</v>
      </c>
      <c r="BB67" s="185"/>
      <c r="CA67" s="249"/>
      <c r="CB67" s="85"/>
      <c r="CC67" s="52">
        <v>0</v>
      </c>
      <c r="CD67" s="21" t="s">
        <v>5283</v>
      </c>
      <c r="CE67" s="21"/>
      <c r="CF67" s="44"/>
      <c r="CG67" s="45"/>
      <c r="CH67" s="20"/>
      <c r="CI67" s="21"/>
      <c r="CJ67" s="21"/>
      <c r="CK67" s="135"/>
      <c r="CL67" s="10"/>
    </row>
    <row r="68" spans="1:90">
      <c r="A68" s="126"/>
      <c r="B68" s="85"/>
      <c r="C68" s="52">
        <v>2</v>
      </c>
      <c r="D68" s="21" t="s">
        <v>5833</v>
      </c>
      <c r="E68" s="21"/>
      <c r="F68" s="44" t="s">
        <v>5535</v>
      </c>
      <c r="G68" s="45"/>
      <c r="H68" s="20" t="str">
        <f>IF($D$2&gt;5,$H$175,$L$81)</f>
        <v>Karma on strength tests</v>
      </c>
      <c r="I68" s="21"/>
      <c r="J68" s="21"/>
      <c r="K68" s="135"/>
      <c r="L68" s="10"/>
      <c r="M68" s="9">
        <f t="shared" si="40"/>
        <v>0</v>
      </c>
      <c r="N68" s="10"/>
      <c r="P68" s="65">
        <v>66</v>
      </c>
      <c r="Q68" s="10">
        <v>27</v>
      </c>
      <c r="R68" s="10" t="s">
        <v>5546</v>
      </c>
      <c r="S68" s="10" t="s">
        <v>5547</v>
      </c>
      <c r="T68" s="10">
        <v>95</v>
      </c>
      <c r="U68" s="10">
        <v>29</v>
      </c>
      <c r="V68" s="10">
        <v>87</v>
      </c>
      <c r="W68" s="10">
        <v>11</v>
      </c>
      <c r="X68" s="10">
        <v>20</v>
      </c>
      <c r="Z68" s="10">
        <v>67</v>
      </c>
      <c r="AA68" s="10">
        <v>24</v>
      </c>
      <c r="AC68" s="10">
        <v>67</v>
      </c>
      <c r="AD68" s="10" t="s">
        <v>5548</v>
      </c>
      <c r="AH68" s="12"/>
      <c r="AQ68" s="104">
        <v>13</v>
      </c>
      <c r="AR68" s="14">
        <v>16</v>
      </c>
      <c r="AS68" s="14">
        <v>12</v>
      </c>
      <c r="AT68" s="14">
        <v>12</v>
      </c>
      <c r="AU68" s="14"/>
      <c r="AV68" s="14">
        <v>12</v>
      </c>
      <c r="AW68" s="14">
        <f>COUNTIF(C22:C52,"&gt;11")</f>
        <v>0</v>
      </c>
      <c r="AX68" s="14">
        <f>COUNTIF(C51:C52,"&gt;11")</f>
        <v>0</v>
      </c>
      <c r="AY68" s="14">
        <f t="shared" si="38"/>
        <v>0</v>
      </c>
      <c r="AZ68" s="85">
        <f t="shared" si="39"/>
        <v>0</v>
      </c>
      <c r="BB68" s="185"/>
      <c r="CA68" s="126"/>
      <c r="CB68" s="85"/>
      <c r="CC68" s="52">
        <v>0</v>
      </c>
      <c r="CD68" s="21" t="s">
        <v>5833</v>
      </c>
      <c r="CE68" s="21"/>
      <c r="CF68" s="44"/>
      <c r="CG68" s="45"/>
      <c r="CH68" s="20"/>
      <c r="CI68" s="21"/>
      <c r="CJ68" s="21"/>
      <c r="CK68" s="135"/>
      <c r="CL68" s="10"/>
    </row>
    <row r="69" spans="1:90">
      <c r="A69" s="126"/>
      <c r="B69" s="85"/>
      <c r="C69" s="52">
        <v>0</v>
      </c>
      <c r="D69" s="21" t="s">
        <v>5711</v>
      </c>
      <c r="E69" s="21"/>
      <c r="F69" s="44"/>
      <c r="G69" s="45"/>
      <c r="H69" s="20" t="str">
        <f>IF($D$2&gt;7,$H$177,$L$81)</f>
        <v>Karma on willpower tests</v>
      </c>
      <c r="I69" s="21"/>
      <c r="J69" s="21"/>
      <c r="K69" s="135"/>
      <c r="L69" s="10"/>
      <c r="M69" s="9">
        <f t="shared" si="40"/>
        <v>0</v>
      </c>
      <c r="N69" s="10"/>
      <c r="P69" s="65">
        <v>67</v>
      </c>
      <c r="Q69" s="10">
        <v>27</v>
      </c>
      <c r="R69" s="10" t="s">
        <v>5549</v>
      </c>
      <c r="S69" s="10" t="s">
        <v>5550</v>
      </c>
      <c r="T69" s="10">
        <v>96</v>
      </c>
      <c r="U69" s="10">
        <v>29</v>
      </c>
      <c r="V69" s="10">
        <v>88</v>
      </c>
      <c r="W69" s="10">
        <v>11</v>
      </c>
      <c r="X69" s="10">
        <v>20</v>
      </c>
      <c r="Z69" s="10">
        <v>68</v>
      </c>
      <c r="AA69" s="10">
        <v>24</v>
      </c>
      <c r="AC69" s="10">
        <v>68</v>
      </c>
      <c r="AD69" s="10" t="s">
        <v>5551</v>
      </c>
      <c r="AH69" s="12"/>
      <c r="AQ69" s="104">
        <v>14</v>
      </c>
      <c r="AR69" s="14">
        <v>17</v>
      </c>
      <c r="AS69" s="14">
        <v>12</v>
      </c>
      <c r="AT69" s="14">
        <v>13</v>
      </c>
      <c r="AU69" s="14"/>
      <c r="AV69" s="14">
        <v>13</v>
      </c>
      <c r="AW69" s="14">
        <f>COUNTIF(C22:C54,"&gt;11")</f>
        <v>0</v>
      </c>
      <c r="AX69" s="14">
        <f>COUNTIF(C53:C54,"&gt;11")</f>
        <v>0</v>
      </c>
      <c r="AY69" s="14">
        <f t="shared" si="38"/>
        <v>0</v>
      </c>
      <c r="AZ69" s="85">
        <f t="shared" si="39"/>
        <v>0</v>
      </c>
      <c r="BB69" s="185"/>
      <c r="CA69" s="126"/>
      <c r="CB69" s="85"/>
      <c r="CC69" s="52">
        <v>0</v>
      </c>
      <c r="CD69" s="21" t="s">
        <v>5711</v>
      </c>
      <c r="CE69" s="21"/>
      <c r="CF69" s="44"/>
      <c r="CG69" s="45"/>
      <c r="CH69" s="20"/>
      <c r="CI69" s="21"/>
      <c r="CJ69" s="21"/>
      <c r="CK69" s="135"/>
      <c r="CL69" s="10"/>
    </row>
    <row r="70" spans="1:90">
      <c r="A70" s="141"/>
      <c r="B70" s="88"/>
      <c r="C70" s="52">
        <v>0</v>
      </c>
      <c r="D70" s="21" t="s">
        <v>5718</v>
      </c>
      <c r="E70" s="21"/>
      <c r="F70" s="44"/>
      <c r="G70" s="45"/>
      <c r="H70" s="20" t="str">
        <f>IF($D$2&gt;11,$H$181,$L$81)</f>
        <v>Not Available</v>
      </c>
      <c r="I70" s="21"/>
      <c r="J70" s="21"/>
      <c r="K70" s="135"/>
      <c r="L70" s="10"/>
      <c r="M70" s="9">
        <f t="shared" si="40"/>
        <v>0</v>
      </c>
      <c r="N70" s="10"/>
      <c r="P70" s="65">
        <v>68</v>
      </c>
      <c r="Q70" s="10">
        <v>27</v>
      </c>
      <c r="R70" s="10" t="s">
        <v>5552</v>
      </c>
      <c r="S70" s="10" t="s">
        <v>5553</v>
      </c>
      <c r="T70" s="10">
        <v>97</v>
      </c>
      <c r="U70" s="10">
        <v>30</v>
      </c>
      <c r="V70" s="10">
        <v>89</v>
      </c>
      <c r="W70" s="10">
        <v>12</v>
      </c>
      <c r="X70" s="10">
        <v>21</v>
      </c>
      <c r="Z70" s="10">
        <v>69</v>
      </c>
      <c r="AA70" s="10">
        <v>24</v>
      </c>
      <c r="AC70" s="10">
        <v>69</v>
      </c>
      <c r="AD70" s="10" t="s">
        <v>5336</v>
      </c>
      <c r="AH70" s="12"/>
      <c r="AQ70" s="104">
        <v>15</v>
      </c>
      <c r="AR70" s="14">
        <v>18</v>
      </c>
      <c r="AS70" s="14">
        <v>13</v>
      </c>
      <c r="AT70" s="14">
        <v>14</v>
      </c>
      <c r="AU70" s="14"/>
      <c r="AV70" s="14">
        <v>14</v>
      </c>
      <c r="AW70" s="14">
        <f>COUNTIF(C22:C56,"&gt;12")</f>
        <v>0</v>
      </c>
      <c r="AX70" s="14">
        <f>COUNTIF(C55:C56,"&gt;12")</f>
        <v>0</v>
      </c>
      <c r="AY70" s="14">
        <f t="shared" si="38"/>
        <v>0</v>
      </c>
      <c r="AZ70" s="85">
        <f t="shared" si="39"/>
        <v>0</v>
      </c>
      <c r="BB70" s="185"/>
      <c r="CA70" s="141"/>
      <c r="CB70" s="88"/>
      <c r="CC70" s="52">
        <v>0</v>
      </c>
      <c r="CD70" s="21" t="s">
        <v>5718</v>
      </c>
      <c r="CE70" s="21"/>
      <c r="CF70" s="44"/>
      <c r="CG70" s="45"/>
      <c r="CH70" s="20"/>
      <c r="CI70" s="21"/>
      <c r="CJ70" s="21"/>
      <c r="CK70" s="135"/>
      <c r="CL70" s="10"/>
    </row>
    <row r="71" spans="1:90">
      <c r="A71" s="129" t="s">
        <v>5337</v>
      </c>
      <c r="B71" s="28"/>
      <c r="C71" s="52">
        <v>1</v>
      </c>
      <c r="D71" s="21" t="s">
        <v>5555</v>
      </c>
      <c r="E71" s="21"/>
      <c r="F71" s="44" t="s">
        <v>5140</v>
      </c>
      <c r="G71" s="45"/>
      <c r="H71" s="20" t="str">
        <f>IF($D$2&gt;12,$H$182,$L$81)</f>
        <v>Not Available</v>
      </c>
      <c r="I71" s="21"/>
      <c r="J71" s="21"/>
      <c r="K71" s="135"/>
      <c r="L71" s="10"/>
      <c r="M71" s="9">
        <f t="shared" si="40"/>
        <v>0</v>
      </c>
      <c r="N71" s="10"/>
      <c r="P71" s="65">
        <v>69</v>
      </c>
      <c r="Q71" s="10">
        <v>28</v>
      </c>
      <c r="R71" s="10" t="s">
        <v>5141</v>
      </c>
      <c r="S71" s="10" t="s">
        <v>5142</v>
      </c>
      <c r="T71" s="10">
        <v>98</v>
      </c>
      <c r="U71" s="10">
        <v>30</v>
      </c>
      <c r="V71" s="10">
        <v>90</v>
      </c>
      <c r="W71" s="10">
        <v>12</v>
      </c>
      <c r="X71" s="10">
        <v>21</v>
      </c>
      <c r="Z71" s="10">
        <v>70</v>
      </c>
      <c r="AA71" s="10">
        <v>25</v>
      </c>
      <c r="AC71" s="10">
        <v>70</v>
      </c>
      <c r="AD71" s="10" t="s">
        <v>5143</v>
      </c>
      <c r="AH71" s="12"/>
      <c r="AQ71" s="20"/>
      <c r="AR71" s="21"/>
      <c r="AS71" s="21"/>
      <c r="AT71" s="21"/>
      <c r="AU71" s="21"/>
      <c r="AV71" s="14">
        <v>15</v>
      </c>
      <c r="AW71" s="14"/>
      <c r="AX71" s="14"/>
      <c r="AY71" s="14"/>
      <c r="AZ71" s="85">
        <f t="shared" si="39"/>
        <v>0</v>
      </c>
      <c r="BB71" s="185"/>
      <c r="CA71" s="129" t="s">
        <v>5337</v>
      </c>
      <c r="CB71" s="28"/>
      <c r="CC71" s="52">
        <v>0</v>
      </c>
      <c r="CD71" s="21" t="s">
        <v>5555</v>
      </c>
      <c r="CE71" s="21"/>
      <c r="CF71" s="44"/>
      <c r="CG71" s="45"/>
      <c r="CH71" s="20"/>
      <c r="CI71" s="21"/>
      <c r="CJ71" s="21"/>
      <c r="CK71" s="135"/>
      <c r="CL71" s="10"/>
    </row>
    <row r="72" spans="1:90">
      <c r="A72" s="146" t="str">
        <f>LOOKUP($B$3,$BL$3:$BL$19,$BN$3:$BN$19)</f>
        <v>Heat-sight 250 yards</v>
      </c>
      <c r="B72" s="28"/>
      <c r="C72" s="52">
        <v>0</v>
      </c>
      <c r="D72" s="44" t="s">
        <v>5343</v>
      </c>
      <c r="E72" s="21"/>
      <c r="F72" s="44"/>
      <c r="G72" s="45"/>
      <c r="H72" s="20"/>
      <c r="I72" s="21"/>
      <c r="J72" s="21"/>
      <c r="K72" s="135"/>
      <c r="L72" s="10">
        <v>0</v>
      </c>
      <c r="N72" s="10"/>
      <c r="P72" s="65">
        <v>70</v>
      </c>
      <c r="Q72" s="10">
        <v>28</v>
      </c>
      <c r="R72" s="10" t="s">
        <v>5344</v>
      </c>
      <c r="S72" s="10" t="s">
        <v>5345</v>
      </c>
      <c r="T72" s="10">
        <v>99</v>
      </c>
      <c r="U72" s="10">
        <v>30</v>
      </c>
      <c r="V72" s="10">
        <v>91</v>
      </c>
      <c r="W72" s="10">
        <v>12</v>
      </c>
      <c r="X72" s="10">
        <v>21</v>
      </c>
      <c r="Z72" s="10">
        <v>71</v>
      </c>
      <c r="AA72" s="10">
        <v>25</v>
      </c>
      <c r="AC72" s="10">
        <v>71</v>
      </c>
      <c r="AD72" s="10" t="s">
        <v>5346</v>
      </c>
      <c r="AH72" s="12"/>
      <c r="AQ72" s="20"/>
      <c r="AR72" s="21"/>
      <c r="AS72" s="21"/>
      <c r="AT72" s="21"/>
      <c r="AU72" s="21"/>
      <c r="AV72" s="26" t="s">
        <v>5347</v>
      </c>
      <c r="AW72" s="108"/>
      <c r="AX72" s="21"/>
      <c r="AY72" s="14"/>
      <c r="AZ72" s="85">
        <f>IF(AZ73=15,15,AZ73+1)</f>
        <v>8</v>
      </c>
      <c r="BB72" s="185"/>
      <c r="CA72" s="146" t="str">
        <f>LOOKUP($B$3,$BL$3:$BL$19,$BN$3:$BN$19)</f>
        <v>Heat-sight 250 yards</v>
      </c>
      <c r="CB72" s="28"/>
      <c r="CC72" s="52">
        <v>0</v>
      </c>
      <c r="CD72" s="44" t="s">
        <v>5343</v>
      </c>
      <c r="CE72" s="21"/>
      <c r="CF72" s="44"/>
      <c r="CG72" s="45"/>
      <c r="CH72" s="20"/>
      <c r="CI72" s="21"/>
      <c r="CJ72" s="21"/>
      <c r="CK72" s="135"/>
      <c r="CL72" s="10">
        <v>0</v>
      </c>
    </row>
    <row r="73" spans="1:90">
      <c r="A73" s="146" t="str">
        <f>LOOKUP($B$3,$BL$3:$BL$19,$BO$3:$BO$19)</f>
        <v xml:space="preserve"> </v>
      </c>
      <c r="B73" s="28"/>
      <c r="C73" s="52">
        <v>3</v>
      </c>
      <c r="D73" s="21" t="s">
        <v>5148</v>
      </c>
      <c r="E73" s="21"/>
      <c r="F73" s="44" t="s">
        <v>5149</v>
      </c>
      <c r="G73" s="45"/>
      <c r="H73" s="20"/>
      <c r="I73" s="21"/>
      <c r="J73" s="21"/>
      <c r="K73" s="135"/>
      <c r="L73" s="10"/>
      <c r="N73" s="10"/>
      <c r="P73" s="65">
        <v>71</v>
      </c>
      <c r="Q73" s="10">
        <v>28</v>
      </c>
      <c r="R73" s="10" t="s">
        <v>5150</v>
      </c>
      <c r="S73" s="10" t="s">
        <v>5151</v>
      </c>
      <c r="T73" s="10">
        <v>100</v>
      </c>
      <c r="U73" s="10">
        <v>31</v>
      </c>
      <c r="V73" s="10">
        <v>92</v>
      </c>
      <c r="W73" s="10">
        <v>12</v>
      </c>
      <c r="X73" s="10">
        <v>22</v>
      </c>
      <c r="Z73" s="10">
        <v>72</v>
      </c>
      <c r="AA73" s="10">
        <v>25</v>
      </c>
      <c r="AC73" s="10">
        <v>72</v>
      </c>
      <c r="AD73" s="10" t="s">
        <v>5152</v>
      </c>
      <c r="AH73" s="12"/>
      <c r="AQ73" s="20"/>
      <c r="AR73" s="21" t="s">
        <v>4980</v>
      </c>
      <c r="AS73" s="21"/>
      <c r="AT73" s="21"/>
      <c r="AU73" s="21"/>
      <c r="AV73" s="21"/>
      <c r="AW73" s="21"/>
      <c r="AX73" s="21"/>
      <c r="AY73" s="14"/>
      <c r="AZ73" s="85">
        <f>SUM(AZ57:AZ71)</f>
        <v>7</v>
      </c>
      <c r="BB73" s="185"/>
      <c r="CA73" s="146" t="str">
        <f>LOOKUP($B$3,$BL$3:$BL$19,$BO$3:$BO$19)</f>
        <v xml:space="preserve"> </v>
      </c>
      <c r="CB73" s="28"/>
      <c r="CC73" s="52">
        <v>0</v>
      </c>
      <c r="CD73" s="21" t="s">
        <v>5148</v>
      </c>
      <c r="CE73" s="21"/>
      <c r="CF73" s="44"/>
      <c r="CG73" s="45"/>
      <c r="CH73" s="20"/>
      <c r="CI73" s="21"/>
      <c r="CJ73" s="21"/>
      <c r="CK73" s="135"/>
      <c r="CL73" s="10"/>
    </row>
    <row r="74" spans="1:90">
      <c r="A74" s="146" t="str">
        <f>LOOKUP($B$3,$BL$3:$BL$19,$BP$3:$BP$19)</f>
        <v xml:space="preserve"> </v>
      </c>
      <c r="B74" s="28"/>
      <c r="C74" s="52">
        <v>3</v>
      </c>
      <c r="D74" s="21" t="s">
        <v>4981</v>
      </c>
      <c r="E74" s="21"/>
      <c r="F74" s="44" t="s">
        <v>5149</v>
      </c>
      <c r="G74" s="44"/>
      <c r="H74" s="20"/>
      <c r="I74" s="21"/>
      <c r="J74" s="21"/>
      <c r="K74" s="135"/>
      <c r="L74" s="10"/>
      <c r="N74" s="10"/>
      <c r="P74" s="65">
        <v>72</v>
      </c>
      <c r="Q74" s="10">
        <v>29</v>
      </c>
      <c r="R74" s="10" t="s">
        <v>4982</v>
      </c>
      <c r="S74" s="10" t="s">
        <v>4983</v>
      </c>
      <c r="T74" s="10">
        <v>101</v>
      </c>
      <c r="U74" s="10">
        <v>31</v>
      </c>
      <c r="V74" s="10">
        <v>93</v>
      </c>
      <c r="W74" s="10">
        <v>12</v>
      </c>
      <c r="X74" s="10">
        <v>22</v>
      </c>
      <c r="Z74" s="10">
        <v>73</v>
      </c>
      <c r="AA74" s="10">
        <v>26</v>
      </c>
      <c r="AC74" s="10">
        <v>73</v>
      </c>
      <c r="AD74" s="10" t="s">
        <v>4984</v>
      </c>
      <c r="AH74" s="12"/>
      <c r="AQ74" s="20" t="s">
        <v>4985</v>
      </c>
      <c r="AR74" s="21"/>
      <c r="AS74" s="21">
        <f>IF(AS75=1,0,1)</f>
        <v>1</v>
      </c>
      <c r="AT74" s="21" t="str">
        <f>IF(AS74&gt;$D$2,$AR$73," ")</f>
        <v xml:space="preserve"> </v>
      </c>
      <c r="AU74" s="21"/>
      <c r="AV74" s="216" t="s">
        <v>4986</v>
      </c>
      <c r="AW74" s="29"/>
      <c r="AX74" s="21"/>
      <c r="AY74" s="14"/>
      <c r="AZ74" s="85"/>
      <c r="BB74" s="185"/>
      <c r="CA74" s="146" t="str">
        <f>LOOKUP($B$3,$BL$3:$BL$19,$BP$3:$BP$19)</f>
        <v xml:space="preserve"> </v>
      </c>
      <c r="CB74" s="28"/>
      <c r="CC74" s="52">
        <v>0</v>
      </c>
      <c r="CD74" s="21" t="s">
        <v>4981</v>
      </c>
      <c r="CE74" s="21"/>
      <c r="CF74" s="44"/>
      <c r="CG74" s="44"/>
      <c r="CH74" s="20"/>
      <c r="CI74" s="21"/>
      <c r="CJ74" s="21"/>
      <c r="CK74" s="135"/>
      <c r="CL74" s="10"/>
    </row>
    <row r="75" spans="1:90">
      <c r="A75" s="146" t="str">
        <f>LOOKUP($B$3,$BL$3:$BL$19,$BQ$3:$BQ$19)</f>
        <v xml:space="preserve"> </v>
      </c>
      <c r="B75" s="28"/>
      <c r="C75" s="52">
        <v>2</v>
      </c>
      <c r="D75" s="21" t="s">
        <v>4987</v>
      </c>
      <c r="E75" s="21"/>
      <c r="F75" s="44" t="s">
        <v>5149</v>
      </c>
      <c r="G75" s="44"/>
      <c r="H75" s="20"/>
      <c r="I75" s="21"/>
      <c r="J75" s="21"/>
      <c r="K75" s="135"/>
      <c r="L75" s="10"/>
      <c r="N75" s="10"/>
      <c r="P75" s="65">
        <v>73</v>
      </c>
      <c r="Q75" s="10">
        <v>29</v>
      </c>
      <c r="R75" s="10" t="s">
        <v>4826</v>
      </c>
      <c r="S75" s="10" t="s">
        <v>4827</v>
      </c>
      <c r="T75" s="10">
        <v>102</v>
      </c>
      <c r="U75" s="10">
        <v>31</v>
      </c>
      <c r="V75" s="10">
        <v>94</v>
      </c>
      <c r="W75" s="10">
        <v>12</v>
      </c>
      <c r="X75" s="10">
        <v>22</v>
      </c>
      <c r="Z75" s="10">
        <v>74</v>
      </c>
      <c r="AA75" s="10">
        <v>26</v>
      </c>
      <c r="AC75" s="10">
        <v>74</v>
      </c>
      <c r="AD75" s="10" t="s">
        <v>4828</v>
      </c>
      <c r="AH75" s="12"/>
      <c r="AQ75" s="20">
        <f>IF($D$1="Elementalist",1,0)</f>
        <v>0</v>
      </c>
      <c r="AR75" s="21"/>
      <c r="AS75" s="21">
        <f>IF(AQ83=1,AZ72,AZ91)</f>
        <v>9</v>
      </c>
      <c r="AT75" s="21" t="str">
        <f>IF(AS75&lt;=$D$2," ",IF(AS75&gt;$D$2,$AR$73," "))</f>
        <v xml:space="preserve"> </v>
      </c>
      <c r="AU75" s="21"/>
      <c r="AV75" s="26" t="s">
        <v>5097</v>
      </c>
      <c r="AW75" s="26" t="s">
        <v>5098</v>
      </c>
      <c r="AX75" s="164" t="s">
        <v>5286</v>
      </c>
      <c r="AY75" s="14"/>
      <c r="AZ75" s="85">
        <f>SUM(AZ76:AZ90)</f>
        <v>8</v>
      </c>
      <c r="BB75" s="185"/>
      <c r="CA75" s="146" t="str">
        <f>LOOKUP($B$3,$BL$3:$BL$19,$BQ$3:$BQ$19)</f>
        <v xml:space="preserve"> </v>
      </c>
      <c r="CB75" s="28"/>
      <c r="CC75" s="52">
        <v>0</v>
      </c>
      <c r="CD75" s="21" t="s">
        <v>4987</v>
      </c>
      <c r="CE75" s="21"/>
      <c r="CF75" s="44"/>
      <c r="CG75" s="44"/>
      <c r="CH75" s="20"/>
      <c r="CI75" s="21"/>
      <c r="CJ75" s="21"/>
      <c r="CK75" s="135"/>
      <c r="CL75" s="10"/>
    </row>
    <row r="76" spans="1:90">
      <c r="A76" s="146" t="str">
        <f>LOOKUP($B$3,$BL$3:$BL$19,$BR$3:$BR$19)</f>
        <v xml:space="preserve"> </v>
      </c>
      <c r="B76" s="28"/>
      <c r="C76" s="52">
        <v>0</v>
      </c>
      <c r="D76" s="21" t="s">
        <v>4829</v>
      </c>
      <c r="E76" s="21"/>
      <c r="F76" s="44"/>
      <c r="G76" s="45"/>
      <c r="H76" s="20" t="str">
        <f>IF($E$134&gt;3,$H$188,$L$81)</f>
        <v>Karma on dexterity only actions</v>
      </c>
      <c r="I76" s="21"/>
      <c r="J76" s="21"/>
      <c r="K76" s="135"/>
      <c r="L76" s="10"/>
      <c r="N76" s="10"/>
      <c r="P76" s="65">
        <v>74</v>
      </c>
      <c r="Q76" s="10">
        <v>29</v>
      </c>
      <c r="R76" s="10" t="s">
        <v>4830</v>
      </c>
      <c r="S76" s="10" t="s">
        <v>4831</v>
      </c>
      <c r="T76" s="10">
        <v>103</v>
      </c>
      <c r="U76" s="10">
        <v>32</v>
      </c>
      <c r="V76" s="10">
        <v>95</v>
      </c>
      <c r="W76" s="10">
        <v>13</v>
      </c>
      <c r="X76" s="10">
        <v>23</v>
      </c>
      <c r="Z76" s="10">
        <v>75</v>
      </c>
      <c r="AA76" s="10">
        <v>26</v>
      </c>
      <c r="AC76" s="10">
        <v>75</v>
      </c>
      <c r="AD76" s="10" t="s">
        <v>4832</v>
      </c>
      <c r="AH76" s="12"/>
      <c r="AQ76" s="20">
        <f>IF($D$1="Illusionist",1,0)</f>
        <v>0</v>
      </c>
      <c r="AR76" s="21"/>
      <c r="AS76" s="21"/>
      <c r="AT76" s="21"/>
      <c r="AU76" s="21"/>
      <c r="AV76" s="14">
        <v>1</v>
      </c>
      <c r="AW76" s="14">
        <f>COUNTIF(C22:C27,"&gt;1")</f>
        <v>6</v>
      </c>
      <c r="AX76" s="14">
        <f>COUNTIF(C22:C27,"&gt;1")</f>
        <v>6</v>
      </c>
      <c r="AY76" s="14">
        <f>IF(AW76&gt;=AR57,1,0)</f>
        <v>1</v>
      </c>
      <c r="AZ76" s="85">
        <f>IF(AND(AX76&gt;0,AY76&gt;0),1,0)</f>
        <v>1</v>
      </c>
      <c r="BB76" s="185"/>
      <c r="CA76" s="146" t="str">
        <f>LOOKUP($B$3,$BL$3:$BL$19,$BR$3:$BR$19)</f>
        <v xml:space="preserve"> </v>
      </c>
      <c r="CB76" s="28"/>
      <c r="CC76" s="52">
        <v>0</v>
      </c>
      <c r="CD76" s="21" t="s">
        <v>4829</v>
      </c>
      <c r="CE76" s="21"/>
      <c r="CF76" s="44"/>
      <c r="CG76" s="45"/>
      <c r="CH76" s="20"/>
      <c r="CI76" s="21"/>
      <c r="CJ76" s="21"/>
      <c r="CK76" s="135"/>
      <c r="CL76" s="10"/>
    </row>
    <row r="77" spans="1:90">
      <c r="A77" s="147" t="str">
        <f>LOOKUP($B$3,$BL$3:$BL$19,$BS$3:$BS$19)</f>
        <v xml:space="preserve"> </v>
      </c>
      <c r="B77" s="61"/>
      <c r="C77" s="52">
        <v>0</v>
      </c>
      <c r="D77" s="21" t="s">
        <v>5170</v>
      </c>
      <c r="E77" s="21"/>
      <c r="F77" s="44"/>
      <c r="G77" s="45"/>
      <c r="H77" s="20" t="str">
        <f>IF($E$134&gt;6,$H$191,$L$81)</f>
        <v>Karma on melee weapon damage</v>
      </c>
      <c r="I77" s="21"/>
      <c r="J77" s="21"/>
      <c r="K77" s="135"/>
      <c r="L77" s="10"/>
      <c r="N77" s="10"/>
      <c r="P77" s="65">
        <v>75</v>
      </c>
      <c r="Q77" s="10">
        <v>30</v>
      </c>
      <c r="R77" s="10" t="s">
        <v>5171</v>
      </c>
      <c r="S77" s="10" t="s">
        <v>5172</v>
      </c>
      <c r="T77" s="10">
        <v>104</v>
      </c>
      <c r="U77" s="10">
        <v>32</v>
      </c>
      <c r="V77" s="10">
        <v>96</v>
      </c>
      <c r="W77" s="10">
        <v>13</v>
      </c>
      <c r="X77" s="10">
        <v>23</v>
      </c>
      <c r="Z77" s="10">
        <v>76</v>
      </c>
      <c r="AA77" s="10">
        <v>27</v>
      </c>
      <c r="AC77" s="10">
        <v>76</v>
      </c>
      <c r="AD77" s="10" t="s">
        <v>5173</v>
      </c>
      <c r="AH77" s="12"/>
      <c r="AQ77" s="20">
        <f>IF($D$1="Nethermancer",1,0)</f>
        <v>0</v>
      </c>
      <c r="AR77" s="21"/>
      <c r="AS77" s="21"/>
      <c r="AT77" s="21"/>
      <c r="AU77" s="21"/>
      <c r="AV77" s="14">
        <v>2</v>
      </c>
      <c r="AW77" s="14">
        <f>COUNTIF(C22:C30,"&gt;2")</f>
        <v>8</v>
      </c>
      <c r="AX77" s="14">
        <f>COUNTIF(C28:C30,"&gt;2")</f>
        <v>2</v>
      </c>
      <c r="AY77" s="14">
        <f t="shared" ref="AY77:AY89" si="41">IF(AW77&gt;=AR58,1,0)</f>
        <v>1</v>
      </c>
      <c r="AZ77" s="85">
        <f t="shared" ref="AZ77:AZ90" si="42">IF(AND(AX77&gt;0,AY77&gt;0),1,0)</f>
        <v>1</v>
      </c>
      <c r="BB77" s="185"/>
      <c r="CA77" s="147" t="str">
        <f>LOOKUP($B$3,$BL$3:$BL$19,$BS$3:$BS$19)</f>
        <v xml:space="preserve"> </v>
      </c>
      <c r="CB77" s="61"/>
      <c r="CC77" s="52">
        <v>0</v>
      </c>
      <c r="CD77" s="21" t="s">
        <v>5170</v>
      </c>
      <c r="CE77" s="21"/>
      <c r="CF77" s="44"/>
      <c r="CG77" s="45"/>
      <c r="CH77" s="20"/>
      <c r="CI77" s="21"/>
      <c r="CJ77" s="21"/>
      <c r="CK77" s="135"/>
      <c r="CL77" s="10"/>
    </row>
    <row r="78" spans="1:90">
      <c r="A78" s="148" t="s">
        <v>5174</v>
      </c>
      <c r="B78" s="276">
        <f>$BH$13</f>
        <v>59733</v>
      </c>
      <c r="C78" s="52">
        <v>0</v>
      </c>
      <c r="D78" s="29" t="s">
        <v>5483</v>
      </c>
      <c r="E78" s="29"/>
      <c r="F78" s="30"/>
      <c r="G78" s="31"/>
      <c r="H78" s="20" t="str">
        <f>IF($E$134&gt;8,$H$193,$L$81)</f>
        <v>Karma on charisma or willpower only actions</v>
      </c>
      <c r="I78" s="21"/>
      <c r="J78" s="21"/>
      <c r="K78" s="135"/>
      <c r="L78" s="10"/>
      <c r="N78" s="10"/>
      <c r="P78" s="65">
        <v>76</v>
      </c>
      <c r="Q78" s="10">
        <v>30</v>
      </c>
      <c r="R78" s="10" t="s">
        <v>5175</v>
      </c>
      <c r="S78" s="10" t="s">
        <v>5176</v>
      </c>
      <c r="T78" s="10">
        <v>105</v>
      </c>
      <c r="U78" s="10">
        <v>32</v>
      </c>
      <c r="V78" s="10">
        <v>97</v>
      </c>
      <c r="W78" s="10">
        <v>13</v>
      </c>
      <c r="X78" s="10">
        <v>23</v>
      </c>
      <c r="Z78" s="10">
        <v>77</v>
      </c>
      <c r="AA78" s="10">
        <v>27</v>
      </c>
      <c r="AC78" s="10">
        <v>77</v>
      </c>
      <c r="AD78" s="10" t="s">
        <v>4988</v>
      </c>
      <c r="AH78" s="12"/>
      <c r="AQ78" s="20">
        <f>IF($D$1="Wizard",1,0)</f>
        <v>0</v>
      </c>
      <c r="AR78" s="21"/>
      <c r="AS78" s="21"/>
      <c r="AT78" s="21"/>
      <c r="AU78" s="21"/>
      <c r="AV78" s="14">
        <v>3</v>
      </c>
      <c r="AW78" s="14">
        <f>COUNTIF(C22:C32,"&gt;3")</f>
        <v>9</v>
      </c>
      <c r="AX78" s="14">
        <f>COUNTIF(C31:C32,"&gt;3")</f>
        <v>1</v>
      </c>
      <c r="AY78" s="14">
        <f t="shared" si="41"/>
        <v>1</v>
      </c>
      <c r="AZ78" s="85">
        <f t="shared" si="42"/>
        <v>1</v>
      </c>
      <c r="BB78" s="185"/>
      <c r="CA78" s="148" t="s">
        <v>5174</v>
      </c>
      <c r="CB78" s="265">
        <f>$BH$13</f>
        <v>59733</v>
      </c>
      <c r="CC78" s="266">
        <v>0</v>
      </c>
      <c r="CD78" s="21" t="s">
        <v>5483</v>
      </c>
      <c r="CE78" s="21"/>
      <c r="CF78" s="44"/>
      <c r="CG78" s="45"/>
      <c r="CH78" s="20"/>
      <c r="CI78" s="21"/>
      <c r="CJ78" s="21"/>
      <c r="CK78" s="135"/>
      <c r="CL78" s="10"/>
    </row>
    <row r="79" spans="1:90">
      <c r="A79" s="143" t="s">
        <v>4989</v>
      </c>
      <c r="B79" s="47"/>
      <c r="C79" s="47"/>
      <c r="D79" s="47"/>
      <c r="E79" s="47"/>
      <c r="F79" s="47"/>
      <c r="G79" s="55"/>
      <c r="H79" s="20" t="str">
        <f>IF($E$134&gt;9,$H$194,$L$81)</f>
        <v>Karma on a recovery test</v>
      </c>
      <c r="I79" s="21"/>
      <c r="J79" s="21"/>
      <c r="K79" s="135"/>
      <c r="L79" s="10"/>
      <c r="N79" s="10"/>
      <c r="P79" s="65">
        <v>77</v>
      </c>
      <c r="Q79" s="10">
        <v>30</v>
      </c>
      <c r="R79" s="10" t="s">
        <v>4990</v>
      </c>
      <c r="S79" s="10" t="s">
        <v>4991</v>
      </c>
      <c r="T79" s="10">
        <v>106</v>
      </c>
      <c r="U79" s="10">
        <v>33</v>
      </c>
      <c r="V79" s="10">
        <v>98</v>
      </c>
      <c r="W79" s="10">
        <v>13</v>
      </c>
      <c r="X79" s="10">
        <v>24</v>
      </c>
      <c r="Z79" s="10">
        <v>78</v>
      </c>
      <c r="AA79" s="10">
        <v>27</v>
      </c>
      <c r="AC79" s="10">
        <v>78</v>
      </c>
      <c r="AD79" s="10" t="s">
        <v>4992</v>
      </c>
      <c r="AH79" s="12"/>
      <c r="AQ79" s="20">
        <f>IF($D$1="Shaman",1,0)</f>
        <v>0</v>
      </c>
      <c r="AR79" s="21"/>
      <c r="AS79" s="21"/>
      <c r="AT79" s="21"/>
      <c r="AU79" s="21"/>
      <c r="AV79" s="14">
        <v>4</v>
      </c>
      <c r="AW79" s="14">
        <f>COUNTIF(C22:C34,"&gt;4")</f>
        <v>10</v>
      </c>
      <c r="AX79" s="14">
        <f>COUNTIF(C33:C34,"&gt;4")</f>
        <v>1</v>
      </c>
      <c r="AY79" s="14">
        <f t="shared" si="41"/>
        <v>1</v>
      </c>
      <c r="AZ79" s="85">
        <f t="shared" si="42"/>
        <v>1</v>
      </c>
      <c r="BB79" s="185"/>
      <c r="CA79" s="268" t="s">
        <v>4989</v>
      </c>
      <c r="CB79" s="47"/>
      <c r="CC79" s="47"/>
      <c r="CD79" s="47"/>
      <c r="CE79" s="47"/>
      <c r="CF79" s="47"/>
      <c r="CG79" s="55"/>
      <c r="CH79" s="21"/>
      <c r="CI79" s="21"/>
      <c r="CJ79" s="21"/>
      <c r="CK79" s="135"/>
      <c r="CL79" s="10"/>
    </row>
    <row r="80" spans="1:90">
      <c r="A80" s="146" t="s">
        <v>4993</v>
      </c>
      <c r="B80" s="44"/>
      <c r="C80" s="44"/>
      <c r="D80" s="44"/>
      <c r="E80" s="44"/>
      <c r="F80" s="44"/>
      <c r="G80" s="45"/>
      <c r="H80" s="20" t="str">
        <f>IF($E$134&gt;13,$H$198,$L$81)</f>
        <v>Not Available</v>
      </c>
      <c r="I80" s="21"/>
      <c r="J80" s="21"/>
      <c r="K80" s="135"/>
      <c r="L80" s="10"/>
      <c r="N80" s="10"/>
      <c r="P80" s="65">
        <v>78</v>
      </c>
      <c r="Q80" s="10">
        <v>31</v>
      </c>
      <c r="R80" s="10" t="s">
        <v>4994</v>
      </c>
      <c r="S80" s="10" t="s">
        <v>4995</v>
      </c>
      <c r="T80" s="10">
        <v>107</v>
      </c>
      <c r="U80" s="10">
        <v>33</v>
      </c>
      <c r="V80" s="10">
        <v>99</v>
      </c>
      <c r="W80" s="10">
        <v>13</v>
      </c>
      <c r="X80" s="10">
        <v>24</v>
      </c>
      <c r="Z80" s="10">
        <v>79</v>
      </c>
      <c r="AA80" s="10">
        <v>28</v>
      </c>
      <c r="AC80" s="10">
        <v>79</v>
      </c>
      <c r="AD80" s="10" t="s">
        <v>5187</v>
      </c>
      <c r="AH80" s="12"/>
      <c r="AQ80" s="20">
        <f>IF($D$1="Greater Shaman",1,0)</f>
        <v>0</v>
      </c>
      <c r="AR80" s="21"/>
      <c r="AS80" s="21"/>
      <c r="AT80" s="21"/>
      <c r="AU80" s="21"/>
      <c r="AV80" s="14">
        <v>5</v>
      </c>
      <c r="AW80" s="14">
        <f>COUNTIF(C22:C36,"&gt;5")</f>
        <v>11</v>
      </c>
      <c r="AX80" s="14">
        <f>COUNTIF(C35:C36,"&gt;5")</f>
        <v>1</v>
      </c>
      <c r="AY80" s="14">
        <f t="shared" si="41"/>
        <v>1</v>
      </c>
      <c r="AZ80" s="85">
        <f t="shared" si="42"/>
        <v>1</v>
      </c>
      <c r="BB80" s="185"/>
      <c r="CA80" s="46"/>
      <c r="CB80" s="44"/>
      <c r="CC80" s="44"/>
      <c r="CD80" s="44"/>
      <c r="CE80" s="44"/>
      <c r="CF80" s="44"/>
      <c r="CG80" s="45"/>
      <c r="CH80" s="21"/>
      <c r="CI80" s="21"/>
      <c r="CJ80" s="21"/>
      <c r="CK80" s="135"/>
      <c r="CL80" s="10"/>
    </row>
    <row r="81" spans="1:90">
      <c r="A81" s="277" t="s">
        <v>5188</v>
      </c>
      <c r="B81" s="44"/>
      <c r="C81" s="44"/>
      <c r="D81" s="44"/>
      <c r="E81" s="44"/>
      <c r="F81" s="44"/>
      <c r="G81" s="45"/>
      <c r="H81" s="20"/>
      <c r="I81" s="21"/>
      <c r="J81" s="21"/>
      <c r="K81" s="135"/>
      <c r="L81" s="10" t="s">
        <v>5194</v>
      </c>
      <c r="N81" s="10"/>
      <c r="P81" s="65">
        <v>79</v>
      </c>
      <c r="Q81" s="10">
        <v>31</v>
      </c>
      <c r="R81" s="10" t="s">
        <v>5195</v>
      </c>
      <c r="S81" s="10" t="s">
        <v>5200</v>
      </c>
      <c r="T81" s="10">
        <v>108</v>
      </c>
      <c r="U81" s="10">
        <v>33</v>
      </c>
      <c r="V81" s="10">
        <v>100</v>
      </c>
      <c r="W81" s="10">
        <v>13</v>
      </c>
      <c r="X81" s="10">
        <v>24</v>
      </c>
      <c r="Z81" s="10">
        <v>80</v>
      </c>
      <c r="AA81" s="10">
        <v>28</v>
      </c>
      <c r="AC81" s="10">
        <v>80</v>
      </c>
      <c r="AD81" s="10" t="s">
        <v>5201</v>
      </c>
      <c r="AH81" s="12"/>
      <c r="AQ81" s="20">
        <f>IF($D$1="Mage",1,0)</f>
        <v>0</v>
      </c>
      <c r="AR81" s="21"/>
      <c r="AS81" s="21"/>
      <c r="AT81" s="21"/>
      <c r="AU81" s="21"/>
      <c r="AV81" s="14">
        <v>6</v>
      </c>
      <c r="AW81" s="14">
        <f>COUNTIF(C22:C38,"&gt;6")</f>
        <v>12</v>
      </c>
      <c r="AX81" s="14">
        <f>COUNTIF(C37:C38,"&gt;6")</f>
        <v>2</v>
      </c>
      <c r="AY81" s="14">
        <f t="shared" si="41"/>
        <v>1</v>
      </c>
      <c r="AZ81" s="85">
        <f t="shared" si="42"/>
        <v>1</v>
      </c>
      <c r="BB81" s="185"/>
      <c r="CA81" s="269"/>
      <c r="CB81" s="44"/>
      <c r="CC81" s="44"/>
      <c r="CD81" s="44"/>
      <c r="CE81" s="44"/>
      <c r="CF81" s="44"/>
      <c r="CG81" s="45"/>
      <c r="CH81" s="21"/>
      <c r="CI81" s="21"/>
      <c r="CJ81" s="21"/>
      <c r="CK81" s="135"/>
      <c r="CL81" s="10" t="s">
        <v>5194</v>
      </c>
    </row>
    <row r="82" spans="1:90">
      <c r="A82" s="146" t="s">
        <v>5202</v>
      </c>
      <c r="B82" s="44"/>
      <c r="C82" s="44"/>
      <c r="D82" s="44"/>
      <c r="E82" s="267"/>
      <c r="F82" s="14"/>
      <c r="G82" s="270"/>
      <c r="H82" s="20"/>
      <c r="I82" s="21"/>
      <c r="J82" s="21"/>
      <c r="K82" s="135"/>
      <c r="N82" s="10"/>
      <c r="P82" s="65">
        <v>80</v>
      </c>
      <c r="Q82" s="10">
        <v>31</v>
      </c>
      <c r="R82" s="10" t="s">
        <v>5203</v>
      </c>
      <c r="S82" s="10" t="s">
        <v>5204</v>
      </c>
      <c r="T82" s="10">
        <v>109</v>
      </c>
      <c r="U82" s="10">
        <v>34</v>
      </c>
      <c r="V82" s="10">
        <v>101</v>
      </c>
      <c r="W82" s="10">
        <v>14</v>
      </c>
      <c r="X82" s="10">
        <v>25</v>
      </c>
      <c r="Z82" s="10">
        <v>81</v>
      </c>
      <c r="AA82" s="10">
        <v>28</v>
      </c>
      <c r="AC82" s="10">
        <v>81</v>
      </c>
      <c r="AD82" s="10" t="s">
        <v>5205</v>
      </c>
      <c r="AH82" s="12"/>
      <c r="AQ82" s="20">
        <f>IF($D$1="Sorceror",1,0)</f>
        <v>0</v>
      </c>
      <c r="AR82" s="21"/>
      <c r="AS82" s="21"/>
      <c r="AT82" s="21"/>
      <c r="AU82" s="21"/>
      <c r="AV82" s="14">
        <v>7</v>
      </c>
      <c r="AW82" s="14">
        <f>COUNTIF(C22:C40,"&gt;7")</f>
        <v>13</v>
      </c>
      <c r="AX82" s="14">
        <f>COUNTIF(C39:C40,"&gt;7")</f>
        <v>1</v>
      </c>
      <c r="AY82" s="14">
        <f t="shared" si="41"/>
        <v>1</v>
      </c>
      <c r="AZ82" s="85">
        <f t="shared" si="42"/>
        <v>1</v>
      </c>
      <c r="BB82" s="185"/>
      <c r="CA82" s="46"/>
      <c r="CB82" s="44"/>
      <c r="CC82" s="44"/>
      <c r="CD82" s="44"/>
      <c r="CE82" s="267"/>
      <c r="CF82" s="14"/>
      <c r="CG82" s="270"/>
      <c r="CH82" s="21"/>
      <c r="CI82" s="21"/>
      <c r="CJ82" s="21"/>
      <c r="CK82" s="135"/>
    </row>
    <row r="83" spans="1:90" ht="14" thickBot="1">
      <c r="A83" s="149"/>
      <c r="B83" s="150"/>
      <c r="C83" s="150"/>
      <c r="D83" s="150"/>
      <c r="E83" s="150"/>
      <c r="F83" s="278"/>
      <c r="G83" s="279"/>
      <c r="H83" s="280"/>
      <c r="I83" s="150"/>
      <c r="J83" s="150"/>
      <c r="K83" s="151"/>
      <c r="N83" s="10"/>
      <c r="P83" s="65">
        <v>81</v>
      </c>
      <c r="Q83" s="10">
        <v>32</v>
      </c>
      <c r="R83" s="10" t="s">
        <v>5206</v>
      </c>
      <c r="S83" s="10" t="s">
        <v>5207</v>
      </c>
      <c r="T83" s="10">
        <v>110</v>
      </c>
      <c r="U83" s="10">
        <v>34</v>
      </c>
      <c r="V83" s="10">
        <v>102</v>
      </c>
      <c r="W83" s="10">
        <v>14</v>
      </c>
      <c r="X83" s="10">
        <v>25</v>
      </c>
      <c r="Z83" s="10">
        <v>82</v>
      </c>
      <c r="AA83" s="10">
        <v>29</v>
      </c>
      <c r="AC83" s="10">
        <v>82</v>
      </c>
      <c r="AD83" s="10" t="s">
        <v>5208</v>
      </c>
      <c r="AH83" s="12"/>
      <c r="AQ83" s="27">
        <f>SUM(AQ75:AQ82)</f>
        <v>0</v>
      </c>
      <c r="AR83" s="21"/>
      <c r="AS83" s="21"/>
      <c r="AT83" s="21"/>
      <c r="AU83" s="21"/>
      <c r="AV83" s="14">
        <v>8</v>
      </c>
      <c r="AW83" s="14">
        <f>COUNTIF(C22:C42,"&gt;8")</f>
        <v>12</v>
      </c>
      <c r="AX83" s="14">
        <f>COUNTIF(C41:C42,"&gt;8")</f>
        <v>1</v>
      </c>
      <c r="AY83" s="14">
        <f t="shared" si="41"/>
        <v>1</v>
      </c>
      <c r="AZ83" s="85">
        <f t="shared" si="42"/>
        <v>1</v>
      </c>
      <c r="BB83" s="185"/>
      <c r="CA83" s="22"/>
      <c r="CB83" s="29"/>
      <c r="CC83" s="29"/>
      <c r="CD83" s="29"/>
      <c r="CE83" s="29"/>
      <c r="CF83" s="30"/>
      <c r="CG83" s="31"/>
      <c r="CH83" s="150"/>
      <c r="CI83" s="150"/>
      <c r="CJ83" s="150"/>
      <c r="CK83" s="151"/>
    </row>
    <row r="84" spans="1:90">
      <c r="A84" s="152" t="s">
        <v>5209</v>
      </c>
      <c r="B84" s="153" t="s">
        <v>5348</v>
      </c>
      <c r="C84" s="153" t="s">
        <v>5349</v>
      </c>
      <c r="D84" s="153" t="s">
        <v>5362</v>
      </c>
      <c r="E84" s="153" t="s">
        <v>5350</v>
      </c>
      <c r="F84" s="153" t="s">
        <v>5351</v>
      </c>
      <c r="G84" s="153" t="s">
        <v>5374</v>
      </c>
      <c r="H84" s="153" t="s">
        <v>5352</v>
      </c>
      <c r="I84" s="153" t="s">
        <v>5353</v>
      </c>
      <c r="J84" s="153" t="s">
        <v>5354</v>
      </c>
      <c r="K84" s="154" t="s">
        <v>5153</v>
      </c>
      <c r="L84" s="9" t="s">
        <v>5572</v>
      </c>
      <c r="N84" s="10"/>
      <c r="P84" s="65">
        <v>82</v>
      </c>
      <c r="Q84" s="10">
        <v>32</v>
      </c>
      <c r="R84" s="10" t="s">
        <v>5210</v>
      </c>
      <c r="S84" s="10" t="s">
        <v>5211</v>
      </c>
      <c r="T84" s="10">
        <v>111</v>
      </c>
      <c r="U84" s="10">
        <v>34</v>
      </c>
      <c r="V84" s="10">
        <v>103</v>
      </c>
      <c r="W84" s="10">
        <v>14</v>
      </c>
      <c r="X84" s="10">
        <v>25</v>
      </c>
      <c r="Z84" s="10">
        <v>83</v>
      </c>
      <c r="AA84" s="10">
        <v>29</v>
      </c>
      <c r="AC84" s="10">
        <v>83</v>
      </c>
      <c r="AD84" s="10" t="s">
        <v>5408</v>
      </c>
      <c r="AH84" s="12"/>
      <c r="AQ84" s="20"/>
      <c r="AR84" s="21"/>
      <c r="AS84" s="21"/>
      <c r="AT84" s="21"/>
      <c r="AU84" s="21"/>
      <c r="AV84" s="14">
        <v>9</v>
      </c>
      <c r="AW84" s="14">
        <f>COUNTIF(C22:C45,"&gt;9")</f>
        <v>2</v>
      </c>
      <c r="AX84" s="14">
        <f>COUNTIF(C43:C45,"&gt;9")</f>
        <v>0</v>
      </c>
      <c r="AY84" s="14">
        <f t="shared" si="41"/>
        <v>0</v>
      </c>
      <c r="AZ84" s="85">
        <f t="shared" si="42"/>
        <v>0</v>
      </c>
      <c r="BB84" s="185"/>
      <c r="CA84" s="129" t="s">
        <v>5209</v>
      </c>
      <c r="CB84" s="108" t="s">
        <v>5348</v>
      </c>
      <c r="CC84" s="108" t="s">
        <v>5349</v>
      </c>
      <c r="CD84" s="108" t="s">
        <v>5362</v>
      </c>
      <c r="CE84" s="108" t="s">
        <v>5350</v>
      </c>
      <c r="CF84" s="108" t="s">
        <v>5351</v>
      </c>
      <c r="CG84" s="108" t="s">
        <v>5374</v>
      </c>
      <c r="CH84" s="153" t="s">
        <v>5352</v>
      </c>
      <c r="CI84" s="153" t="s">
        <v>5353</v>
      </c>
      <c r="CJ84" s="153" t="s">
        <v>5354</v>
      </c>
      <c r="CK84" s="154" t="s">
        <v>5153</v>
      </c>
      <c r="CL84" s="9" t="s">
        <v>5572</v>
      </c>
    </row>
    <row r="85" spans="1:90">
      <c r="A85" s="126" t="s">
        <v>5409</v>
      </c>
      <c r="B85" s="14">
        <v>5</v>
      </c>
      <c r="C85" s="14"/>
      <c r="D85" s="14" t="str">
        <f>IF(C85&gt;0,LOOKUP(A85,'Talents-Skills'!$A$2:$A$496,'Talents-Skills'!$C$2:$C$496)," ")</f>
        <v xml:space="preserve"> </v>
      </c>
      <c r="E85" s="14" t="str">
        <f t="shared" ref="E85:E94" si="43">IF(D85=$A$6,$F$6,IF(D85=$A$7,$F$7,IF(D85=$A$8,$F$8,IF(D85=$A$9,$F$9,IF(D85=$A$10,$F$10,IF(D85=$A$11,$F$11,IF(D85="Rank",0,BW85)))))))</f>
        <v xml:space="preserve"> </v>
      </c>
      <c r="F85" s="14" t="str">
        <f t="shared" ref="F85:F94" si="44">IF(C85&gt;0,(C85+E85)," ")</f>
        <v xml:space="preserve"> </v>
      </c>
      <c r="G85" s="14" t="str">
        <f t="shared" ref="G85:G94" si="45">IF(C85&gt;0,LOOKUP(F85,$AC$2:$AC$101,$AD$2:$AD$101)," ")</f>
        <v xml:space="preserve"> </v>
      </c>
      <c r="H85" s="14" t="str">
        <f>IF(C85&gt;0,LOOKUP(A85,'Talents-Skills'!$A$2:$A$496,'Talents-Skills'!$E$2:$E$496)," ")</f>
        <v xml:space="preserve"> </v>
      </c>
      <c r="I85" s="14" t="str">
        <f t="shared" ref="I85:I94" si="46">IF(C85&gt;0,"No"," ")</f>
        <v xml:space="preserve"> </v>
      </c>
      <c r="J85" s="14" t="str">
        <f>IF(I85="Yes","May",IF(C85&gt;0,LOOKUP(A85,'Talents-Skills'!$A$2:$A$496,'Talents-Skills'!$F$2:$F$496)," "))</f>
        <v xml:space="preserve"> </v>
      </c>
      <c r="K85" s="140" t="str">
        <f>IF(C85&gt;0,LOOKUP(A85,'Talents-Skills'!$A$2:$A$496,'Talents-Skills'!$G$2:$G$496)," ")</f>
        <v xml:space="preserve"> </v>
      </c>
      <c r="L85" s="9" t="str">
        <f t="shared" ref="L85:L94" si="47">IF(C85=0," ",IF(B85&lt;5,LOOKUP(C85,$AQ$23:$AQ$38,$AS$23:$AS$38),IF(B85&lt;9,LOOKUP(C85,$AQ$23:$AQ$38,$AU$23:$AU$38),IF(B85&lt;13,LOOKUP(C85,$AQ$23:$AQ$38,$AW$23:$AW$38),IF(B85&lt;16,LOOKUP(C85,$AQ$23:$AQ$38,$AY$23:$AY$38)," ")))))</f>
        <v xml:space="preserve"> </v>
      </c>
      <c r="N85" s="10"/>
      <c r="P85" s="65">
        <v>83</v>
      </c>
      <c r="Q85" s="10">
        <v>32</v>
      </c>
      <c r="R85" s="10" t="s">
        <v>5410</v>
      </c>
      <c r="S85" s="10" t="s">
        <v>5411</v>
      </c>
      <c r="T85" s="10">
        <v>112</v>
      </c>
      <c r="U85" s="10">
        <v>35</v>
      </c>
      <c r="V85" s="10">
        <v>104</v>
      </c>
      <c r="W85" s="10">
        <v>14</v>
      </c>
      <c r="X85" s="10">
        <v>26</v>
      </c>
      <c r="Z85" s="10">
        <v>84</v>
      </c>
      <c r="AA85" s="10">
        <v>29</v>
      </c>
      <c r="AC85" s="10">
        <v>84</v>
      </c>
      <c r="AD85" s="10" t="s">
        <v>5412</v>
      </c>
      <c r="AH85" s="12"/>
      <c r="AQ85" s="20"/>
      <c r="AR85" s="21"/>
      <c r="AS85" s="21"/>
      <c r="AT85" s="21"/>
      <c r="AU85" s="21"/>
      <c r="AV85" s="14">
        <v>10</v>
      </c>
      <c r="AW85" s="14">
        <f>COUNTIF(C22:C47,"&gt;10")</f>
        <v>1</v>
      </c>
      <c r="AX85" s="14">
        <f>COUNTIF(C46:C47,"&gt;10")</f>
        <v>0</v>
      </c>
      <c r="AY85" s="14">
        <f t="shared" si="41"/>
        <v>0</v>
      </c>
      <c r="AZ85" s="85">
        <f t="shared" si="42"/>
        <v>0</v>
      </c>
      <c r="BB85" s="185">
        <f>LOOKUP(CharGenMain!A85,'Talents-Skills'!$A$2:$A$496,'Talents-Skills'!$D$2:$D$496)</f>
        <v>0</v>
      </c>
      <c r="BW85" s="9" t="str">
        <f>IF(D85="Rank",CharGenMain!BB85," ")</f>
        <v xml:space="preserve"> </v>
      </c>
      <c r="CA85" s="126" t="s">
        <v>5409</v>
      </c>
      <c r="CB85" s="14">
        <v>5</v>
      </c>
      <c r="CC85" s="14"/>
      <c r="CD85" s="14" t="str">
        <f>IF(CC85&gt;0,LOOKUP(CA85,'Talents-Skills'!$A$2:$A$496,'Talents-Skills'!$C$2:$C$496)," ")</f>
        <v xml:space="preserve"> </v>
      </c>
      <c r="CE85" s="14">
        <f t="shared" ref="CE85:CE94" si="48">IF(CD85=$A$6,$F$6,IF(CD85=$A$7,$F$7,IF(CD85=$A$8,$F$8,IF(CD85=$A$9,$F$9,IF(CD85=$A$10,$F$10,IF(CD85=$A$11,$F$11,EW85))))))</f>
        <v>0</v>
      </c>
      <c r="CF85" s="14" t="str">
        <f t="shared" ref="CF85:CF94" si="49">IF(CC85&gt;0,(CC85+CE85)," ")</f>
        <v xml:space="preserve"> </v>
      </c>
      <c r="CG85" s="14" t="str">
        <f t="shared" ref="CG85:CG94" si="50">IF(CC85&gt;0,LOOKUP(CF85,$AC$2:$AC$101,$AD$2:$AD$101)," ")</f>
        <v xml:space="preserve"> </v>
      </c>
      <c r="CH85" s="14" t="str">
        <f>IF(CC85&gt;0,LOOKUP(CA85,'Talents-Skills'!$A$2:$A$496,'Talents-Skills'!$E$2:$E$496)," ")</f>
        <v xml:space="preserve"> </v>
      </c>
      <c r="CI85" s="14" t="str">
        <f t="shared" ref="CI85:CI94" si="51">IF(CC85&gt;0,"No"," ")</f>
        <v xml:space="preserve"> </v>
      </c>
      <c r="CJ85" s="14" t="str">
        <f>IF(CI85="Yes","May",IF(CC85&gt;0,LOOKUP(CA85,'Talents-Skills'!$A$2:$A$496,'Talents-Skills'!$F$2:$F$496)," "))</f>
        <v xml:space="preserve"> </v>
      </c>
      <c r="CK85" s="140" t="str">
        <f>IF(CC85&gt;0,LOOKUP(CA85,'Talents-Skills'!$A$2:$A$496,'Talents-Skills'!$G$2:$G$496)," ")</f>
        <v xml:space="preserve"> </v>
      </c>
      <c r="CL85" s="9" t="str">
        <f t="shared" ref="CL85:CL94" si="52">IF(CC85=0," ",IF(CB85&lt;5,LOOKUP(CC85,$AQ$23:$AQ$38,$AS$23:$AS$38),IF(CB85&lt;9,LOOKUP(CC85,$AQ$23:$AQ$38,$AU$23:$AU$38),IF(CB85&lt;13,LOOKUP(CC85,$AQ$23:$AQ$38,$AW$23:$AW$38),IF(CB85&lt;16,LOOKUP(CC85,$AQ$23:$AQ$38,$AY$23:$AY$38)," ")))))</f>
        <v xml:space="preserve"> </v>
      </c>
    </row>
    <row r="86" spans="1:90">
      <c r="A86" s="238" t="s">
        <v>5413</v>
      </c>
      <c r="B86" s="240">
        <v>5</v>
      </c>
      <c r="C86" s="240">
        <v>13</v>
      </c>
      <c r="D86" s="240" t="str">
        <f>IF(C86&gt;0,LOOKUP(A86,'Talents-Skills'!$A$2:$A$496,'Talents-Skills'!$C$2:$C$496)," ")</f>
        <v>Rank</v>
      </c>
      <c r="E86" s="240">
        <f t="shared" si="43"/>
        <v>0</v>
      </c>
      <c r="F86" s="240">
        <f t="shared" si="44"/>
        <v>13</v>
      </c>
      <c r="G86" s="240" t="str">
        <f t="shared" si="45"/>
        <v>D12+D10</v>
      </c>
      <c r="H86" s="240" t="str">
        <f>IF(C86&gt;0,LOOKUP(A86,'Talents-Skills'!$A$2:$A$496,'Talents-Skills'!$E$2:$E$496)," ")</f>
        <v>No</v>
      </c>
      <c r="I86" s="240" t="str">
        <f t="shared" si="46"/>
        <v>No</v>
      </c>
      <c r="J86" s="240" t="str">
        <f>IF(I86="Yes","May",IF(C86&gt;0,LOOKUP(A86,'Talents-Skills'!$A$2:$A$496,'Talents-Skills'!$F$2:$F$496)," "))</f>
        <v>No</v>
      </c>
      <c r="K86" s="242" t="str">
        <f>IF(C86&gt;0,LOOKUP(A86,'Talents-Skills'!$A$2:$A$496,'Talents-Skills'!$G$2:$G$496)," ")</f>
        <v>No</v>
      </c>
      <c r="L86" s="9">
        <f t="shared" si="47"/>
        <v>159400</v>
      </c>
      <c r="N86" s="10"/>
      <c r="P86" s="65">
        <v>84</v>
      </c>
      <c r="Q86" s="10">
        <v>33</v>
      </c>
      <c r="R86" s="10" t="s">
        <v>5414</v>
      </c>
      <c r="S86" s="10" t="s">
        <v>5415</v>
      </c>
      <c r="T86" s="10">
        <v>113</v>
      </c>
      <c r="U86" s="10">
        <v>35</v>
      </c>
      <c r="V86" s="10">
        <v>105</v>
      </c>
      <c r="W86" s="10">
        <v>14</v>
      </c>
      <c r="X86" s="10">
        <v>26</v>
      </c>
      <c r="Z86" s="10">
        <v>85</v>
      </c>
      <c r="AA86" s="10">
        <v>30</v>
      </c>
      <c r="AC86" s="10">
        <v>85</v>
      </c>
      <c r="AD86" s="10" t="s">
        <v>5416</v>
      </c>
      <c r="AH86" s="12"/>
      <c r="AQ86" s="20"/>
      <c r="AR86" s="21"/>
      <c r="AS86" s="21"/>
      <c r="AT86" s="21"/>
      <c r="AU86" s="21"/>
      <c r="AV86" s="14">
        <v>11</v>
      </c>
      <c r="AW86" s="14">
        <f>COUNTIF(C22:C49,"&gt;10")</f>
        <v>1</v>
      </c>
      <c r="AX86" s="14">
        <f>COUNTIF(C48:C49,"&gt;10")</f>
        <v>0</v>
      </c>
      <c r="AY86" s="14">
        <f t="shared" si="41"/>
        <v>0</v>
      </c>
      <c r="AZ86" s="85">
        <f t="shared" si="42"/>
        <v>0</v>
      </c>
      <c r="BB86" s="185">
        <f>LOOKUP(CharGenMain!A86,'Talents-Skills'!$A$2:$A$496,'Talents-Skills'!$D$2:$D$496)</f>
        <v>0</v>
      </c>
      <c r="BW86" s="9">
        <f>IF(D86="Rank",CharGenMain!BB86," ")</f>
        <v>0</v>
      </c>
      <c r="CA86" s="238" t="s">
        <v>5413</v>
      </c>
      <c r="CB86" s="240">
        <v>5</v>
      </c>
      <c r="CC86" s="240"/>
      <c r="CD86" s="240" t="str">
        <f>IF(CC86&gt;0,LOOKUP(CA86,'Talents-Skills'!$A$2:$A$496,'Talents-Skills'!$C$2:$C$496)," ")</f>
        <v xml:space="preserve"> </v>
      </c>
      <c r="CE86" s="240">
        <f t="shared" si="48"/>
        <v>0</v>
      </c>
      <c r="CF86" s="240" t="str">
        <f t="shared" si="49"/>
        <v xml:space="preserve"> </v>
      </c>
      <c r="CG86" s="240" t="str">
        <f t="shared" si="50"/>
        <v xml:space="preserve"> </v>
      </c>
      <c r="CH86" s="240" t="str">
        <f>IF(CC86&gt;0,LOOKUP(CA86,'Talents-Skills'!$A$2:$A$496,'Talents-Skills'!$E$2:$E$496)," ")</f>
        <v xml:space="preserve"> </v>
      </c>
      <c r="CI86" s="240" t="str">
        <f t="shared" si="51"/>
        <v xml:space="preserve"> </v>
      </c>
      <c r="CJ86" s="240" t="str">
        <f>IF(CI86="Yes","May",IF(CC86&gt;0,LOOKUP(CA86,'Talents-Skills'!$A$2:$A$496,'Talents-Skills'!$F$2:$F$496)," "))</f>
        <v xml:space="preserve"> </v>
      </c>
      <c r="CK86" s="242" t="str">
        <f>IF(CC86&gt;0,LOOKUP(CA86,'Talents-Skills'!$A$2:$A$496,'Talents-Skills'!$G$2:$G$496)," ")</f>
        <v xml:space="preserve"> </v>
      </c>
      <c r="CL86" s="9" t="str">
        <f t="shared" si="52"/>
        <v xml:space="preserve"> </v>
      </c>
    </row>
    <row r="87" spans="1:90">
      <c r="A87" s="126" t="s">
        <v>5417</v>
      </c>
      <c r="B87" s="14">
        <v>8</v>
      </c>
      <c r="C87" s="14"/>
      <c r="D87" s="14" t="str">
        <f>IF(C87&gt;0,LOOKUP(A87,'Talents-Skills'!$A$2:$A$496,'Talents-Skills'!$C$2:$C$496)," ")</f>
        <v xml:space="preserve"> </v>
      </c>
      <c r="E87" s="14" t="str">
        <f t="shared" si="43"/>
        <v xml:space="preserve"> </v>
      </c>
      <c r="F87" s="14" t="str">
        <f t="shared" si="44"/>
        <v xml:space="preserve"> </v>
      </c>
      <c r="G87" s="14" t="str">
        <f t="shared" si="45"/>
        <v xml:space="preserve"> </v>
      </c>
      <c r="H87" s="14" t="str">
        <f>IF(C87&gt;0,LOOKUP(A87,'Talents-Skills'!$A$2:$A$496,'Talents-Skills'!$E$2:$E$496)," ")</f>
        <v xml:space="preserve"> </v>
      </c>
      <c r="I87" s="14" t="str">
        <f t="shared" si="46"/>
        <v xml:space="preserve"> </v>
      </c>
      <c r="J87" s="14" t="str">
        <f>IF(I87="Yes","May",IF(C87&gt;0,LOOKUP(A87,'Talents-Skills'!$A$2:$A$496,'Talents-Skills'!$F$2:$F$496)," "))</f>
        <v xml:space="preserve"> </v>
      </c>
      <c r="K87" s="140" t="str">
        <f>IF(C87&gt;0,LOOKUP(A87,'Talents-Skills'!$A$2:$A$496,'Talents-Skills'!$G$2:$G$496)," ")</f>
        <v xml:space="preserve"> </v>
      </c>
      <c r="L87" s="9" t="str">
        <f t="shared" si="47"/>
        <v xml:space="preserve"> </v>
      </c>
      <c r="N87" s="10"/>
      <c r="P87" s="65">
        <v>85</v>
      </c>
      <c r="Q87" s="10">
        <v>33</v>
      </c>
      <c r="R87" s="10" t="s">
        <v>5610</v>
      </c>
      <c r="S87" s="10" t="s">
        <v>5611</v>
      </c>
      <c r="T87" s="10">
        <v>114</v>
      </c>
      <c r="U87" s="10">
        <v>35</v>
      </c>
      <c r="V87" s="10">
        <v>106</v>
      </c>
      <c r="W87" s="10">
        <v>14</v>
      </c>
      <c r="X87" s="10">
        <v>26</v>
      </c>
      <c r="Z87" s="10">
        <v>86</v>
      </c>
      <c r="AA87" s="10">
        <v>30</v>
      </c>
      <c r="AC87" s="10">
        <v>86</v>
      </c>
      <c r="AD87" s="10" t="s">
        <v>5612</v>
      </c>
      <c r="AH87" s="12"/>
      <c r="AQ87" s="20"/>
      <c r="AR87" s="21"/>
      <c r="AS87" s="21"/>
      <c r="AT87" s="21"/>
      <c r="AU87" s="21"/>
      <c r="AV87" s="14">
        <v>12</v>
      </c>
      <c r="AW87" s="14">
        <f>COUNTIF(C22:C51,"&gt;11")</f>
        <v>0</v>
      </c>
      <c r="AX87" s="14">
        <f>COUNTIF(C50:C51,"&gt;11")</f>
        <v>0</v>
      </c>
      <c r="AY87" s="14">
        <f t="shared" si="41"/>
        <v>0</v>
      </c>
      <c r="AZ87" s="85">
        <f t="shared" si="42"/>
        <v>0</v>
      </c>
      <c r="BB87" s="185">
        <f>LOOKUP(CharGenMain!A87,'Talents-Skills'!$A$2:$A$496,'Talents-Skills'!$D$2:$D$496)</f>
        <v>0</v>
      </c>
      <c r="BW87" s="9" t="str">
        <f>IF(D87="Rank",CharGenMain!BB87," ")</f>
        <v xml:space="preserve"> </v>
      </c>
      <c r="CA87" s="126" t="s">
        <v>5417</v>
      </c>
      <c r="CB87" s="14">
        <v>8</v>
      </c>
      <c r="CC87" s="14"/>
      <c r="CD87" s="14" t="str">
        <f>IF(CC87&gt;0,LOOKUP(CA87,'Talents-Skills'!$A$2:$A$496,'Talents-Skills'!$C$2:$C$496)," ")</f>
        <v xml:space="preserve"> </v>
      </c>
      <c r="CE87" s="14">
        <f t="shared" si="48"/>
        <v>0</v>
      </c>
      <c r="CF87" s="14" t="str">
        <f t="shared" si="49"/>
        <v xml:space="preserve"> </v>
      </c>
      <c r="CG87" s="14" t="str">
        <f t="shared" si="50"/>
        <v xml:space="preserve"> </v>
      </c>
      <c r="CH87" s="14" t="str">
        <f>IF(CC87&gt;0,LOOKUP(CA87,'Talents-Skills'!$A$2:$A$496,'Talents-Skills'!$E$2:$E$496)," ")</f>
        <v xml:space="preserve"> </v>
      </c>
      <c r="CI87" s="14" t="str">
        <f t="shared" si="51"/>
        <v xml:space="preserve"> </v>
      </c>
      <c r="CJ87" s="14" t="str">
        <f>IF(CI87="Yes","May",IF(CC87&gt;0,LOOKUP(CA87,'Talents-Skills'!$A$2:$A$496,'Talents-Skills'!$F$2:$F$496)," "))</f>
        <v xml:space="preserve"> </v>
      </c>
      <c r="CK87" s="140" t="str">
        <f>IF(CC87&gt;0,LOOKUP(CA87,'Talents-Skills'!$A$2:$A$496,'Talents-Skills'!$G$2:$G$496)," ")</f>
        <v xml:space="preserve"> </v>
      </c>
      <c r="CL87" s="9" t="str">
        <f t="shared" si="52"/>
        <v xml:space="preserve"> </v>
      </c>
    </row>
    <row r="88" spans="1:90">
      <c r="A88" s="238" t="s">
        <v>5613</v>
      </c>
      <c r="B88" s="240">
        <v>13</v>
      </c>
      <c r="C88" s="240"/>
      <c r="D88" s="240" t="str">
        <f>IF(C88&gt;0,LOOKUP(A88,'Talents-Skills'!$A$2:$A$496,'Talents-Skills'!$C$2:$C$496)," ")</f>
        <v xml:space="preserve"> </v>
      </c>
      <c r="E88" s="240" t="str">
        <f t="shared" si="43"/>
        <v xml:space="preserve"> </v>
      </c>
      <c r="F88" s="240" t="str">
        <f t="shared" si="44"/>
        <v xml:space="preserve"> </v>
      </c>
      <c r="G88" s="240" t="str">
        <f t="shared" si="45"/>
        <v xml:space="preserve"> </v>
      </c>
      <c r="H88" s="240" t="str">
        <f>IF(C88&gt;0,LOOKUP(A88,'Talents-Skills'!$A$2:$A$496,'Talents-Skills'!$E$2:$E$496)," ")</f>
        <v xml:space="preserve"> </v>
      </c>
      <c r="I88" s="240" t="str">
        <f t="shared" si="46"/>
        <v xml:space="preserve"> </v>
      </c>
      <c r="J88" s="240" t="str">
        <f>IF(I88="Yes","May",IF(C88&gt;0,LOOKUP(A88,'Talents-Skills'!$A$2:$A$496,'Talents-Skills'!$F$2:$F$496)," "))</f>
        <v xml:space="preserve"> </v>
      </c>
      <c r="K88" s="242" t="str">
        <f>IF(C88&gt;0,LOOKUP(A88,'Talents-Skills'!$A$2:$A$496,'Talents-Skills'!$G$2:$G$496)," ")</f>
        <v xml:space="preserve"> </v>
      </c>
      <c r="L88" s="9" t="str">
        <f t="shared" si="47"/>
        <v xml:space="preserve"> </v>
      </c>
      <c r="N88" s="10"/>
      <c r="P88" s="65">
        <v>86</v>
      </c>
      <c r="Q88" s="10">
        <v>33</v>
      </c>
      <c r="R88" s="10" t="s">
        <v>5614</v>
      </c>
      <c r="S88" s="10" t="s">
        <v>5615</v>
      </c>
      <c r="T88" s="10">
        <v>115</v>
      </c>
      <c r="U88" s="10">
        <v>36</v>
      </c>
      <c r="V88" s="10">
        <v>107</v>
      </c>
      <c r="W88" s="10">
        <v>15</v>
      </c>
      <c r="X88" s="10">
        <v>27</v>
      </c>
      <c r="Z88" s="10">
        <v>87</v>
      </c>
      <c r="AA88" s="10">
        <v>30</v>
      </c>
      <c r="AC88" s="10">
        <v>87</v>
      </c>
      <c r="AD88" s="10" t="s">
        <v>5616</v>
      </c>
      <c r="AH88" s="12"/>
      <c r="AQ88" s="20"/>
      <c r="AR88" s="21"/>
      <c r="AS88" s="21"/>
      <c r="AT88" s="21"/>
      <c r="AU88" s="21"/>
      <c r="AV88" s="14">
        <v>13</v>
      </c>
      <c r="AW88" s="14">
        <f>COUNTIF(C22:C53,"&gt;11")</f>
        <v>0</v>
      </c>
      <c r="AX88" s="14">
        <f>COUNTIF(C52:C53,"&gt;11")</f>
        <v>0</v>
      </c>
      <c r="AY88" s="14">
        <f t="shared" si="41"/>
        <v>0</v>
      </c>
      <c r="AZ88" s="85">
        <f t="shared" si="42"/>
        <v>0</v>
      </c>
      <c r="BB88" s="185">
        <f>LOOKUP(CharGenMain!A88,'Talents-Skills'!$A$2:$A$496,'Talents-Skills'!$D$2:$D$496)</f>
        <v>0</v>
      </c>
      <c r="BW88" s="9" t="str">
        <f>IF(D88="Rank",CharGenMain!BB88," ")</f>
        <v xml:space="preserve"> </v>
      </c>
      <c r="CA88" s="238" t="s">
        <v>5613</v>
      </c>
      <c r="CB88" s="240">
        <v>13</v>
      </c>
      <c r="CC88" s="240"/>
      <c r="CD88" s="240" t="str">
        <f>IF(CC88&gt;0,LOOKUP(CA88,'Talents-Skills'!$A$2:$A$496,'Talents-Skills'!$C$2:$C$496)," ")</f>
        <v xml:space="preserve"> </v>
      </c>
      <c r="CE88" s="240">
        <f t="shared" si="48"/>
        <v>0</v>
      </c>
      <c r="CF88" s="240" t="str">
        <f t="shared" si="49"/>
        <v xml:space="preserve"> </v>
      </c>
      <c r="CG88" s="240" t="str">
        <f t="shared" si="50"/>
        <v xml:space="preserve"> </v>
      </c>
      <c r="CH88" s="240" t="str">
        <f>IF(CC88&gt;0,LOOKUP(CA88,'Talents-Skills'!$A$2:$A$496,'Talents-Skills'!$E$2:$E$496)," ")</f>
        <v xml:space="preserve"> </v>
      </c>
      <c r="CI88" s="240" t="str">
        <f t="shared" si="51"/>
        <v xml:space="preserve"> </v>
      </c>
      <c r="CJ88" s="240" t="str">
        <f>IF(CI88="Yes","May",IF(CC88&gt;0,LOOKUP(CA88,'Talents-Skills'!$A$2:$A$496,'Talents-Skills'!$F$2:$F$496)," "))</f>
        <v xml:space="preserve"> </v>
      </c>
      <c r="CK88" s="242" t="str">
        <f>IF(CC88&gt;0,LOOKUP(CA88,'Talents-Skills'!$A$2:$A$496,'Talents-Skills'!$G$2:$G$496)," ")</f>
        <v xml:space="preserve"> </v>
      </c>
      <c r="CL88" s="9" t="str">
        <f t="shared" si="52"/>
        <v xml:space="preserve"> </v>
      </c>
    </row>
    <row r="89" spans="1:90">
      <c r="A89" s="126" t="s">
        <v>5423</v>
      </c>
      <c r="B89" s="14">
        <v>15</v>
      </c>
      <c r="C89" s="14"/>
      <c r="D89" s="14" t="str">
        <f>IF(C89&gt;0,LOOKUP(A89,'Talents-Skills'!$A$2:$A$496,'Talents-Skills'!$C$2:$C$496)," ")</f>
        <v xml:space="preserve"> </v>
      </c>
      <c r="E89" s="14" t="str">
        <f t="shared" si="43"/>
        <v xml:space="preserve"> </v>
      </c>
      <c r="F89" s="14" t="str">
        <f t="shared" si="44"/>
        <v xml:space="preserve"> </v>
      </c>
      <c r="G89" s="14" t="str">
        <f t="shared" si="45"/>
        <v xml:space="preserve"> </v>
      </c>
      <c r="H89" s="14" t="str">
        <f>IF(C89&gt;0,LOOKUP(A89,'Talents-Skills'!$A$2:$A$496,'Talents-Skills'!$E$2:$E$496)," ")</f>
        <v xml:space="preserve"> </v>
      </c>
      <c r="I89" s="14" t="str">
        <f t="shared" si="46"/>
        <v xml:space="preserve"> </v>
      </c>
      <c r="J89" s="14" t="str">
        <f>IF(I89="Yes","May",IF(C89&gt;0,LOOKUP(A89,'Talents-Skills'!$A$2:$A$496,'Talents-Skills'!$F$2:$F$496)," "))</f>
        <v xml:space="preserve"> </v>
      </c>
      <c r="K89" s="140" t="str">
        <f>IF(C89&gt;0,LOOKUP(A89,'Talents-Skills'!$A$2:$A$496,'Talents-Skills'!$G$2:$G$496)," ")</f>
        <v xml:space="preserve"> </v>
      </c>
      <c r="L89" s="9" t="str">
        <f t="shared" si="47"/>
        <v xml:space="preserve"> </v>
      </c>
      <c r="N89" s="10"/>
      <c r="P89" s="65">
        <v>87</v>
      </c>
      <c r="Q89" s="10">
        <v>34</v>
      </c>
      <c r="R89" s="10" t="s">
        <v>5424</v>
      </c>
      <c r="S89" s="10" t="s">
        <v>5425</v>
      </c>
      <c r="T89" s="10">
        <v>116</v>
      </c>
      <c r="U89" s="10">
        <v>36</v>
      </c>
      <c r="V89" s="10">
        <v>108</v>
      </c>
      <c r="W89" s="10">
        <v>15</v>
      </c>
      <c r="X89" s="10">
        <v>27</v>
      </c>
      <c r="Z89" s="10">
        <v>88</v>
      </c>
      <c r="AA89" s="10">
        <v>31</v>
      </c>
      <c r="AC89" s="10">
        <v>88</v>
      </c>
      <c r="AD89" s="10" t="s">
        <v>5426</v>
      </c>
      <c r="AH89" s="12"/>
      <c r="AQ89" s="20"/>
      <c r="AR89" s="21"/>
      <c r="AS89" s="21"/>
      <c r="AT89" s="21"/>
      <c r="AU89" s="21"/>
      <c r="AV89" s="14">
        <v>14</v>
      </c>
      <c r="AW89" s="14">
        <f>COUNTIF(C22:C55,"&gt;12")</f>
        <v>0</v>
      </c>
      <c r="AX89" s="14">
        <f>COUNTIF(C54:C55,"&gt;12")</f>
        <v>0</v>
      </c>
      <c r="AY89" s="14">
        <f t="shared" si="41"/>
        <v>0</v>
      </c>
      <c r="AZ89" s="85">
        <f t="shared" si="42"/>
        <v>0</v>
      </c>
      <c r="BB89" s="185">
        <f>LOOKUP(CharGenMain!A89,'Talents-Skills'!$A$2:$A$496,'Talents-Skills'!$D$2:$D$496)</f>
        <v>0</v>
      </c>
      <c r="BW89" s="9" t="str">
        <f>IF(D89="Rank",CharGenMain!BB89," ")</f>
        <v xml:space="preserve"> </v>
      </c>
      <c r="CA89" s="126" t="s">
        <v>5423</v>
      </c>
      <c r="CB89" s="14">
        <v>15</v>
      </c>
      <c r="CC89" s="14"/>
      <c r="CD89" s="14" t="str">
        <f>IF(CC89&gt;0,LOOKUP(CA89,'Talents-Skills'!$A$2:$A$496,'Talents-Skills'!$C$2:$C$496)," ")</f>
        <v xml:space="preserve"> </v>
      </c>
      <c r="CE89" s="14">
        <f t="shared" si="48"/>
        <v>0</v>
      </c>
      <c r="CF89" s="14" t="str">
        <f t="shared" si="49"/>
        <v xml:space="preserve"> </v>
      </c>
      <c r="CG89" s="14" t="str">
        <f t="shared" si="50"/>
        <v xml:space="preserve"> </v>
      </c>
      <c r="CH89" s="14" t="str">
        <f>IF(CC89&gt;0,LOOKUP(CA89,'Talents-Skills'!$A$2:$A$496,'Talents-Skills'!$E$2:$E$496)," ")</f>
        <v xml:space="preserve"> </v>
      </c>
      <c r="CI89" s="14" t="str">
        <f t="shared" si="51"/>
        <v xml:space="preserve"> </v>
      </c>
      <c r="CJ89" s="14" t="str">
        <f>IF(CI89="Yes","May",IF(CC89&gt;0,LOOKUP(CA89,'Talents-Skills'!$A$2:$A$496,'Talents-Skills'!$F$2:$F$496)," "))</f>
        <v xml:space="preserve"> </v>
      </c>
      <c r="CK89" s="140" t="str">
        <f>IF(CC89&gt;0,LOOKUP(CA89,'Talents-Skills'!$A$2:$A$496,'Talents-Skills'!$G$2:$G$496)," ")</f>
        <v xml:space="preserve"> </v>
      </c>
      <c r="CL89" s="9" t="str">
        <f t="shared" si="52"/>
        <v xml:space="preserve"> </v>
      </c>
    </row>
    <row r="90" spans="1:90">
      <c r="A90" s="238" t="str">
        <f>IF(B3="Human","Versatility"," ")</f>
        <v xml:space="preserve"> </v>
      </c>
      <c r="B90" s="240" t="str">
        <f>IF(B3="Human",1," ")</f>
        <v xml:space="preserve"> </v>
      </c>
      <c r="C90" s="240"/>
      <c r="D90" s="240" t="str">
        <f>IF(C90&gt;0,LOOKUP(A90,'Talents-Skills'!$A$2:$A$496,'Talents-Skills'!$C$2:$C$496)," ")</f>
        <v xml:space="preserve"> </v>
      </c>
      <c r="E90" s="240" t="str">
        <f t="shared" si="43"/>
        <v xml:space="preserve"> </v>
      </c>
      <c r="F90" s="240" t="str">
        <f t="shared" si="44"/>
        <v xml:space="preserve"> </v>
      </c>
      <c r="G90" s="240" t="str">
        <f t="shared" si="45"/>
        <v xml:space="preserve"> </v>
      </c>
      <c r="H90" s="240" t="str">
        <f>IF(C90&gt;0,LOOKUP(A90,'Talents-Skills'!$A$2:$A$496,'Talents-Skills'!$E$2:$E$496)," ")</f>
        <v xml:space="preserve"> </v>
      </c>
      <c r="I90" s="240" t="str">
        <f t="shared" si="46"/>
        <v xml:space="preserve"> </v>
      </c>
      <c r="J90" s="240" t="str">
        <f>IF(I90="Yes","May",IF(C90&gt;0,LOOKUP(A90,'Talents-Skills'!$A$2:$A$496,'Talents-Skills'!$F$2:$F$496)," "))</f>
        <v xml:space="preserve"> </v>
      </c>
      <c r="K90" s="242" t="str">
        <f>IF(C90&gt;0,LOOKUP(A90,'Talents-Skills'!$A$2:$A$496,'Talents-Skills'!$G$2:$G$496)," ")</f>
        <v xml:space="preserve"> </v>
      </c>
      <c r="L90" s="9" t="str">
        <f t="shared" si="47"/>
        <v xml:space="preserve"> </v>
      </c>
      <c r="N90" s="10"/>
      <c r="P90" s="65">
        <v>88</v>
      </c>
      <c r="Q90" s="10">
        <v>34</v>
      </c>
      <c r="R90" s="10" t="s">
        <v>5427</v>
      </c>
      <c r="S90" s="10" t="s">
        <v>5428</v>
      </c>
      <c r="T90" s="10">
        <v>117</v>
      </c>
      <c r="U90" s="10">
        <v>36</v>
      </c>
      <c r="V90" s="10">
        <v>109</v>
      </c>
      <c r="W90" s="10">
        <v>15</v>
      </c>
      <c r="X90" s="10">
        <v>27</v>
      </c>
      <c r="Z90" s="10">
        <v>89</v>
      </c>
      <c r="AA90" s="10">
        <v>31</v>
      </c>
      <c r="AC90" s="10">
        <v>89</v>
      </c>
      <c r="AD90" s="10" t="s">
        <v>5429</v>
      </c>
      <c r="AH90" s="12"/>
      <c r="AQ90" s="20"/>
      <c r="AR90" s="21"/>
      <c r="AS90" s="21"/>
      <c r="AT90" s="21"/>
      <c r="AU90" s="21"/>
      <c r="AV90" s="14">
        <v>15</v>
      </c>
      <c r="AW90" s="14"/>
      <c r="AX90" s="14"/>
      <c r="AY90" s="14"/>
      <c r="AZ90" s="85">
        <f t="shared" si="42"/>
        <v>0</v>
      </c>
      <c r="BB90" s="185" t="e">
        <f>LOOKUP(CharGenMain!A90,'Talents-Skills'!$A$2:$A$496,'Talents-Skills'!$D$2:$D$496)</f>
        <v>#N/A</v>
      </c>
      <c r="BW90" s="9" t="str">
        <f>IF(D90="Rank",CharGenMain!BB90," ")</f>
        <v xml:space="preserve"> </v>
      </c>
      <c r="CA90" s="238" t="str">
        <f>IF(CB3="Human","Versatility"," ")</f>
        <v xml:space="preserve"> </v>
      </c>
      <c r="CB90" s="240" t="str">
        <f>IF(CB3="Human",1," ")</f>
        <v xml:space="preserve"> </v>
      </c>
      <c r="CC90" s="240"/>
      <c r="CD90" s="240" t="str">
        <f>IF(CC90&gt;0,LOOKUP(CA90,'Talents-Skills'!$A$2:$A$496,'Talents-Skills'!$C$2:$C$496)," ")</f>
        <v xml:space="preserve"> </v>
      </c>
      <c r="CE90" s="240">
        <f t="shared" si="48"/>
        <v>0</v>
      </c>
      <c r="CF90" s="240" t="str">
        <f t="shared" si="49"/>
        <v xml:space="preserve"> </v>
      </c>
      <c r="CG90" s="240" t="str">
        <f t="shared" si="50"/>
        <v xml:space="preserve"> </v>
      </c>
      <c r="CH90" s="240" t="str">
        <f>IF(CC90&gt;0,LOOKUP(CA90,'Talents-Skills'!$A$2:$A$496,'Talents-Skills'!$E$2:$E$496)," ")</f>
        <v xml:space="preserve"> </v>
      </c>
      <c r="CI90" s="240" t="str">
        <f t="shared" si="51"/>
        <v xml:space="preserve"> </v>
      </c>
      <c r="CJ90" s="240" t="str">
        <f>IF(CI90="Yes","May",IF(CC90&gt;0,LOOKUP(CA90,'Talents-Skills'!$A$2:$A$496,'Talents-Skills'!$F$2:$F$496)," "))</f>
        <v xml:space="preserve"> </v>
      </c>
      <c r="CK90" s="242" t="str">
        <f>IF(CC90&gt;0,LOOKUP(CA90,'Talents-Skills'!$A$2:$A$496,'Talents-Skills'!$G$2:$G$496)," ")</f>
        <v xml:space="preserve"> </v>
      </c>
      <c r="CL90" s="9" t="str">
        <f t="shared" si="52"/>
        <v xml:space="preserve"> </v>
      </c>
    </row>
    <row r="91" spans="1:90">
      <c r="A91" s="126"/>
      <c r="B91" s="14"/>
      <c r="C91" s="14"/>
      <c r="D91" s="14" t="str">
        <f>IF(C91&gt;0,LOOKUP(A91,'Talents-Skills'!$A$2:$A$496,'Talents-Skills'!$C$2:$C$496)," ")</f>
        <v xml:space="preserve"> </v>
      </c>
      <c r="E91" s="14" t="str">
        <f t="shared" si="43"/>
        <v xml:space="preserve"> </v>
      </c>
      <c r="F91" s="14" t="str">
        <f t="shared" si="44"/>
        <v xml:space="preserve"> </v>
      </c>
      <c r="G91" s="14" t="str">
        <f t="shared" si="45"/>
        <v xml:space="preserve"> </v>
      </c>
      <c r="H91" s="14" t="str">
        <f>IF(C91&gt;0,LOOKUP(A91,'Talents-Skills'!$A$2:$A$496,'Talents-Skills'!$E$2:$E$496)," ")</f>
        <v xml:space="preserve"> </v>
      </c>
      <c r="I91" s="14" t="str">
        <f t="shared" si="46"/>
        <v xml:space="preserve"> </v>
      </c>
      <c r="J91" s="14" t="str">
        <f>IF(I91="Yes","May",IF(C91&gt;0,LOOKUP(A91,'Talents-Skills'!$A$2:$A$496,'Talents-Skills'!$F$2:$F$496)," "))</f>
        <v xml:space="preserve"> </v>
      </c>
      <c r="K91" s="140" t="str">
        <f>IF(C91&gt;0,LOOKUP(A91,'Talents-Skills'!$A$2:$A$496,'Talents-Skills'!$G$2:$G$496)," ")</f>
        <v xml:space="preserve"> </v>
      </c>
      <c r="L91" s="9" t="str">
        <f t="shared" si="47"/>
        <v xml:space="preserve"> </v>
      </c>
      <c r="N91" s="10"/>
      <c r="P91" s="65">
        <v>89</v>
      </c>
      <c r="Q91" s="10">
        <v>34</v>
      </c>
      <c r="R91" s="10" t="s">
        <v>5430</v>
      </c>
      <c r="S91" s="10" t="s">
        <v>5431</v>
      </c>
      <c r="T91" s="10">
        <v>118</v>
      </c>
      <c r="U91" s="10">
        <v>37</v>
      </c>
      <c r="V91" s="10">
        <v>110</v>
      </c>
      <c r="W91" s="10">
        <v>15</v>
      </c>
      <c r="X91" s="10">
        <v>28</v>
      </c>
      <c r="Z91" s="10">
        <v>90</v>
      </c>
      <c r="AA91" s="10">
        <v>31</v>
      </c>
      <c r="AC91" s="10">
        <v>90</v>
      </c>
      <c r="AD91" s="10" t="s">
        <v>5432</v>
      </c>
      <c r="AH91" s="12"/>
      <c r="AQ91" s="22"/>
      <c r="AR91" s="29"/>
      <c r="AS91" s="29"/>
      <c r="AT91" s="29"/>
      <c r="AU91" s="29"/>
      <c r="AV91" s="217" t="s">
        <v>5347</v>
      </c>
      <c r="AW91" s="15"/>
      <c r="AX91" s="29"/>
      <c r="AY91" s="23"/>
      <c r="AZ91" s="88">
        <f>IF(AZ75=15,15,AZ75+1)</f>
        <v>9</v>
      </c>
      <c r="BB91" s="185" t="e">
        <f>LOOKUP(CharGenMain!A91,'Talents-Skills'!$A$2:$A$496,'Talents-Skills'!$D$2:$D$496)</f>
        <v>#N/A</v>
      </c>
      <c r="BW91" s="9" t="str">
        <f>IF(D91="Rank",CharGenMain!BB91," ")</f>
        <v xml:space="preserve"> </v>
      </c>
      <c r="CA91" s="126"/>
      <c r="CB91" s="14"/>
      <c r="CC91" s="14"/>
      <c r="CD91" s="14" t="str">
        <f>IF(CC91&gt;0,LOOKUP(CA91,'Talents-Skills'!$A$2:$A$496,'Talents-Skills'!$C$2:$C$496)," ")</f>
        <v xml:space="preserve"> </v>
      </c>
      <c r="CE91" s="14">
        <f t="shared" si="48"/>
        <v>0</v>
      </c>
      <c r="CF91" s="14" t="str">
        <f t="shared" si="49"/>
        <v xml:space="preserve"> </v>
      </c>
      <c r="CG91" s="14" t="str">
        <f t="shared" si="50"/>
        <v xml:space="preserve"> </v>
      </c>
      <c r="CH91" s="14" t="str">
        <f>IF(CC91&gt;0,LOOKUP(CA91,'Talents-Skills'!$A$2:$A$496,'Talents-Skills'!$E$2:$E$496)," ")</f>
        <v xml:space="preserve"> </v>
      </c>
      <c r="CI91" s="14" t="str">
        <f t="shared" si="51"/>
        <v xml:space="preserve"> </v>
      </c>
      <c r="CJ91" s="14" t="str">
        <f>IF(CI91="Yes","May",IF(CC91&gt;0,LOOKUP(CA91,'Talents-Skills'!$A$2:$A$496,'Talents-Skills'!$F$2:$F$496)," "))</f>
        <v xml:space="preserve"> </v>
      </c>
      <c r="CK91" s="140" t="str">
        <f>IF(CC91&gt;0,LOOKUP(CA91,'Talents-Skills'!$A$2:$A$496,'Talents-Skills'!$G$2:$G$496)," ")</f>
        <v xml:space="preserve"> </v>
      </c>
      <c r="CL91" s="9" t="str">
        <f t="shared" si="52"/>
        <v xml:space="preserve"> </v>
      </c>
    </row>
    <row r="92" spans="1:90">
      <c r="A92" s="238"/>
      <c r="B92" s="240"/>
      <c r="C92" s="240"/>
      <c r="D92" s="240" t="str">
        <f>IF(C92&gt;0,LOOKUP(A92,'Talents-Skills'!$A$2:$A$496,'Talents-Skills'!$C$2:$C$496)," ")</f>
        <v xml:space="preserve"> </v>
      </c>
      <c r="E92" s="240" t="str">
        <f t="shared" si="43"/>
        <v xml:space="preserve"> </v>
      </c>
      <c r="F92" s="240" t="str">
        <f t="shared" si="44"/>
        <v xml:space="preserve"> </v>
      </c>
      <c r="G92" s="240" t="str">
        <f t="shared" si="45"/>
        <v xml:space="preserve"> </v>
      </c>
      <c r="H92" s="240" t="str">
        <f>IF(C92&gt;0,LOOKUP(A92,'Talents-Skills'!$A$2:$A$496,'Talents-Skills'!$E$2:$E$496)," ")</f>
        <v xml:space="preserve"> </v>
      </c>
      <c r="I92" s="240" t="str">
        <f t="shared" si="46"/>
        <v xml:space="preserve"> </v>
      </c>
      <c r="J92" s="240" t="str">
        <f>IF(I92="Yes","May",IF(C92&gt;0,LOOKUP(A92,'Talents-Skills'!$A$2:$A$496,'Talents-Skills'!$F$2:$F$496)," "))</f>
        <v xml:space="preserve"> </v>
      </c>
      <c r="K92" s="242" t="str">
        <f>IF(C92&gt;0,LOOKUP(A92,'Talents-Skills'!$A$2:$A$496,'Talents-Skills'!$G$2:$G$496)," ")</f>
        <v xml:space="preserve"> </v>
      </c>
      <c r="L92" s="9" t="str">
        <f t="shared" si="47"/>
        <v xml:space="preserve"> </v>
      </c>
      <c r="N92" s="10"/>
      <c r="P92" s="65">
        <v>90</v>
      </c>
      <c r="Q92" s="10">
        <v>35</v>
      </c>
      <c r="R92" s="10" t="s">
        <v>5625</v>
      </c>
      <c r="S92" s="10" t="s">
        <v>5626</v>
      </c>
      <c r="T92" s="10">
        <v>119</v>
      </c>
      <c r="U92" s="10">
        <v>37</v>
      </c>
      <c r="V92" s="10">
        <v>111</v>
      </c>
      <c r="W92" s="10">
        <v>15</v>
      </c>
      <c r="X92" s="10">
        <v>28</v>
      </c>
      <c r="Z92" s="10">
        <v>91</v>
      </c>
      <c r="AA92" s="10">
        <v>32</v>
      </c>
      <c r="AC92" s="10">
        <v>91</v>
      </c>
      <c r="AD92" s="10" t="s">
        <v>5437</v>
      </c>
      <c r="BB92" s="185" t="e">
        <f>LOOKUP(CharGenMain!A92,'Talents-Skills'!$A$2:$A$496,'Talents-Skills'!$D$2:$D$496)</f>
        <v>#N/A</v>
      </c>
      <c r="BW92" s="9" t="str">
        <f>IF(D92="Rank",CharGenMain!BB92," ")</f>
        <v xml:space="preserve"> </v>
      </c>
      <c r="CA92" s="238"/>
      <c r="CB92" s="240"/>
      <c r="CC92" s="240"/>
      <c r="CD92" s="240" t="str">
        <f>IF(CC92&gt;0,LOOKUP(CA92,'Talents-Skills'!$A$2:$A$496,'Talents-Skills'!$C$2:$C$496)," ")</f>
        <v xml:space="preserve"> </v>
      </c>
      <c r="CE92" s="240">
        <f t="shared" si="48"/>
        <v>0</v>
      </c>
      <c r="CF92" s="240" t="str">
        <f t="shared" si="49"/>
        <v xml:space="preserve"> </v>
      </c>
      <c r="CG92" s="240" t="str">
        <f t="shared" si="50"/>
        <v xml:space="preserve"> </v>
      </c>
      <c r="CH92" s="240" t="str">
        <f>IF(CC92&gt;0,LOOKUP(CA92,'Talents-Skills'!$A$2:$A$496,'Talents-Skills'!$E$2:$E$496)," ")</f>
        <v xml:space="preserve"> </v>
      </c>
      <c r="CI92" s="240" t="str">
        <f t="shared" si="51"/>
        <v xml:space="preserve"> </v>
      </c>
      <c r="CJ92" s="240" t="str">
        <f>IF(CI92="Yes","May",IF(CC92&gt;0,LOOKUP(CA92,'Talents-Skills'!$A$2:$A$496,'Talents-Skills'!$F$2:$F$496)," "))</f>
        <v xml:space="preserve"> </v>
      </c>
      <c r="CK92" s="242" t="str">
        <f>IF(CC92&gt;0,LOOKUP(CA92,'Talents-Skills'!$A$2:$A$496,'Talents-Skills'!$G$2:$G$496)," ")</f>
        <v xml:space="preserve"> </v>
      </c>
      <c r="CL92" s="9" t="str">
        <f t="shared" si="52"/>
        <v xml:space="preserve"> </v>
      </c>
    </row>
    <row r="93" spans="1:90">
      <c r="A93" s="126"/>
      <c r="B93" s="14"/>
      <c r="C93" s="14"/>
      <c r="D93" s="14" t="str">
        <f>IF(C93&gt;0,LOOKUP(A93,'Talents-Skills'!$A$2:$A$496,'Talents-Skills'!$C$2:$C$496)," ")</f>
        <v xml:space="preserve"> </v>
      </c>
      <c r="E93" s="14" t="str">
        <f t="shared" si="43"/>
        <v xml:space="preserve"> </v>
      </c>
      <c r="F93" s="14" t="str">
        <f t="shared" si="44"/>
        <v xml:space="preserve"> </v>
      </c>
      <c r="G93" s="14" t="str">
        <f t="shared" si="45"/>
        <v xml:space="preserve"> </v>
      </c>
      <c r="H93" s="14" t="str">
        <f>IF(C93&gt;0,LOOKUP(A93,'Talents-Skills'!$A$2:$A$496,'Talents-Skills'!$E$2:$E$496)," ")</f>
        <v xml:space="preserve"> </v>
      </c>
      <c r="I93" s="14" t="str">
        <f t="shared" si="46"/>
        <v xml:space="preserve"> </v>
      </c>
      <c r="J93" s="14" t="str">
        <f>IF(I93="Yes","May",IF(C93&gt;0,LOOKUP(A93,'Talents-Skills'!$A$2:$A$496,'Talents-Skills'!$F$2:$F$496)," "))</f>
        <v xml:space="preserve"> </v>
      </c>
      <c r="K93" s="140" t="str">
        <f>IF(C93&gt;0,LOOKUP(A93,'Talents-Skills'!$A$2:$A$496,'Talents-Skills'!$G$2:$G$496)," ")</f>
        <v xml:space="preserve"> </v>
      </c>
      <c r="L93" s="9" t="str">
        <f t="shared" si="47"/>
        <v xml:space="preserve"> </v>
      </c>
      <c r="N93" s="10"/>
      <c r="P93" s="65">
        <v>91</v>
      </c>
      <c r="Q93" s="10">
        <v>35</v>
      </c>
      <c r="R93" s="10" t="s">
        <v>5438</v>
      </c>
      <c r="S93" s="10" t="s">
        <v>5439</v>
      </c>
      <c r="T93" s="10">
        <v>120</v>
      </c>
      <c r="U93" s="10">
        <v>37</v>
      </c>
      <c r="V93" s="10">
        <v>112</v>
      </c>
      <c r="W93" s="10">
        <v>15</v>
      </c>
      <c r="X93" s="10">
        <v>28</v>
      </c>
      <c r="Z93" s="10">
        <v>92</v>
      </c>
      <c r="AA93" s="10">
        <v>32</v>
      </c>
      <c r="AC93" s="10">
        <v>92</v>
      </c>
      <c r="AD93" s="10" t="s">
        <v>5440</v>
      </c>
      <c r="BB93" s="185" t="e">
        <f>LOOKUP(CharGenMain!A93,'Talents-Skills'!$A$2:$A$496,'Talents-Skills'!$D$2:$D$496)</f>
        <v>#N/A</v>
      </c>
      <c r="BW93" s="9" t="str">
        <f>IF(D93="Rank",CharGenMain!BB93," ")</f>
        <v xml:space="preserve"> </v>
      </c>
      <c r="CA93" s="126"/>
      <c r="CB93" s="14"/>
      <c r="CC93" s="14"/>
      <c r="CD93" s="14" t="str">
        <f>IF(CC93&gt;0,LOOKUP(CA93,'Talents-Skills'!$A$2:$A$496,'Talents-Skills'!$C$2:$C$496)," ")</f>
        <v xml:space="preserve"> </v>
      </c>
      <c r="CE93" s="14">
        <f t="shared" si="48"/>
        <v>0</v>
      </c>
      <c r="CF93" s="14" t="str">
        <f t="shared" si="49"/>
        <v xml:space="preserve"> </v>
      </c>
      <c r="CG93" s="14" t="str">
        <f t="shared" si="50"/>
        <v xml:space="preserve"> </v>
      </c>
      <c r="CH93" s="14" t="str">
        <f>IF(CC93&gt;0,LOOKUP(CA93,'Talents-Skills'!$A$2:$A$496,'Talents-Skills'!$E$2:$E$496)," ")</f>
        <v xml:space="preserve"> </v>
      </c>
      <c r="CI93" s="14" t="str">
        <f t="shared" si="51"/>
        <v xml:space="preserve"> </v>
      </c>
      <c r="CJ93" s="14" t="str">
        <f>IF(CI93="Yes","May",IF(CC93&gt;0,LOOKUP(CA93,'Talents-Skills'!$A$2:$A$496,'Talents-Skills'!$F$2:$F$496)," "))</f>
        <v xml:space="preserve"> </v>
      </c>
      <c r="CK93" s="140" t="str">
        <f>IF(CC93&gt;0,LOOKUP(CA93,'Talents-Skills'!$A$2:$A$496,'Talents-Skills'!$G$2:$G$496)," ")</f>
        <v xml:space="preserve"> </v>
      </c>
      <c r="CL93" s="9" t="str">
        <f t="shared" si="52"/>
        <v xml:space="preserve"> </v>
      </c>
    </row>
    <row r="94" spans="1:90">
      <c r="A94" s="246"/>
      <c r="B94" s="247"/>
      <c r="C94" s="247"/>
      <c r="D94" s="247" t="str">
        <f>IF(C94&gt;0,LOOKUP(A94,'Talents-Skills'!$A$2:$A$496,'Talents-Skills'!$C$2:$C$496)," ")</f>
        <v xml:space="preserve"> </v>
      </c>
      <c r="E94" s="240" t="str">
        <f t="shared" si="43"/>
        <v xml:space="preserve"> </v>
      </c>
      <c r="F94" s="240" t="str">
        <f t="shared" si="44"/>
        <v xml:space="preserve"> </v>
      </c>
      <c r="G94" s="247" t="str">
        <f t="shared" si="45"/>
        <v xml:space="preserve"> </v>
      </c>
      <c r="H94" s="247" t="str">
        <f>IF(C94&gt;0,LOOKUP(A94,'Talents-Skills'!$A$2:$A$496,'Talents-Skills'!$E$2:$E$496)," ")</f>
        <v xml:space="preserve"> </v>
      </c>
      <c r="I94" s="247" t="str">
        <f t="shared" si="46"/>
        <v xml:space="preserve"> </v>
      </c>
      <c r="J94" s="247" t="str">
        <f>IF(I94="Yes","May",IF(C94&gt;0,LOOKUP(A94,'Talents-Skills'!$A$2:$A$496,'Talents-Skills'!$F$2:$F$496)," "))</f>
        <v xml:space="preserve"> </v>
      </c>
      <c r="K94" s="248" t="str">
        <f>IF(C94&gt;0,LOOKUP(A94,'Talents-Skills'!$A$2:$A$496,'Talents-Skills'!$G$2:$G$496)," ")</f>
        <v xml:space="preserve"> </v>
      </c>
      <c r="L94" s="9" t="str">
        <f t="shared" si="47"/>
        <v xml:space="preserve"> </v>
      </c>
      <c r="N94" s="10"/>
      <c r="P94" s="65">
        <v>92</v>
      </c>
      <c r="Q94" s="10">
        <v>35</v>
      </c>
      <c r="R94" s="10" t="s">
        <v>5441</v>
      </c>
      <c r="S94" s="10" t="s">
        <v>5442</v>
      </c>
      <c r="T94" s="10">
        <v>121</v>
      </c>
      <c r="U94" s="10">
        <v>38</v>
      </c>
      <c r="V94" s="10">
        <v>113</v>
      </c>
      <c r="W94" s="10">
        <v>16</v>
      </c>
      <c r="X94" s="10">
        <v>29</v>
      </c>
      <c r="Z94" s="10">
        <v>93</v>
      </c>
      <c r="AA94" s="10">
        <v>32</v>
      </c>
      <c r="AC94" s="10">
        <v>93</v>
      </c>
      <c r="AD94" s="10" t="s">
        <v>5443</v>
      </c>
      <c r="BB94" s="185" t="e">
        <f>LOOKUP(CharGenMain!A94,'Talents-Skills'!$A$2:$A$496,'Talents-Skills'!$D$2:$D$496)</f>
        <v>#N/A</v>
      </c>
      <c r="BW94" s="9" t="str">
        <f>IF(D94="Rank",CharGenMain!BB94," ")</f>
        <v xml:space="preserve"> </v>
      </c>
      <c r="CA94" s="246"/>
      <c r="CB94" s="247"/>
      <c r="CC94" s="247"/>
      <c r="CD94" s="247" t="str">
        <f>IF(CC94&gt;0,LOOKUP(CA94,'Talents-Skills'!$A$2:$A$496,'Talents-Skills'!$C$2:$C$496)," ")</f>
        <v xml:space="preserve"> </v>
      </c>
      <c r="CE94" s="240">
        <f t="shared" si="48"/>
        <v>0</v>
      </c>
      <c r="CF94" s="240" t="str">
        <f t="shared" si="49"/>
        <v xml:space="preserve"> </v>
      </c>
      <c r="CG94" s="247" t="str">
        <f t="shared" si="50"/>
        <v xml:space="preserve"> </v>
      </c>
      <c r="CH94" s="247" t="str">
        <f>IF(CC94&gt;0,LOOKUP(CA94,'Talents-Skills'!$A$2:$A$496,'Talents-Skills'!$E$2:$E$496)," ")</f>
        <v xml:space="preserve"> </v>
      </c>
      <c r="CI94" s="247" t="str">
        <f t="shared" si="51"/>
        <v xml:space="preserve"> </v>
      </c>
      <c r="CJ94" s="247" t="str">
        <f>IF(CI94="Yes","May",IF(CC94&gt;0,LOOKUP(CA94,'Talents-Skills'!$A$2:$A$496,'Talents-Skills'!$F$2:$F$496)," "))</f>
        <v xml:space="preserve"> </v>
      </c>
      <c r="CK94" s="248" t="str">
        <f>IF(CC94&gt;0,LOOKUP(CA94,'Talents-Skills'!$A$2:$A$496,'Talents-Skills'!$G$2:$G$496)," ")</f>
        <v xml:space="preserve"> </v>
      </c>
      <c r="CL94" s="9" t="str">
        <f t="shared" si="52"/>
        <v xml:space="preserve"> </v>
      </c>
    </row>
    <row r="95" spans="1:90">
      <c r="A95" s="138" t="s">
        <v>5444</v>
      </c>
      <c r="B95" s="18" t="s">
        <v>5353</v>
      </c>
      <c r="C95" s="18" t="s">
        <v>5576</v>
      </c>
      <c r="D95" s="18" t="s">
        <v>5348</v>
      </c>
      <c r="E95" s="18" t="s">
        <v>5593</v>
      </c>
      <c r="F95" s="18" t="s">
        <v>5153</v>
      </c>
      <c r="G95" s="18" t="s">
        <v>5445</v>
      </c>
      <c r="H95" s="84"/>
      <c r="I95" s="84"/>
      <c r="J95" s="84"/>
      <c r="K95" s="145"/>
      <c r="L95" s="9" t="s">
        <v>5572</v>
      </c>
      <c r="N95" s="10"/>
      <c r="P95" s="65">
        <v>93</v>
      </c>
      <c r="Q95" s="10">
        <v>36</v>
      </c>
      <c r="R95" s="10" t="s">
        <v>5446</v>
      </c>
      <c r="S95" s="10" t="s">
        <v>5238</v>
      </c>
      <c r="T95" s="10">
        <v>122</v>
      </c>
      <c r="U95" s="10">
        <v>38</v>
      </c>
      <c r="V95" s="10">
        <v>114</v>
      </c>
      <c r="W95" s="10">
        <v>16</v>
      </c>
      <c r="X95" s="10">
        <v>29</v>
      </c>
      <c r="Z95" s="10">
        <v>94</v>
      </c>
      <c r="AA95" s="10">
        <v>33</v>
      </c>
      <c r="AC95" s="10">
        <v>94</v>
      </c>
      <c r="AD95" s="10" t="s">
        <v>5239</v>
      </c>
      <c r="AQ95" s="4" t="s">
        <v>5240</v>
      </c>
      <c r="BB95" s="185"/>
      <c r="CA95" s="138" t="s">
        <v>5444</v>
      </c>
      <c r="CB95" s="18" t="s">
        <v>5353</v>
      </c>
      <c r="CC95" s="18" t="s">
        <v>5576</v>
      </c>
      <c r="CD95" s="18" t="s">
        <v>5348</v>
      </c>
      <c r="CE95" s="18" t="s">
        <v>5593</v>
      </c>
      <c r="CF95" s="18" t="s">
        <v>5153</v>
      </c>
      <c r="CG95" s="18" t="s">
        <v>5445</v>
      </c>
      <c r="CH95" s="84"/>
      <c r="CI95" s="84"/>
      <c r="CJ95" s="84"/>
      <c r="CK95" s="145"/>
      <c r="CL95" s="9" t="s">
        <v>5572</v>
      </c>
    </row>
    <row r="96" spans="1:90">
      <c r="A96" s="146" t="str">
        <f t="shared" ref="A96:A109" si="53">IF(D961=0," ",IF(D961&lt;=$D$2,A961," "))</f>
        <v>Thread Sight</v>
      </c>
      <c r="B96" s="14" t="str">
        <f t="shared" ref="B96:B109" si="54">IF(D961=0," ",IF(D961&lt;=$D$2,B961," "))</f>
        <v>All Disciplines</v>
      </c>
      <c r="C96" s="87" t="str">
        <f t="shared" ref="C96:C109" si="55">IF(D961=0," ",IF(D961&lt;=$D$2,C961," "))</f>
        <v>Threadweaving</v>
      </c>
      <c r="D96" s="14">
        <f t="shared" ref="D96:D109" si="56">IF(D961=0," ",IF(D961&lt;=$D$2,D961," "))</f>
        <v>3</v>
      </c>
      <c r="E96" s="14">
        <f t="shared" ref="E96:E109" si="57">IF(D961=0," ",IF(D961&lt;=$D$2,E961," "))</f>
        <v>100</v>
      </c>
      <c r="F96" s="14">
        <f t="shared" ref="F96:F109" si="58">IF(D961=0," ",IF(D961&lt;=$D$2,F961," "))</f>
        <v>3</v>
      </c>
      <c r="G96" s="44" t="str">
        <f t="shared" ref="G96:G109" si="59">IF(D961=0," ",IF(D961&lt;=$D$2,G961," "))</f>
        <v>Allows study of an object's true pattern including key knowledges</v>
      </c>
      <c r="H96" s="21"/>
      <c r="I96" s="21"/>
      <c r="J96" s="21"/>
      <c r="K96" s="135"/>
      <c r="L96" s="10">
        <f>IF(A96=" "," ",E96)</f>
        <v>100</v>
      </c>
      <c r="N96" s="10"/>
      <c r="P96" s="65">
        <v>94</v>
      </c>
      <c r="Q96" s="10">
        <v>36</v>
      </c>
      <c r="R96" s="10" t="s">
        <v>5054</v>
      </c>
      <c r="S96" s="10" t="s">
        <v>5055</v>
      </c>
      <c r="T96" s="10">
        <v>123</v>
      </c>
      <c r="U96" s="10">
        <v>38</v>
      </c>
      <c r="V96" s="10">
        <v>115</v>
      </c>
      <c r="W96" s="10">
        <v>16</v>
      </c>
      <c r="X96" s="10">
        <v>29</v>
      </c>
      <c r="Z96" s="10">
        <v>95</v>
      </c>
      <c r="AA96" s="10">
        <v>33</v>
      </c>
      <c r="AC96" s="10">
        <v>95</v>
      </c>
      <c r="AD96" s="10" t="s">
        <v>5056</v>
      </c>
      <c r="AQ96" s="212"/>
      <c r="AR96" s="214" t="s">
        <v>5275</v>
      </c>
      <c r="AS96" s="215"/>
      <c r="AT96" s="84"/>
      <c r="AU96" s="57"/>
      <c r="AV96" s="214" t="s">
        <v>5276</v>
      </c>
      <c r="AW96" s="215"/>
      <c r="AX96" s="84"/>
      <c r="AY96" s="84"/>
      <c r="AZ96" s="77"/>
      <c r="BB96" s="185"/>
      <c r="CA96" s="146" t="str">
        <f t="shared" ref="CA96:CA109" si="60">IF(CD961=0," ",IF(CD961&lt;=$D$2,CA961," "))</f>
        <v xml:space="preserve"> </v>
      </c>
      <c r="CB96" s="14" t="str">
        <f t="shared" ref="CB96:CB109" si="61">IF(CD961=0," ",IF(CD961&lt;=$D$2,CB961," "))</f>
        <v xml:space="preserve"> </v>
      </c>
      <c r="CC96" s="87" t="str">
        <f t="shared" ref="CC96:CC109" si="62">IF(CD961=0," ",IF(CD961&lt;=$D$2,CC961," "))</f>
        <v xml:space="preserve"> </v>
      </c>
      <c r="CD96" s="14" t="str">
        <f t="shared" ref="CD96:CD109" si="63">IF(CD961=0," ",IF(CD961&lt;=$D$2,CD961," "))</f>
        <v xml:space="preserve"> </v>
      </c>
      <c r="CE96" s="14" t="str">
        <f t="shared" ref="CE96:CE109" si="64">IF(CD961=0," ",IF(CD961&lt;=$D$2,CE961," "))</f>
        <v xml:space="preserve"> </v>
      </c>
      <c r="CF96" s="14" t="str">
        <f t="shared" ref="CF96:CF109" si="65">IF(CD961=0," ",IF(CD961&lt;=$D$2,CF961," "))</f>
        <v xml:space="preserve"> </v>
      </c>
      <c r="CG96" s="44" t="str">
        <f t="shared" ref="CG96:CG109" si="66">IF(CD961=0," ",IF(CD961&lt;=$D$2,CG961," "))</f>
        <v xml:space="preserve"> </v>
      </c>
      <c r="CH96" s="21"/>
      <c r="CI96" s="21"/>
      <c r="CJ96" s="21"/>
      <c r="CK96" s="135"/>
      <c r="CL96" s="10" t="str">
        <f>IF(CA96=" "," ",CE96)</f>
        <v xml:space="preserve"> </v>
      </c>
    </row>
    <row r="97" spans="1:90">
      <c r="A97" s="250" t="str">
        <f t="shared" si="53"/>
        <v>Claw Tool</v>
      </c>
      <c r="B97" s="240" t="str">
        <f t="shared" si="54"/>
        <v>Beastmaster</v>
      </c>
      <c r="C97" s="251" t="str">
        <f t="shared" si="55"/>
        <v>Claw Shape</v>
      </c>
      <c r="D97" s="240">
        <f t="shared" si="56"/>
        <v>4</v>
      </c>
      <c r="E97" s="240">
        <f t="shared" si="57"/>
        <v>100</v>
      </c>
      <c r="F97" s="240" t="str">
        <f t="shared" si="58"/>
        <v>+2</v>
      </c>
      <c r="G97" s="252" t="str">
        <f t="shared" si="59"/>
        <v>May use to cut ropes, carve wood, etc.  +2 Steps to climbing tests</v>
      </c>
      <c r="H97" s="253"/>
      <c r="I97" s="253"/>
      <c r="J97" s="253"/>
      <c r="K97" s="254"/>
      <c r="L97" s="10">
        <f t="shared" ref="L97:L123" si="67">IF(A97=" "," ",E97)</f>
        <v>100</v>
      </c>
      <c r="N97" s="10"/>
      <c r="P97" s="65">
        <v>95</v>
      </c>
      <c r="Q97" s="10">
        <v>36</v>
      </c>
      <c r="R97" s="10" t="s">
        <v>5057</v>
      </c>
      <c r="S97" s="10" t="s">
        <v>5245</v>
      </c>
      <c r="T97" s="10">
        <v>124</v>
      </c>
      <c r="U97" s="10">
        <v>39</v>
      </c>
      <c r="V97" s="10">
        <v>116</v>
      </c>
      <c r="W97" s="10">
        <v>16</v>
      </c>
      <c r="X97" s="10">
        <v>30</v>
      </c>
      <c r="Z97" s="10">
        <v>96</v>
      </c>
      <c r="AA97" s="10">
        <v>33</v>
      </c>
      <c r="AC97" s="10">
        <v>96</v>
      </c>
      <c r="AD97" s="10" t="s">
        <v>5246</v>
      </c>
      <c r="AQ97" s="27" t="s">
        <v>5093</v>
      </c>
      <c r="AR97" s="26" t="s">
        <v>5094</v>
      </c>
      <c r="AS97" s="26" t="s">
        <v>5095</v>
      </c>
      <c r="AT97" s="26" t="s">
        <v>5096</v>
      </c>
      <c r="AU97" s="26"/>
      <c r="AV97" s="26" t="s">
        <v>5097</v>
      </c>
      <c r="AW97" s="26" t="s">
        <v>5098</v>
      </c>
      <c r="AX97" s="164" t="s">
        <v>5286</v>
      </c>
      <c r="AY97" s="21"/>
      <c r="AZ97" s="28"/>
      <c r="BB97" s="185"/>
      <c r="CA97" s="250" t="str">
        <f t="shared" si="60"/>
        <v xml:space="preserve"> </v>
      </c>
      <c r="CB97" s="240" t="str">
        <f t="shared" si="61"/>
        <v xml:space="preserve"> </v>
      </c>
      <c r="CC97" s="251" t="str">
        <f t="shared" si="62"/>
        <v xml:space="preserve"> </v>
      </c>
      <c r="CD97" s="240" t="str">
        <f t="shared" si="63"/>
        <v xml:space="preserve"> </v>
      </c>
      <c r="CE97" s="240" t="str">
        <f t="shared" si="64"/>
        <v xml:space="preserve"> </v>
      </c>
      <c r="CF97" s="240" t="str">
        <f t="shared" si="65"/>
        <v xml:space="preserve"> </v>
      </c>
      <c r="CG97" s="252" t="str">
        <f t="shared" si="66"/>
        <v xml:space="preserve"> </v>
      </c>
      <c r="CH97" s="253"/>
      <c r="CI97" s="253"/>
      <c r="CJ97" s="253"/>
      <c r="CK97" s="254"/>
      <c r="CL97" s="10" t="str">
        <f t="shared" ref="CL97:CL123" si="68">IF(CA97=" "," ",CE97)</f>
        <v xml:space="preserve"> </v>
      </c>
    </row>
    <row r="98" spans="1:90">
      <c r="A98" s="146" t="str">
        <f t="shared" si="53"/>
        <v>Creature Remains</v>
      </c>
      <c r="B98" s="14" t="str">
        <f t="shared" si="54"/>
        <v>Beastmaster</v>
      </c>
      <c r="C98" s="87" t="str">
        <f t="shared" si="55"/>
        <v>Creature Analysis</v>
      </c>
      <c r="D98" s="14">
        <f t="shared" si="56"/>
        <v>5</v>
      </c>
      <c r="E98" s="14">
        <f t="shared" si="57"/>
        <v>100</v>
      </c>
      <c r="F98" s="14">
        <f t="shared" si="58"/>
        <v>0</v>
      </c>
      <c r="G98" s="44" t="str">
        <f t="shared" si="59"/>
        <v>Allows identification of creatures by trace evidence such as their lairs or victims</v>
      </c>
      <c r="H98" s="21"/>
      <c r="I98" s="21"/>
      <c r="J98" s="21"/>
      <c r="K98" s="135"/>
      <c r="L98" s="10">
        <f t="shared" si="67"/>
        <v>100</v>
      </c>
      <c r="N98" s="10"/>
      <c r="P98" s="65">
        <v>96</v>
      </c>
      <c r="Q98" s="10">
        <v>37</v>
      </c>
      <c r="R98" s="10" t="s">
        <v>5247</v>
      </c>
      <c r="S98" s="10" t="s">
        <v>5248</v>
      </c>
      <c r="T98" s="10">
        <v>125</v>
      </c>
      <c r="U98" s="10">
        <v>39</v>
      </c>
      <c r="V98" s="10">
        <v>117</v>
      </c>
      <c r="W98" s="10">
        <v>16</v>
      </c>
      <c r="X98" s="10">
        <v>30</v>
      </c>
      <c r="Z98" s="10">
        <v>97</v>
      </c>
      <c r="AA98" s="10">
        <v>34</v>
      </c>
      <c r="AC98" s="10">
        <v>97</v>
      </c>
      <c r="AD98" s="10" t="s">
        <v>5249</v>
      </c>
      <c r="AQ98" s="104">
        <v>2</v>
      </c>
      <c r="AR98" s="14">
        <v>5</v>
      </c>
      <c r="AS98" s="14">
        <v>2</v>
      </c>
      <c r="AT98" s="14">
        <v>1</v>
      </c>
      <c r="AU98" s="14"/>
      <c r="AV98" s="14">
        <v>1</v>
      </c>
      <c r="AW98" s="14">
        <f>COUNTIF(C135:C142,"&gt;1")</f>
        <v>6</v>
      </c>
      <c r="AX98" s="14">
        <f>COUNTIF(C135:C142,"&gt;1")</f>
        <v>6</v>
      </c>
      <c r="AY98" s="14">
        <f>IF(AW98&gt;=AR98,1,0)</f>
        <v>1</v>
      </c>
      <c r="AZ98" s="85">
        <f>IF(AND(AX98&gt;0,AY98&gt;0),1,0)</f>
        <v>1</v>
      </c>
      <c r="BB98" s="185"/>
      <c r="CA98" s="146" t="str">
        <f t="shared" si="60"/>
        <v xml:space="preserve"> </v>
      </c>
      <c r="CB98" s="14" t="str">
        <f t="shared" si="61"/>
        <v xml:space="preserve"> </v>
      </c>
      <c r="CC98" s="87" t="str">
        <f t="shared" si="62"/>
        <v xml:space="preserve"> </v>
      </c>
      <c r="CD98" s="14" t="str">
        <f t="shared" si="63"/>
        <v xml:space="preserve"> </v>
      </c>
      <c r="CE98" s="14" t="str">
        <f t="shared" si="64"/>
        <v xml:space="preserve"> </v>
      </c>
      <c r="CF98" s="14" t="str">
        <f t="shared" si="65"/>
        <v xml:space="preserve"> </v>
      </c>
      <c r="CG98" s="44" t="str">
        <f t="shared" si="66"/>
        <v xml:space="preserve"> </v>
      </c>
      <c r="CH98" s="21"/>
      <c r="CI98" s="21"/>
      <c r="CJ98" s="21"/>
      <c r="CK98" s="135"/>
      <c r="CL98" s="10" t="str">
        <f t="shared" si="68"/>
        <v xml:space="preserve"> </v>
      </c>
    </row>
    <row r="99" spans="1:90">
      <c r="A99" s="250" t="str">
        <f t="shared" si="53"/>
        <v>Braiding Threads</v>
      </c>
      <c r="B99" s="240" t="str">
        <f t="shared" si="54"/>
        <v>All Disciplines</v>
      </c>
      <c r="C99" s="251" t="str">
        <f t="shared" si="55"/>
        <v>Threadweaving</v>
      </c>
      <c r="D99" s="240">
        <f t="shared" si="56"/>
        <v>5</v>
      </c>
      <c r="E99" s="240">
        <f t="shared" si="57"/>
        <v>100</v>
      </c>
      <c r="F99" s="240">
        <f t="shared" si="58"/>
        <v>2</v>
      </c>
      <c r="G99" s="252" t="str">
        <f t="shared" si="59"/>
        <v>Allows multiple threads to be attached to a magic item</v>
      </c>
      <c r="H99" s="253"/>
      <c r="I99" s="253"/>
      <c r="J99" s="253"/>
      <c r="K99" s="254"/>
      <c r="L99" s="10">
        <f t="shared" si="67"/>
        <v>100</v>
      </c>
      <c r="N99" s="10"/>
      <c r="P99" s="65">
        <v>97</v>
      </c>
      <c r="Q99" s="10">
        <v>37</v>
      </c>
      <c r="R99" s="10" t="s">
        <v>5062</v>
      </c>
      <c r="S99" s="10" t="s">
        <v>5063</v>
      </c>
      <c r="T99" s="10">
        <v>126</v>
      </c>
      <c r="U99" s="10">
        <v>39</v>
      </c>
      <c r="V99" s="10">
        <v>118</v>
      </c>
      <c r="W99" s="10">
        <v>16</v>
      </c>
      <c r="X99" s="10">
        <v>30</v>
      </c>
      <c r="Z99" s="10">
        <v>98</v>
      </c>
      <c r="AA99" s="10">
        <v>34</v>
      </c>
      <c r="AC99" s="10">
        <v>98</v>
      </c>
      <c r="AD99" s="10" t="s">
        <v>5064</v>
      </c>
      <c r="AQ99" s="104">
        <v>3</v>
      </c>
      <c r="AR99" s="14">
        <v>6</v>
      </c>
      <c r="AS99" s="14">
        <v>3</v>
      </c>
      <c r="AT99" s="14">
        <v>2</v>
      </c>
      <c r="AU99" s="14"/>
      <c r="AV99" s="14">
        <v>2</v>
      </c>
      <c r="AW99" s="14">
        <f>COUNTIF(C135:C144,"&gt;2")</f>
        <v>8</v>
      </c>
      <c r="AX99" s="14">
        <f>COUNTIF(C143:C144,"&gt;2")</f>
        <v>2</v>
      </c>
      <c r="AY99" s="14">
        <f t="shared" ref="AY99:AY111" si="69">IF(AW99&gt;=AR99,1,0)</f>
        <v>1</v>
      </c>
      <c r="AZ99" s="85">
        <f t="shared" ref="AZ99:AZ112" si="70">IF(AND(AX99&gt;0,AY99&gt;0),1,0)</f>
        <v>1</v>
      </c>
      <c r="BB99" s="185"/>
      <c r="CA99" s="250" t="str">
        <f t="shared" si="60"/>
        <v xml:space="preserve"> </v>
      </c>
      <c r="CB99" s="240" t="str">
        <f t="shared" si="61"/>
        <v xml:space="preserve"> </v>
      </c>
      <c r="CC99" s="251" t="str">
        <f t="shared" si="62"/>
        <v xml:space="preserve"> </v>
      </c>
      <c r="CD99" s="240" t="str">
        <f t="shared" si="63"/>
        <v xml:space="preserve"> </v>
      </c>
      <c r="CE99" s="240" t="str">
        <f t="shared" si="64"/>
        <v xml:space="preserve"> </v>
      </c>
      <c r="CF99" s="240" t="str">
        <f t="shared" si="65"/>
        <v xml:space="preserve"> </v>
      </c>
      <c r="CG99" s="252" t="str">
        <f t="shared" si="66"/>
        <v xml:space="preserve"> </v>
      </c>
      <c r="CH99" s="253"/>
      <c r="CI99" s="253"/>
      <c r="CJ99" s="253"/>
      <c r="CK99" s="254"/>
      <c r="CL99" s="10" t="str">
        <f t="shared" si="68"/>
        <v xml:space="preserve"> </v>
      </c>
    </row>
    <row r="100" spans="1:90">
      <c r="A100" s="146" t="str">
        <f t="shared" si="53"/>
        <v>Talent Linking</v>
      </c>
      <c r="B100" s="14" t="str">
        <f t="shared" si="54"/>
        <v>All Disciplines</v>
      </c>
      <c r="C100" s="87" t="str">
        <f t="shared" si="55"/>
        <v>Threadweaving</v>
      </c>
      <c r="D100" s="14">
        <f t="shared" si="56"/>
        <v>5</v>
      </c>
      <c r="E100" s="14">
        <f t="shared" si="57"/>
        <v>100</v>
      </c>
      <c r="F100" s="14">
        <f t="shared" si="58"/>
        <v>2</v>
      </c>
      <c r="G100" s="44" t="str">
        <f t="shared" si="59"/>
        <v>Allows adepts to boost anothers talent step</v>
      </c>
      <c r="H100" s="21"/>
      <c r="I100" s="21"/>
      <c r="J100" s="21"/>
      <c r="K100" s="135"/>
      <c r="L100" s="10">
        <f t="shared" si="67"/>
        <v>100</v>
      </c>
      <c r="N100" s="10"/>
      <c r="P100" s="65">
        <v>98</v>
      </c>
      <c r="Q100" s="10">
        <v>37</v>
      </c>
      <c r="R100" s="10" t="s">
        <v>5065</v>
      </c>
      <c r="S100" s="10" t="s">
        <v>5066</v>
      </c>
      <c r="T100" s="10">
        <v>127</v>
      </c>
      <c r="U100" s="10">
        <v>40</v>
      </c>
      <c r="V100" s="10">
        <v>119</v>
      </c>
      <c r="W100" s="10">
        <v>17</v>
      </c>
      <c r="X100" s="10">
        <v>31</v>
      </c>
      <c r="Z100" s="10">
        <v>99</v>
      </c>
      <c r="AA100" s="10">
        <v>34</v>
      </c>
      <c r="AC100" s="10">
        <v>99</v>
      </c>
      <c r="AD100" s="10" t="s">
        <v>5067</v>
      </c>
      <c r="AQ100" s="104">
        <v>4</v>
      </c>
      <c r="AR100" s="14">
        <v>7</v>
      </c>
      <c r="AS100" s="14">
        <v>4</v>
      </c>
      <c r="AT100" s="14">
        <v>3</v>
      </c>
      <c r="AU100" s="14"/>
      <c r="AV100" s="14">
        <v>3</v>
      </c>
      <c r="AW100" s="14">
        <f>COUNTIF(C135:C146,"&gt;3")</f>
        <v>9</v>
      </c>
      <c r="AX100" s="14">
        <f>COUNTIF(C145:C146,"&gt;3")</f>
        <v>1</v>
      </c>
      <c r="AY100" s="14">
        <f t="shared" si="69"/>
        <v>1</v>
      </c>
      <c r="AZ100" s="85">
        <f t="shared" si="70"/>
        <v>1</v>
      </c>
      <c r="BB100" s="185"/>
      <c r="CA100" s="146" t="str">
        <f t="shared" si="60"/>
        <v xml:space="preserve"> </v>
      </c>
      <c r="CB100" s="14" t="str">
        <f t="shared" si="61"/>
        <v xml:space="preserve"> </v>
      </c>
      <c r="CC100" s="87" t="str">
        <f t="shared" si="62"/>
        <v xml:space="preserve"> </v>
      </c>
      <c r="CD100" s="14" t="str">
        <f t="shared" si="63"/>
        <v xml:space="preserve"> </v>
      </c>
      <c r="CE100" s="14" t="str">
        <f t="shared" si="64"/>
        <v xml:space="preserve"> </v>
      </c>
      <c r="CF100" s="14" t="str">
        <f t="shared" si="65"/>
        <v xml:space="preserve"> </v>
      </c>
      <c r="CG100" s="44" t="str">
        <f t="shared" si="66"/>
        <v xml:space="preserve"> </v>
      </c>
      <c r="CH100" s="21"/>
      <c r="CI100" s="21"/>
      <c r="CJ100" s="21"/>
      <c r="CK100" s="135"/>
      <c r="CL100" s="10" t="str">
        <f t="shared" si="68"/>
        <v xml:space="preserve"> </v>
      </c>
    </row>
    <row r="101" spans="1:90">
      <c r="A101" s="250" t="str">
        <f t="shared" si="53"/>
        <v>Thread Masking</v>
      </c>
      <c r="B101" s="240" t="str">
        <f t="shared" si="54"/>
        <v>All Disciplines</v>
      </c>
      <c r="C101" s="251" t="str">
        <f t="shared" si="55"/>
        <v>Threadweaving</v>
      </c>
      <c r="D101" s="240">
        <f t="shared" si="56"/>
        <v>6</v>
      </c>
      <c r="E101" s="240">
        <f t="shared" si="57"/>
        <v>100</v>
      </c>
      <c r="F101" s="240">
        <f t="shared" si="58"/>
        <v>2</v>
      </c>
      <c r="G101" s="252" t="str">
        <f t="shared" si="59"/>
        <v>Increases difficulty of detecting the adepts threads</v>
      </c>
      <c r="H101" s="253"/>
      <c r="I101" s="253"/>
      <c r="J101" s="253"/>
      <c r="K101" s="254"/>
      <c r="L101" s="10">
        <f t="shared" si="67"/>
        <v>100</v>
      </c>
      <c r="N101" s="10"/>
      <c r="P101" s="65">
        <v>99</v>
      </c>
      <c r="Q101" s="10">
        <v>38</v>
      </c>
      <c r="R101" s="10" t="s">
        <v>5068</v>
      </c>
      <c r="S101" s="10" t="s">
        <v>5069</v>
      </c>
      <c r="T101" s="10">
        <v>128</v>
      </c>
      <c r="U101" s="10">
        <v>40</v>
      </c>
      <c r="V101" s="10">
        <v>120</v>
      </c>
      <c r="W101" s="10">
        <v>17</v>
      </c>
      <c r="X101" s="10">
        <v>31</v>
      </c>
      <c r="Z101" s="10">
        <v>100</v>
      </c>
      <c r="AA101" s="10">
        <v>35</v>
      </c>
      <c r="AC101" s="10">
        <v>100</v>
      </c>
      <c r="AD101" s="10" t="s">
        <v>4903</v>
      </c>
      <c r="AQ101" s="104">
        <v>5</v>
      </c>
      <c r="AR101" s="14">
        <v>8</v>
      </c>
      <c r="AS101" s="14">
        <v>5</v>
      </c>
      <c r="AT101" s="14">
        <v>4</v>
      </c>
      <c r="AU101" s="14"/>
      <c r="AV101" s="14">
        <v>4</v>
      </c>
      <c r="AW101" s="14">
        <f>COUNTIF(C135:C148,"&gt;4")</f>
        <v>11</v>
      </c>
      <c r="AX101" s="14">
        <f>COUNTIF(C147:C148,"&gt;4")</f>
        <v>2</v>
      </c>
      <c r="AY101" s="14">
        <f t="shared" si="69"/>
        <v>1</v>
      </c>
      <c r="AZ101" s="85">
        <f t="shared" si="70"/>
        <v>1</v>
      </c>
      <c r="BB101" s="185"/>
      <c r="CA101" s="250" t="str">
        <f t="shared" si="60"/>
        <v xml:space="preserve"> </v>
      </c>
      <c r="CB101" s="240" t="str">
        <f t="shared" si="61"/>
        <v xml:space="preserve"> </v>
      </c>
      <c r="CC101" s="251" t="str">
        <f t="shared" si="62"/>
        <v xml:space="preserve"> </v>
      </c>
      <c r="CD101" s="240" t="str">
        <f t="shared" si="63"/>
        <v xml:space="preserve"> </v>
      </c>
      <c r="CE101" s="240" t="str">
        <f t="shared" si="64"/>
        <v xml:space="preserve"> </v>
      </c>
      <c r="CF101" s="240" t="str">
        <f t="shared" si="65"/>
        <v xml:space="preserve"> </v>
      </c>
      <c r="CG101" s="252" t="str">
        <f t="shared" si="66"/>
        <v xml:space="preserve"> </v>
      </c>
      <c r="CH101" s="253"/>
      <c r="CI101" s="253"/>
      <c r="CJ101" s="253"/>
      <c r="CK101" s="254"/>
      <c r="CL101" s="10" t="str">
        <f t="shared" si="68"/>
        <v xml:space="preserve"> </v>
      </c>
    </row>
    <row r="102" spans="1:90">
      <c r="A102" s="146" t="str">
        <f t="shared" si="53"/>
        <v>Cat's Skill</v>
      </c>
      <c r="B102" s="14" t="str">
        <f t="shared" si="54"/>
        <v>Beastmaster</v>
      </c>
      <c r="C102" s="87" t="str">
        <f t="shared" si="55"/>
        <v>Cat's Paw</v>
      </c>
      <c r="D102" s="14">
        <f t="shared" si="56"/>
        <v>7</v>
      </c>
      <c r="E102" s="14">
        <f t="shared" si="57"/>
        <v>100</v>
      </c>
      <c r="F102" s="14" t="str">
        <f t="shared" si="58"/>
        <v>+1</v>
      </c>
      <c r="G102" s="44" t="str">
        <f t="shared" si="59"/>
        <v>Use Cat's Paw step in place of dexterity step when climbing, jumping, balancing</v>
      </c>
      <c r="H102" s="21"/>
      <c r="I102" s="21"/>
      <c r="J102" s="21"/>
      <c r="K102" s="135"/>
      <c r="L102" s="10">
        <f t="shared" si="67"/>
        <v>100</v>
      </c>
      <c r="N102" s="10"/>
      <c r="P102" s="65">
        <v>100</v>
      </c>
      <c r="Q102" s="10">
        <v>38</v>
      </c>
      <c r="R102" s="10" t="s">
        <v>4904</v>
      </c>
      <c r="S102" s="10" t="s">
        <v>4905</v>
      </c>
      <c r="T102" s="10">
        <v>129</v>
      </c>
      <c r="U102" s="10">
        <v>40</v>
      </c>
      <c r="V102" s="10">
        <v>121</v>
      </c>
      <c r="W102" s="10">
        <v>17</v>
      </c>
      <c r="X102" s="10">
        <v>31</v>
      </c>
      <c r="Z102" s="10">
        <v>101</v>
      </c>
      <c r="AA102" s="10">
        <v>35</v>
      </c>
      <c r="AQ102" s="104">
        <v>6</v>
      </c>
      <c r="AR102" s="14">
        <v>9</v>
      </c>
      <c r="AS102" s="14">
        <v>6</v>
      </c>
      <c r="AT102" s="14">
        <v>5</v>
      </c>
      <c r="AU102" s="14"/>
      <c r="AV102" s="14">
        <v>5</v>
      </c>
      <c r="AW102" s="14">
        <f>COUNTIF(C135:C150,"&gt;5")</f>
        <v>13</v>
      </c>
      <c r="AX102" s="14">
        <f>COUNTIF(C149:C150,"&gt;5")</f>
        <v>2</v>
      </c>
      <c r="AY102" s="14">
        <f t="shared" si="69"/>
        <v>1</v>
      </c>
      <c r="AZ102" s="85">
        <f t="shared" si="70"/>
        <v>1</v>
      </c>
      <c r="BB102" s="185"/>
      <c r="CA102" s="146" t="str">
        <f t="shared" si="60"/>
        <v xml:space="preserve"> </v>
      </c>
      <c r="CB102" s="14" t="str">
        <f t="shared" si="61"/>
        <v xml:space="preserve"> </v>
      </c>
      <c r="CC102" s="87" t="str">
        <f t="shared" si="62"/>
        <v xml:space="preserve"> </v>
      </c>
      <c r="CD102" s="14" t="str">
        <f t="shared" si="63"/>
        <v xml:space="preserve"> </v>
      </c>
      <c r="CE102" s="14" t="str">
        <f t="shared" si="64"/>
        <v xml:space="preserve"> </v>
      </c>
      <c r="CF102" s="14" t="str">
        <f t="shared" si="65"/>
        <v xml:space="preserve"> </v>
      </c>
      <c r="CG102" s="44" t="str">
        <f t="shared" si="66"/>
        <v xml:space="preserve"> </v>
      </c>
      <c r="CH102" s="21"/>
      <c r="CI102" s="21"/>
      <c r="CJ102" s="21"/>
      <c r="CK102" s="135"/>
      <c r="CL102" s="10" t="str">
        <f t="shared" si="68"/>
        <v xml:space="preserve"> </v>
      </c>
    </row>
    <row r="103" spans="1:90">
      <c r="A103" s="250" t="str">
        <f t="shared" si="53"/>
        <v>Unraveling</v>
      </c>
      <c r="B103" s="240" t="str">
        <f t="shared" si="54"/>
        <v>All Disciplines</v>
      </c>
      <c r="C103" s="251" t="str">
        <f t="shared" si="55"/>
        <v>Threadweaving</v>
      </c>
      <c r="D103" s="240">
        <f t="shared" si="56"/>
        <v>7</v>
      </c>
      <c r="E103" s="240">
        <f t="shared" si="57"/>
        <v>100</v>
      </c>
      <c r="F103" s="240" t="str">
        <f t="shared" si="58"/>
        <v>2+</v>
      </c>
      <c r="G103" s="252" t="str">
        <f t="shared" si="59"/>
        <v>Allows 'dispelling' by unraveling a spell's threads</v>
      </c>
      <c r="H103" s="253"/>
      <c r="I103" s="253"/>
      <c r="J103" s="253"/>
      <c r="K103" s="254"/>
      <c r="L103" s="10">
        <f t="shared" si="67"/>
        <v>100</v>
      </c>
      <c r="N103" s="10"/>
      <c r="P103" s="65"/>
      <c r="Q103" s="10"/>
      <c r="R103" s="10"/>
      <c r="S103" s="10"/>
      <c r="T103" s="10"/>
      <c r="U103" s="10"/>
      <c r="V103" s="10"/>
      <c r="W103" s="10"/>
      <c r="X103" s="10"/>
      <c r="Z103" s="10">
        <v>102</v>
      </c>
      <c r="AA103" s="10">
        <v>35</v>
      </c>
      <c r="AQ103" s="104">
        <v>7</v>
      </c>
      <c r="AR103" s="14">
        <v>10</v>
      </c>
      <c r="AS103" s="14">
        <v>7</v>
      </c>
      <c r="AT103" s="14">
        <v>6</v>
      </c>
      <c r="AU103" s="14"/>
      <c r="AV103" s="14">
        <v>6</v>
      </c>
      <c r="AW103" s="14">
        <f>COUNTIF(C135:C152,"&gt;6")</f>
        <v>14</v>
      </c>
      <c r="AX103" s="14">
        <f>COUNTIF(C151:C152,"&gt;6")</f>
        <v>1</v>
      </c>
      <c r="AY103" s="14">
        <f t="shared" si="69"/>
        <v>1</v>
      </c>
      <c r="AZ103" s="85">
        <f t="shared" si="70"/>
        <v>1</v>
      </c>
      <c r="BB103" s="185"/>
      <c r="CA103" s="250" t="str">
        <f t="shared" si="60"/>
        <v xml:space="preserve"> </v>
      </c>
      <c r="CB103" s="240" t="str">
        <f t="shared" si="61"/>
        <v xml:space="preserve"> </v>
      </c>
      <c r="CC103" s="251" t="str">
        <f t="shared" si="62"/>
        <v xml:space="preserve"> </v>
      </c>
      <c r="CD103" s="240" t="str">
        <f t="shared" si="63"/>
        <v xml:space="preserve"> </v>
      </c>
      <c r="CE103" s="240" t="str">
        <f t="shared" si="64"/>
        <v xml:space="preserve"> </v>
      </c>
      <c r="CF103" s="240" t="str">
        <f t="shared" si="65"/>
        <v xml:space="preserve"> </v>
      </c>
      <c r="CG103" s="252" t="str">
        <f t="shared" si="66"/>
        <v xml:space="preserve"> </v>
      </c>
      <c r="CH103" s="253"/>
      <c r="CI103" s="253"/>
      <c r="CJ103" s="253"/>
      <c r="CK103" s="254"/>
      <c r="CL103" s="10" t="str">
        <f t="shared" si="68"/>
        <v xml:space="preserve"> </v>
      </c>
    </row>
    <row r="104" spans="1:90">
      <c r="A104" s="146" t="str">
        <f t="shared" si="53"/>
        <v>Horror Analysis</v>
      </c>
      <c r="B104" s="14" t="str">
        <f t="shared" si="54"/>
        <v>Beastmaster</v>
      </c>
      <c r="C104" s="87" t="str">
        <f t="shared" si="55"/>
        <v>Creature Analysis</v>
      </c>
      <c r="D104" s="14">
        <f t="shared" si="56"/>
        <v>7</v>
      </c>
      <c r="E104" s="14">
        <f t="shared" si="57"/>
        <v>100</v>
      </c>
      <c r="F104" s="14">
        <f t="shared" si="58"/>
        <v>0</v>
      </c>
      <c r="G104" s="44" t="str">
        <f t="shared" si="59"/>
        <v>On a good or better success vs spell defense, works vs horrors</v>
      </c>
      <c r="H104" s="21"/>
      <c r="I104" s="21"/>
      <c r="J104" s="21"/>
      <c r="K104" s="135"/>
      <c r="L104" s="10">
        <f t="shared" si="67"/>
        <v>100</v>
      </c>
      <c r="N104" s="10"/>
      <c r="P104" s="65"/>
      <c r="Q104" s="10"/>
      <c r="R104" s="10"/>
      <c r="S104" s="10"/>
      <c r="T104" s="10"/>
      <c r="U104" s="10"/>
      <c r="V104" s="10"/>
      <c r="W104" s="10"/>
      <c r="X104" s="10"/>
      <c r="Z104" s="10">
        <v>103</v>
      </c>
      <c r="AA104" s="10">
        <v>36</v>
      </c>
      <c r="AQ104" s="104">
        <v>8</v>
      </c>
      <c r="AR104" s="14">
        <v>11</v>
      </c>
      <c r="AS104" s="14">
        <v>8</v>
      </c>
      <c r="AT104" s="14">
        <v>7</v>
      </c>
      <c r="AU104" s="14"/>
      <c r="AV104" s="14">
        <v>7</v>
      </c>
      <c r="AW104" s="14">
        <f>COUNTIF(C135:C154,"&gt;7")</f>
        <v>14</v>
      </c>
      <c r="AX104" s="14">
        <f>COUNTIF(C153:C154,"&gt;7")</f>
        <v>0</v>
      </c>
      <c r="AY104" s="14">
        <f t="shared" si="69"/>
        <v>1</v>
      </c>
      <c r="AZ104" s="85">
        <f t="shared" si="70"/>
        <v>0</v>
      </c>
      <c r="BB104" s="185"/>
      <c r="CA104" s="146" t="str">
        <f t="shared" si="60"/>
        <v xml:space="preserve"> </v>
      </c>
      <c r="CB104" s="14" t="str">
        <f t="shared" si="61"/>
        <v xml:space="preserve"> </v>
      </c>
      <c r="CC104" s="87" t="str">
        <f t="shared" si="62"/>
        <v xml:space="preserve"> </v>
      </c>
      <c r="CD104" s="14" t="str">
        <f t="shared" si="63"/>
        <v xml:space="preserve"> </v>
      </c>
      <c r="CE104" s="14" t="str">
        <f t="shared" si="64"/>
        <v xml:space="preserve"> </v>
      </c>
      <c r="CF104" s="14" t="str">
        <f t="shared" si="65"/>
        <v xml:space="preserve"> </v>
      </c>
      <c r="CG104" s="44" t="str">
        <f t="shared" si="66"/>
        <v xml:space="preserve"> </v>
      </c>
      <c r="CH104" s="21"/>
      <c r="CI104" s="21"/>
      <c r="CJ104" s="21"/>
      <c r="CK104" s="135"/>
      <c r="CL104" s="10" t="str">
        <f t="shared" si="68"/>
        <v xml:space="preserve"> </v>
      </c>
    </row>
    <row r="105" spans="1:90">
      <c r="A105" s="250" t="str">
        <f t="shared" si="53"/>
        <v>Share Sense</v>
      </c>
      <c r="B105" s="240" t="str">
        <f t="shared" si="54"/>
        <v>Beastmaster</v>
      </c>
      <c r="C105" s="251" t="str">
        <f t="shared" si="55"/>
        <v>Borrow Sense</v>
      </c>
      <c r="D105" s="240">
        <f t="shared" si="56"/>
        <v>7</v>
      </c>
      <c r="E105" s="240">
        <f t="shared" si="57"/>
        <v>100</v>
      </c>
      <c r="F105" s="240">
        <f t="shared" si="58"/>
        <v>2</v>
      </c>
      <c r="G105" s="252" t="str">
        <f t="shared" si="59"/>
        <v>Allows the beastmaster to share one of his senses and an animal's sense</v>
      </c>
      <c r="H105" s="253"/>
      <c r="I105" s="253"/>
      <c r="J105" s="253"/>
      <c r="K105" s="254"/>
      <c r="L105" s="10">
        <f t="shared" si="67"/>
        <v>100</v>
      </c>
      <c r="N105" s="10"/>
      <c r="P105" s="65"/>
      <c r="U105" s="10"/>
      <c r="V105" s="1"/>
      <c r="W105" s="1"/>
      <c r="X105" s="32"/>
      <c r="Z105" s="10">
        <v>104</v>
      </c>
      <c r="AA105" s="10">
        <v>36</v>
      </c>
      <c r="AQ105" s="104">
        <v>9</v>
      </c>
      <c r="AR105" s="14">
        <v>12</v>
      </c>
      <c r="AS105" s="14">
        <v>9</v>
      </c>
      <c r="AT105" s="14">
        <v>8</v>
      </c>
      <c r="AU105" s="14"/>
      <c r="AV105" s="14">
        <v>8</v>
      </c>
      <c r="AW105" s="14">
        <f>COUNTIF(C135:C156,"&gt;8")</f>
        <v>14</v>
      </c>
      <c r="AX105" s="14">
        <f>COUNTIF(C155:C156,"&gt;8")</f>
        <v>2</v>
      </c>
      <c r="AY105" s="14">
        <f t="shared" si="69"/>
        <v>1</v>
      </c>
      <c r="AZ105" s="85">
        <f t="shared" si="70"/>
        <v>1</v>
      </c>
      <c r="BB105" s="185"/>
      <c r="CA105" s="250" t="str">
        <f t="shared" si="60"/>
        <v xml:space="preserve"> </v>
      </c>
      <c r="CB105" s="240" t="str">
        <f t="shared" si="61"/>
        <v xml:space="preserve"> </v>
      </c>
      <c r="CC105" s="251" t="str">
        <f t="shared" si="62"/>
        <v xml:space="preserve"> </v>
      </c>
      <c r="CD105" s="240" t="str">
        <f t="shared" si="63"/>
        <v xml:space="preserve"> </v>
      </c>
      <c r="CE105" s="240" t="str">
        <f t="shared" si="64"/>
        <v xml:space="preserve"> </v>
      </c>
      <c r="CF105" s="240" t="str">
        <f t="shared" si="65"/>
        <v xml:space="preserve"> </v>
      </c>
      <c r="CG105" s="252" t="str">
        <f t="shared" si="66"/>
        <v xml:space="preserve"> </v>
      </c>
      <c r="CH105" s="253"/>
      <c r="CI105" s="253"/>
      <c r="CJ105" s="253"/>
      <c r="CK105" s="254"/>
      <c r="CL105" s="10" t="str">
        <f t="shared" si="68"/>
        <v xml:space="preserve"> </v>
      </c>
    </row>
    <row r="106" spans="1:90">
      <c r="A106" s="146" t="str">
        <f t="shared" si="53"/>
        <v>Air Tracking</v>
      </c>
      <c r="B106" s="14" t="str">
        <f t="shared" si="54"/>
        <v>Beastmaster</v>
      </c>
      <c r="C106" s="87" t="str">
        <f t="shared" si="55"/>
        <v>Tracking</v>
      </c>
      <c r="D106" s="14">
        <f t="shared" si="56"/>
        <v>7</v>
      </c>
      <c r="E106" s="14">
        <f t="shared" si="57"/>
        <v>100</v>
      </c>
      <c r="F106" s="14">
        <f t="shared" si="58"/>
        <v>0</v>
      </c>
      <c r="G106" s="44" t="str">
        <f t="shared" si="59"/>
        <v>Allows tracking by scent</v>
      </c>
      <c r="H106" s="21"/>
      <c r="I106" s="21"/>
      <c r="J106" s="21"/>
      <c r="K106" s="135"/>
      <c r="L106" s="10">
        <f t="shared" si="67"/>
        <v>100</v>
      </c>
      <c r="N106" s="10"/>
      <c r="P106" s="65"/>
      <c r="W106" s="10"/>
      <c r="X106" s="10"/>
      <c r="Z106" s="10">
        <v>105</v>
      </c>
      <c r="AA106" s="10">
        <v>36</v>
      </c>
      <c r="AQ106" s="104">
        <v>10</v>
      </c>
      <c r="AR106" s="14">
        <v>13</v>
      </c>
      <c r="AS106" s="14">
        <v>10</v>
      </c>
      <c r="AT106" s="14">
        <v>9</v>
      </c>
      <c r="AU106" s="14"/>
      <c r="AV106" s="14">
        <v>9</v>
      </c>
      <c r="AW106" s="14">
        <f>COUNTIF(C135:C159,"&gt;9")</f>
        <v>14</v>
      </c>
      <c r="AX106" s="14">
        <f>COUNTIF(C157:C159,"&gt;9")</f>
        <v>1</v>
      </c>
      <c r="AY106" s="14">
        <f t="shared" si="69"/>
        <v>1</v>
      </c>
      <c r="AZ106" s="85">
        <f t="shared" si="70"/>
        <v>1</v>
      </c>
      <c r="BB106" s="185"/>
      <c r="CA106" s="146" t="str">
        <f t="shared" si="60"/>
        <v xml:space="preserve"> </v>
      </c>
      <c r="CB106" s="14" t="str">
        <f t="shared" si="61"/>
        <v xml:space="preserve"> </v>
      </c>
      <c r="CC106" s="87" t="str">
        <f t="shared" si="62"/>
        <v xml:space="preserve"> </v>
      </c>
      <c r="CD106" s="14" t="str">
        <f t="shared" si="63"/>
        <v xml:space="preserve"> </v>
      </c>
      <c r="CE106" s="14" t="str">
        <f t="shared" si="64"/>
        <v xml:space="preserve"> </v>
      </c>
      <c r="CF106" s="14" t="str">
        <f t="shared" si="65"/>
        <v xml:space="preserve"> </v>
      </c>
      <c r="CG106" s="44" t="str">
        <f t="shared" si="66"/>
        <v xml:space="preserve"> </v>
      </c>
      <c r="CH106" s="21"/>
      <c r="CI106" s="21"/>
      <c r="CJ106" s="21"/>
      <c r="CK106" s="135"/>
      <c r="CL106" s="10" t="str">
        <f t="shared" si="68"/>
        <v xml:space="preserve"> </v>
      </c>
    </row>
    <row r="107" spans="1:90">
      <c r="A107" s="250" t="str">
        <f t="shared" si="53"/>
        <v xml:space="preserve"> </v>
      </c>
      <c r="B107" s="240" t="str">
        <f t="shared" si="54"/>
        <v xml:space="preserve"> </v>
      </c>
      <c r="C107" s="251" t="str">
        <f t="shared" si="55"/>
        <v xml:space="preserve"> </v>
      </c>
      <c r="D107" s="240" t="str">
        <f t="shared" si="56"/>
        <v xml:space="preserve"> </v>
      </c>
      <c r="E107" s="240" t="str">
        <f t="shared" si="57"/>
        <v xml:space="preserve"> </v>
      </c>
      <c r="F107" s="240" t="str">
        <f t="shared" si="58"/>
        <v xml:space="preserve"> </v>
      </c>
      <c r="G107" s="252" t="str">
        <f t="shared" si="59"/>
        <v xml:space="preserve"> </v>
      </c>
      <c r="H107" s="253"/>
      <c r="I107" s="253"/>
      <c r="J107" s="253"/>
      <c r="K107" s="254"/>
      <c r="L107" s="10" t="str">
        <f t="shared" si="67"/>
        <v xml:space="preserve"> </v>
      </c>
      <c r="N107" s="10"/>
      <c r="P107" s="65"/>
      <c r="W107" s="10"/>
      <c r="X107" s="10"/>
      <c r="Z107" s="10">
        <v>106</v>
      </c>
      <c r="AA107" s="10">
        <v>37</v>
      </c>
      <c r="AQ107" s="104">
        <v>11</v>
      </c>
      <c r="AR107" s="14">
        <v>14</v>
      </c>
      <c r="AS107" s="14">
        <v>11</v>
      </c>
      <c r="AT107" s="14">
        <v>10</v>
      </c>
      <c r="AU107" s="14"/>
      <c r="AV107" s="14">
        <v>10</v>
      </c>
      <c r="AW107" s="14">
        <f>COUNTIF(C135:C161,"&gt;10")</f>
        <v>2</v>
      </c>
      <c r="AX107" s="14">
        <f>COUNTIF(C160:C161,"&gt;10")</f>
        <v>0</v>
      </c>
      <c r="AY107" s="14">
        <f t="shared" si="69"/>
        <v>0</v>
      </c>
      <c r="AZ107" s="85">
        <f t="shared" si="70"/>
        <v>0</v>
      </c>
      <c r="BB107" s="185"/>
      <c r="CA107" s="250" t="str">
        <f t="shared" si="60"/>
        <v xml:space="preserve"> </v>
      </c>
      <c r="CB107" s="240" t="str">
        <f t="shared" si="61"/>
        <v xml:space="preserve"> </v>
      </c>
      <c r="CC107" s="251" t="str">
        <f t="shared" si="62"/>
        <v xml:space="preserve"> </v>
      </c>
      <c r="CD107" s="240" t="str">
        <f t="shared" si="63"/>
        <v xml:space="preserve"> </v>
      </c>
      <c r="CE107" s="240" t="str">
        <f t="shared" si="64"/>
        <v xml:space="preserve"> </v>
      </c>
      <c r="CF107" s="240" t="str">
        <f t="shared" si="65"/>
        <v xml:space="preserve"> </v>
      </c>
      <c r="CG107" s="252" t="str">
        <f t="shared" si="66"/>
        <v xml:space="preserve"> </v>
      </c>
      <c r="CH107" s="253"/>
      <c r="CI107" s="253"/>
      <c r="CJ107" s="253"/>
      <c r="CK107" s="254"/>
      <c r="CL107" s="10" t="str">
        <f t="shared" si="68"/>
        <v xml:space="preserve"> </v>
      </c>
    </row>
    <row r="108" spans="1:90">
      <c r="A108" s="146" t="str">
        <f t="shared" si="53"/>
        <v xml:space="preserve"> </v>
      </c>
      <c r="B108" s="14" t="str">
        <f t="shared" si="54"/>
        <v xml:space="preserve"> </v>
      </c>
      <c r="C108" s="87" t="str">
        <f t="shared" si="55"/>
        <v xml:space="preserve"> </v>
      </c>
      <c r="D108" s="14" t="str">
        <f t="shared" si="56"/>
        <v xml:space="preserve"> </v>
      </c>
      <c r="E108" s="14" t="str">
        <f t="shared" si="57"/>
        <v xml:space="preserve"> </v>
      </c>
      <c r="F108" s="14" t="str">
        <f t="shared" si="58"/>
        <v xml:space="preserve"> </v>
      </c>
      <c r="G108" s="44" t="str">
        <f t="shared" si="59"/>
        <v xml:space="preserve"> </v>
      </c>
      <c r="H108" s="21"/>
      <c r="I108" s="21"/>
      <c r="J108" s="21"/>
      <c r="K108" s="135"/>
      <c r="L108" s="10" t="str">
        <f t="shared" si="67"/>
        <v xml:space="preserve"> </v>
      </c>
      <c r="N108" s="10"/>
      <c r="P108" s="65"/>
      <c r="W108" s="10"/>
      <c r="X108" s="10"/>
      <c r="Z108" s="10">
        <v>107</v>
      </c>
      <c r="AA108" s="10">
        <v>37</v>
      </c>
      <c r="AQ108" s="104">
        <v>12</v>
      </c>
      <c r="AR108" s="14">
        <v>15</v>
      </c>
      <c r="AS108" s="14">
        <v>11</v>
      </c>
      <c r="AT108" s="14">
        <v>11</v>
      </c>
      <c r="AU108" s="14"/>
      <c r="AV108" s="14">
        <v>11</v>
      </c>
      <c r="AW108" s="14">
        <f>COUNTIF(C135:C163,"&gt;10")</f>
        <v>2</v>
      </c>
      <c r="AX108" s="14">
        <f>COUNTIF(C162:C163,"&gt;10")</f>
        <v>0</v>
      </c>
      <c r="AY108" s="14">
        <f t="shared" si="69"/>
        <v>0</v>
      </c>
      <c r="AZ108" s="85">
        <f t="shared" si="70"/>
        <v>0</v>
      </c>
      <c r="BB108" s="185"/>
      <c r="CA108" s="146" t="str">
        <f t="shared" si="60"/>
        <v xml:space="preserve"> </v>
      </c>
      <c r="CB108" s="14" t="str">
        <f t="shared" si="61"/>
        <v xml:space="preserve"> </v>
      </c>
      <c r="CC108" s="87" t="str">
        <f t="shared" si="62"/>
        <v xml:space="preserve"> </v>
      </c>
      <c r="CD108" s="14" t="str">
        <f t="shared" si="63"/>
        <v xml:space="preserve"> </v>
      </c>
      <c r="CE108" s="14" t="str">
        <f t="shared" si="64"/>
        <v xml:space="preserve"> </v>
      </c>
      <c r="CF108" s="14" t="str">
        <f t="shared" si="65"/>
        <v xml:space="preserve"> </v>
      </c>
      <c r="CG108" s="44" t="str">
        <f t="shared" si="66"/>
        <v xml:space="preserve"> </v>
      </c>
      <c r="CH108" s="21"/>
      <c r="CI108" s="21"/>
      <c r="CJ108" s="21"/>
      <c r="CK108" s="135"/>
      <c r="CL108" s="10" t="str">
        <f t="shared" si="68"/>
        <v xml:space="preserve"> </v>
      </c>
    </row>
    <row r="109" spans="1:90">
      <c r="A109" s="250" t="str">
        <f t="shared" si="53"/>
        <v xml:space="preserve"> </v>
      </c>
      <c r="B109" s="240" t="str">
        <f t="shared" si="54"/>
        <v xml:space="preserve"> </v>
      </c>
      <c r="C109" s="251" t="str">
        <f t="shared" si="55"/>
        <v xml:space="preserve"> </v>
      </c>
      <c r="D109" s="240" t="str">
        <f t="shared" si="56"/>
        <v xml:space="preserve"> </v>
      </c>
      <c r="E109" s="240" t="str">
        <f t="shared" si="57"/>
        <v xml:space="preserve"> </v>
      </c>
      <c r="F109" s="240" t="str">
        <f t="shared" si="58"/>
        <v xml:space="preserve"> </v>
      </c>
      <c r="G109" s="252" t="str">
        <f t="shared" si="59"/>
        <v xml:space="preserve"> </v>
      </c>
      <c r="H109" s="253"/>
      <c r="I109" s="253"/>
      <c r="J109" s="253"/>
      <c r="K109" s="254"/>
      <c r="L109" s="10" t="str">
        <f t="shared" si="67"/>
        <v xml:space="preserve"> </v>
      </c>
      <c r="N109" s="10"/>
      <c r="P109" s="65"/>
      <c r="W109" s="10"/>
      <c r="X109" s="10"/>
      <c r="Z109" s="10">
        <v>108</v>
      </c>
      <c r="AA109" s="10">
        <v>37</v>
      </c>
      <c r="AQ109" s="104">
        <v>13</v>
      </c>
      <c r="AR109" s="14">
        <v>16</v>
      </c>
      <c r="AS109" s="14">
        <v>12</v>
      </c>
      <c r="AT109" s="14">
        <v>12</v>
      </c>
      <c r="AU109" s="14"/>
      <c r="AV109" s="14">
        <v>12</v>
      </c>
      <c r="AW109" s="14">
        <f>COUNTIF(C135:C165,"&gt;11")</f>
        <v>2</v>
      </c>
      <c r="AX109" s="14">
        <f>COUNTIF(C164:C165,"&gt;11")</f>
        <v>0</v>
      </c>
      <c r="AY109" s="14">
        <f t="shared" si="69"/>
        <v>0</v>
      </c>
      <c r="AZ109" s="85">
        <f t="shared" si="70"/>
        <v>0</v>
      </c>
      <c r="BB109" s="185"/>
      <c r="CA109" s="250" t="str">
        <f t="shared" si="60"/>
        <v xml:space="preserve"> </v>
      </c>
      <c r="CB109" s="240" t="str">
        <f t="shared" si="61"/>
        <v xml:space="preserve"> </v>
      </c>
      <c r="CC109" s="251" t="str">
        <f t="shared" si="62"/>
        <v xml:space="preserve"> </v>
      </c>
      <c r="CD109" s="240" t="str">
        <f t="shared" si="63"/>
        <v xml:space="preserve"> </v>
      </c>
      <c r="CE109" s="240" t="str">
        <f t="shared" si="64"/>
        <v xml:space="preserve"> </v>
      </c>
      <c r="CF109" s="240" t="str">
        <f t="shared" si="65"/>
        <v xml:space="preserve"> </v>
      </c>
      <c r="CG109" s="252" t="str">
        <f t="shared" si="66"/>
        <v xml:space="preserve"> </v>
      </c>
      <c r="CH109" s="253"/>
      <c r="CI109" s="253"/>
      <c r="CJ109" s="253"/>
      <c r="CK109" s="254"/>
      <c r="CL109" s="10" t="str">
        <f t="shared" si="68"/>
        <v xml:space="preserve"> </v>
      </c>
    </row>
    <row r="110" spans="1:90">
      <c r="A110" s="146" t="str">
        <f t="shared" ref="A110:A123" si="71">IF(D1261=0," ",IF(D1261&lt;=$E$134,A1261," "))</f>
        <v>Air Legs</v>
      </c>
      <c r="B110" s="14" t="str">
        <f t="shared" ref="B110:B123" si="72">IF(D1261=0," ",IF(D1261&lt;=$E$134,B1261," "))</f>
        <v>Air Sailor</v>
      </c>
      <c r="C110" s="87" t="str">
        <f t="shared" ref="C110:C123" si="73">IF(D1261=0," ",IF(D1261&lt;=$E$134,C1261," "))</f>
        <v>Air Sailing</v>
      </c>
      <c r="D110" s="14">
        <f t="shared" ref="D110:D123" si="74">IF(D1261=0," ",IF(D1261&lt;=$E$134,D1261," "))</f>
        <v>3</v>
      </c>
      <c r="E110" s="14">
        <f t="shared" ref="E110:E123" si="75">IF(D1261=0," ",IF(D1261&lt;=$E$134,E1261," "))</f>
        <v>100</v>
      </c>
      <c r="F110" s="14">
        <f t="shared" ref="F110:F123" si="76">IF(D1261=0," ",IF(D1261&lt;=$E$134,F1261," "))</f>
        <v>2</v>
      </c>
      <c r="G110" s="44" t="str">
        <f t="shared" ref="G110:G123" si="77">IF(D1261=0," ",IF(D1261&lt;=$E$134,G1261," "))</f>
        <v>Use instead of knockdown tests while on airships</v>
      </c>
      <c r="H110" s="21"/>
      <c r="I110" s="21"/>
      <c r="J110" s="21"/>
      <c r="K110" s="135"/>
      <c r="L110" s="10">
        <f t="shared" si="67"/>
        <v>100</v>
      </c>
      <c r="N110" s="10"/>
      <c r="P110" s="65"/>
      <c r="W110" s="10"/>
      <c r="Z110" s="10">
        <v>109</v>
      </c>
      <c r="AA110" s="10">
        <v>38</v>
      </c>
      <c r="AQ110" s="104">
        <v>14</v>
      </c>
      <c r="AR110" s="14">
        <v>17</v>
      </c>
      <c r="AS110" s="14">
        <v>12</v>
      </c>
      <c r="AT110" s="14">
        <v>13</v>
      </c>
      <c r="AU110" s="14"/>
      <c r="AV110" s="14">
        <v>13</v>
      </c>
      <c r="AW110" s="14">
        <f>COUNTIF(C135:C167,"&gt;11")</f>
        <v>2</v>
      </c>
      <c r="AX110" s="14">
        <f>COUNTIF(C166:C167,"&gt;11")</f>
        <v>0</v>
      </c>
      <c r="AY110" s="14">
        <f t="shared" si="69"/>
        <v>0</v>
      </c>
      <c r="AZ110" s="85">
        <f t="shared" si="70"/>
        <v>0</v>
      </c>
      <c r="BB110" s="185"/>
      <c r="CA110" s="146" t="str">
        <f t="shared" ref="CA110:CA123" si="78">IF(CD1261=0," ",IF(CD1261&lt;=$E$134,CA1261," "))</f>
        <v xml:space="preserve"> </v>
      </c>
      <c r="CB110" s="14" t="str">
        <f t="shared" ref="CB110:CB123" si="79">IF(CD1261=0," ",IF(CD1261&lt;=$E$134,CB1261," "))</f>
        <v xml:space="preserve"> </v>
      </c>
      <c r="CC110" s="87" t="str">
        <f t="shared" ref="CC110:CC123" si="80">IF(CD1261=0," ",IF(CD1261&lt;=$E$134,CC1261," "))</f>
        <v xml:space="preserve"> </v>
      </c>
      <c r="CD110" s="14" t="str">
        <f t="shared" ref="CD110:CD123" si="81">IF(CD1261=0," ",IF(CD1261&lt;=$E$134,CD1261," "))</f>
        <v xml:space="preserve"> </v>
      </c>
      <c r="CE110" s="14" t="str">
        <f t="shared" ref="CE110:CE123" si="82">IF(CD1261=0," ",IF(CD1261&lt;=$E$134,CE1261," "))</f>
        <v xml:space="preserve"> </v>
      </c>
      <c r="CF110" s="14" t="str">
        <f t="shared" ref="CF110:CF123" si="83">IF(CD1261=0," ",IF(CD1261&lt;=$E$134,CF1261," "))</f>
        <v xml:space="preserve"> </v>
      </c>
      <c r="CG110" s="44" t="str">
        <f t="shared" ref="CG110:CG123" si="84">IF(CD1261=0," ",IF(CD1261&lt;=$E$134,CG1261," "))</f>
        <v xml:space="preserve"> </v>
      </c>
      <c r="CH110" s="21"/>
      <c r="CI110" s="21"/>
      <c r="CJ110" s="21"/>
      <c r="CK110" s="135"/>
      <c r="CL110" s="10" t="str">
        <f t="shared" si="68"/>
        <v xml:space="preserve"> </v>
      </c>
    </row>
    <row r="111" spans="1:90">
      <c r="A111" s="250" t="str">
        <f t="shared" si="71"/>
        <v>Vertical Jump</v>
      </c>
      <c r="B111" s="240" t="str">
        <f t="shared" si="72"/>
        <v>Air Sailor</v>
      </c>
      <c r="C111" s="251" t="str">
        <f t="shared" si="73"/>
        <v>Great Leap</v>
      </c>
      <c r="D111" s="240">
        <f t="shared" si="74"/>
        <v>5</v>
      </c>
      <c r="E111" s="240">
        <f t="shared" si="75"/>
        <v>100</v>
      </c>
      <c r="F111" s="240">
        <f t="shared" si="76"/>
        <v>1</v>
      </c>
      <c r="G111" s="252" t="str">
        <f t="shared" si="77"/>
        <v>Allows vertical jump of one-half the test result in feet</v>
      </c>
      <c r="H111" s="253"/>
      <c r="I111" s="253"/>
      <c r="J111" s="253"/>
      <c r="K111" s="254"/>
      <c r="L111" s="10">
        <f t="shared" si="67"/>
        <v>100</v>
      </c>
      <c r="N111" s="10"/>
      <c r="P111" s="65"/>
      <c r="V111" s="49"/>
      <c r="W111" s="10"/>
      <c r="Z111" s="10">
        <v>110</v>
      </c>
      <c r="AA111" s="10">
        <v>38</v>
      </c>
      <c r="AQ111" s="104">
        <v>15</v>
      </c>
      <c r="AR111" s="14">
        <v>18</v>
      </c>
      <c r="AS111" s="14">
        <v>13</v>
      </c>
      <c r="AT111" s="14">
        <v>14</v>
      </c>
      <c r="AU111" s="14"/>
      <c r="AV111" s="14">
        <v>14</v>
      </c>
      <c r="AW111" s="14">
        <f>COUNTIF(C135:C169,"&gt;12")</f>
        <v>0</v>
      </c>
      <c r="AX111" s="14">
        <f>COUNTIF(C168:C169,"&gt;12")</f>
        <v>0</v>
      </c>
      <c r="AY111" s="14">
        <f t="shared" si="69"/>
        <v>0</v>
      </c>
      <c r="AZ111" s="85">
        <f t="shared" si="70"/>
        <v>0</v>
      </c>
      <c r="BB111" s="185"/>
      <c r="CA111" s="250" t="str">
        <f t="shared" si="78"/>
        <v xml:space="preserve"> </v>
      </c>
      <c r="CB111" s="240" t="str">
        <f t="shared" si="79"/>
        <v xml:space="preserve"> </v>
      </c>
      <c r="CC111" s="251" t="str">
        <f t="shared" si="80"/>
        <v xml:space="preserve"> </v>
      </c>
      <c r="CD111" s="240" t="str">
        <f t="shared" si="81"/>
        <v xml:space="preserve"> </v>
      </c>
      <c r="CE111" s="240" t="str">
        <f t="shared" si="82"/>
        <v xml:space="preserve"> </v>
      </c>
      <c r="CF111" s="240" t="str">
        <f t="shared" si="83"/>
        <v xml:space="preserve"> </v>
      </c>
      <c r="CG111" s="252" t="str">
        <f t="shared" si="84"/>
        <v xml:space="preserve"> </v>
      </c>
      <c r="CH111" s="253"/>
      <c r="CI111" s="253"/>
      <c r="CJ111" s="253"/>
      <c r="CK111" s="254"/>
      <c r="CL111" s="10" t="str">
        <f t="shared" si="68"/>
        <v xml:space="preserve"> </v>
      </c>
    </row>
    <row r="112" spans="1:90">
      <c r="A112" s="146" t="str">
        <f t="shared" si="71"/>
        <v>Matched Weapons</v>
      </c>
      <c r="B112" s="14" t="str">
        <f t="shared" si="72"/>
        <v>Air Sailor</v>
      </c>
      <c r="C112" s="87" t="str">
        <f t="shared" si="73"/>
        <v>Second Weapon</v>
      </c>
      <c r="D112" s="14">
        <f t="shared" si="74"/>
        <v>6</v>
      </c>
      <c r="E112" s="14">
        <f t="shared" si="75"/>
        <v>200</v>
      </c>
      <c r="F112" s="14">
        <f t="shared" si="76"/>
        <v>0</v>
      </c>
      <c r="G112" s="44" t="str">
        <f t="shared" si="77"/>
        <v>Allows two weapons of equal size to be wielded with the second weapon talent</v>
      </c>
      <c r="H112" s="21"/>
      <c r="I112" s="21"/>
      <c r="J112" s="21"/>
      <c r="K112" s="135"/>
      <c r="L112" s="10">
        <f t="shared" si="67"/>
        <v>200</v>
      </c>
      <c r="N112" s="10"/>
      <c r="P112" s="65"/>
      <c r="W112" s="10"/>
      <c r="Z112" s="10">
        <v>111</v>
      </c>
      <c r="AA112" s="10">
        <v>38</v>
      </c>
      <c r="AQ112" s="20"/>
      <c r="AR112" s="21"/>
      <c r="AS112" s="21"/>
      <c r="AT112" s="21"/>
      <c r="AU112" s="21"/>
      <c r="AV112" s="14">
        <v>15</v>
      </c>
      <c r="AW112" s="14"/>
      <c r="AX112" s="14"/>
      <c r="AY112" s="14"/>
      <c r="AZ112" s="85">
        <f t="shared" si="70"/>
        <v>0</v>
      </c>
      <c r="BB112" s="185"/>
      <c r="CA112" s="146" t="str">
        <f t="shared" si="78"/>
        <v xml:space="preserve"> </v>
      </c>
      <c r="CB112" s="14" t="str">
        <f t="shared" si="79"/>
        <v xml:space="preserve"> </v>
      </c>
      <c r="CC112" s="87" t="str">
        <f t="shared" si="80"/>
        <v xml:space="preserve"> </v>
      </c>
      <c r="CD112" s="14" t="str">
        <f t="shared" si="81"/>
        <v xml:space="preserve"> </v>
      </c>
      <c r="CE112" s="14" t="str">
        <f t="shared" si="82"/>
        <v xml:space="preserve"> </v>
      </c>
      <c r="CF112" s="14" t="str">
        <f t="shared" si="83"/>
        <v xml:space="preserve"> </v>
      </c>
      <c r="CG112" s="44" t="str">
        <f t="shared" si="84"/>
        <v xml:space="preserve"> </v>
      </c>
      <c r="CH112" s="21"/>
      <c r="CI112" s="21"/>
      <c r="CJ112" s="21"/>
      <c r="CK112" s="135"/>
      <c r="CL112" s="10" t="str">
        <f t="shared" si="68"/>
        <v xml:space="preserve"> </v>
      </c>
    </row>
    <row r="113" spans="1:90">
      <c r="A113" s="250" t="str">
        <f t="shared" si="71"/>
        <v>Assault</v>
      </c>
      <c r="B113" s="240" t="str">
        <f t="shared" si="72"/>
        <v>Air Sailor</v>
      </c>
      <c r="C113" s="251" t="str">
        <f t="shared" si="73"/>
        <v>Air Sailing</v>
      </c>
      <c r="D113" s="240">
        <f t="shared" si="74"/>
        <v>7</v>
      </c>
      <c r="E113" s="240">
        <f t="shared" si="75"/>
        <v>100</v>
      </c>
      <c r="F113" s="240">
        <f t="shared" si="76"/>
        <v>4</v>
      </c>
      <c r="G113" s="252" t="str">
        <f t="shared" si="77"/>
        <v>Allows 2 step increase to firepower of airship</v>
      </c>
      <c r="H113" s="253"/>
      <c r="I113" s="253"/>
      <c r="J113" s="253"/>
      <c r="K113" s="254"/>
      <c r="L113" s="10">
        <f t="shared" si="67"/>
        <v>100</v>
      </c>
      <c r="N113" s="10"/>
      <c r="P113" s="65"/>
      <c r="V113" s="49"/>
      <c r="W113" s="10"/>
      <c r="Z113" s="10">
        <v>112</v>
      </c>
      <c r="AA113" s="10">
        <v>39</v>
      </c>
      <c r="AQ113" s="20"/>
      <c r="AR113" s="21"/>
      <c r="AS113" s="21"/>
      <c r="AT113" s="21"/>
      <c r="AU113" s="21"/>
      <c r="AV113" s="26" t="s">
        <v>5347</v>
      </c>
      <c r="AW113" s="108"/>
      <c r="AX113" s="21"/>
      <c r="AY113" s="14"/>
      <c r="AZ113" s="85">
        <f>IF(AZ114=15,15,AZ114+1)</f>
        <v>9</v>
      </c>
      <c r="BB113" s="185"/>
      <c r="CA113" s="250" t="str">
        <f t="shared" si="78"/>
        <v xml:space="preserve"> </v>
      </c>
      <c r="CB113" s="240" t="str">
        <f t="shared" si="79"/>
        <v xml:space="preserve"> </v>
      </c>
      <c r="CC113" s="251" t="str">
        <f t="shared" si="80"/>
        <v xml:space="preserve"> </v>
      </c>
      <c r="CD113" s="240" t="str">
        <f t="shared" si="81"/>
        <v xml:space="preserve"> </v>
      </c>
      <c r="CE113" s="240" t="str">
        <f t="shared" si="82"/>
        <v xml:space="preserve"> </v>
      </c>
      <c r="CF113" s="240" t="str">
        <f t="shared" si="83"/>
        <v xml:space="preserve"> </v>
      </c>
      <c r="CG113" s="252" t="str">
        <f t="shared" si="84"/>
        <v xml:space="preserve"> </v>
      </c>
      <c r="CH113" s="253"/>
      <c r="CI113" s="253"/>
      <c r="CJ113" s="253"/>
      <c r="CK113" s="254"/>
      <c r="CL113" s="10" t="str">
        <f t="shared" si="68"/>
        <v xml:space="preserve"> </v>
      </c>
    </row>
    <row r="114" spans="1:90">
      <c r="A114" s="146" t="str">
        <f t="shared" si="71"/>
        <v>Bounce</v>
      </c>
      <c r="B114" s="14" t="str">
        <f t="shared" si="72"/>
        <v>Air Sailor</v>
      </c>
      <c r="C114" s="87" t="str">
        <f t="shared" si="73"/>
        <v>Avoid Blow</v>
      </c>
      <c r="D114" s="14">
        <f t="shared" si="74"/>
        <v>7</v>
      </c>
      <c r="E114" s="14">
        <f t="shared" si="75"/>
        <v>100</v>
      </c>
      <c r="F114" s="14">
        <f t="shared" si="76"/>
        <v>2</v>
      </c>
      <c r="G114" s="44" t="str">
        <f t="shared" si="77"/>
        <v>Reduces falling damage by his avoid blow rank</v>
      </c>
      <c r="H114" s="21"/>
      <c r="I114" s="21"/>
      <c r="J114" s="21"/>
      <c r="K114" s="135"/>
      <c r="L114" s="10">
        <f t="shared" si="67"/>
        <v>100</v>
      </c>
      <c r="N114" s="10"/>
      <c r="P114" s="65"/>
      <c r="V114" s="49"/>
      <c r="W114" s="10"/>
      <c r="X114" s="10"/>
      <c r="Z114" s="10">
        <v>113</v>
      </c>
      <c r="AA114" s="10">
        <v>39</v>
      </c>
      <c r="AQ114" s="20"/>
      <c r="AR114" s="21" t="s">
        <v>4980</v>
      </c>
      <c r="AS114" s="21"/>
      <c r="AT114" s="21"/>
      <c r="AU114" s="21"/>
      <c r="AV114" s="21"/>
      <c r="AW114" s="21"/>
      <c r="AX114" s="21"/>
      <c r="AY114" s="14"/>
      <c r="AZ114" s="85">
        <f>SUM(AZ98:AZ112)</f>
        <v>8</v>
      </c>
      <c r="BB114" s="185"/>
      <c r="CA114" s="146" t="str">
        <f t="shared" si="78"/>
        <v xml:space="preserve"> </v>
      </c>
      <c r="CB114" s="14" t="str">
        <f t="shared" si="79"/>
        <v xml:space="preserve"> </v>
      </c>
      <c r="CC114" s="87" t="str">
        <f t="shared" si="80"/>
        <v xml:space="preserve"> </v>
      </c>
      <c r="CD114" s="14" t="str">
        <f t="shared" si="81"/>
        <v xml:space="preserve"> </v>
      </c>
      <c r="CE114" s="14" t="str">
        <f t="shared" si="82"/>
        <v xml:space="preserve"> </v>
      </c>
      <c r="CF114" s="14" t="str">
        <f t="shared" si="83"/>
        <v xml:space="preserve"> </v>
      </c>
      <c r="CG114" s="44" t="str">
        <f t="shared" si="84"/>
        <v xml:space="preserve"> </v>
      </c>
      <c r="CH114" s="21"/>
      <c r="CI114" s="21"/>
      <c r="CJ114" s="21"/>
      <c r="CK114" s="135"/>
      <c r="CL114" s="10" t="str">
        <f t="shared" si="68"/>
        <v xml:space="preserve"> </v>
      </c>
    </row>
    <row r="115" spans="1:90">
      <c r="A115" s="250" t="str">
        <f t="shared" si="71"/>
        <v>Glide</v>
      </c>
      <c r="B115" s="240" t="str">
        <f t="shared" si="72"/>
        <v>Air Sailor</v>
      </c>
      <c r="C115" s="251" t="str">
        <f t="shared" si="73"/>
        <v>Wind Catcher</v>
      </c>
      <c r="D115" s="240">
        <f t="shared" si="74"/>
        <v>8</v>
      </c>
      <c r="E115" s="240">
        <f t="shared" si="75"/>
        <v>100</v>
      </c>
      <c r="F115" s="240">
        <f t="shared" si="76"/>
        <v>2</v>
      </c>
      <c r="G115" s="252" t="str">
        <f t="shared" si="77"/>
        <v>Allows gliding as the k'stulaami gliding skill</v>
      </c>
      <c r="H115" s="253"/>
      <c r="I115" s="253"/>
      <c r="J115" s="253"/>
      <c r="K115" s="254"/>
      <c r="L115" s="10">
        <f t="shared" si="67"/>
        <v>100</v>
      </c>
      <c r="N115" s="10"/>
      <c r="P115" s="65"/>
      <c r="W115" s="10"/>
      <c r="X115" s="10"/>
      <c r="Z115" s="10">
        <v>114</v>
      </c>
      <c r="AA115" s="10">
        <v>39</v>
      </c>
      <c r="AQ115" s="20" t="s">
        <v>4985</v>
      </c>
      <c r="AR115" s="21"/>
      <c r="AS115" s="21">
        <f>IF(AS116=1,0,AZ132)</f>
        <v>10</v>
      </c>
      <c r="AT115" s="21" t="str">
        <f>IF(AS115&gt;$B$134,$AR$114," ")</f>
        <v xml:space="preserve"> </v>
      </c>
      <c r="AU115" s="21"/>
      <c r="AV115" s="216" t="s">
        <v>4986</v>
      </c>
      <c r="AW115" s="29"/>
      <c r="AX115" s="21"/>
      <c r="AY115" s="14"/>
      <c r="AZ115" s="85"/>
      <c r="BB115" s="185"/>
      <c r="CA115" s="250" t="str">
        <f t="shared" si="78"/>
        <v xml:space="preserve"> </v>
      </c>
      <c r="CB115" s="240" t="str">
        <f t="shared" si="79"/>
        <v xml:space="preserve"> </v>
      </c>
      <c r="CC115" s="251" t="str">
        <f t="shared" si="80"/>
        <v xml:space="preserve"> </v>
      </c>
      <c r="CD115" s="240" t="str">
        <f t="shared" si="81"/>
        <v xml:space="preserve"> </v>
      </c>
      <c r="CE115" s="240" t="str">
        <f t="shared" si="82"/>
        <v xml:space="preserve"> </v>
      </c>
      <c r="CF115" s="240" t="str">
        <f t="shared" si="83"/>
        <v xml:space="preserve"> </v>
      </c>
      <c r="CG115" s="252" t="str">
        <f t="shared" si="84"/>
        <v xml:space="preserve"> </v>
      </c>
      <c r="CH115" s="253"/>
      <c r="CI115" s="253"/>
      <c r="CJ115" s="253"/>
      <c r="CK115" s="254"/>
      <c r="CL115" s="10" t="str">
        <f t="shared" si="68"/>
        <v xml:space="preserve"> </v>
      </c>
    </row>
    <row r="116" spans="1:90">
      <c r="A116" s="146" t="str">
        <f t="shared" si="71"/>
        <v xml:space="preserve"> </v>
      </c>
      <c r="B116" s="14" t="str">
        <f t="shared" si="72"/>
        <v xml:space="preserve"> </v>
      </c>
      <c r="C116" s="87" t="str">
        <f t="shared" si="73"/>
        <v xml:space="preserve"> </v>
      </c>
      <c r="D116" s="14" t="str">
        <f t="shared" si="74"/>
        <v xml:space="preserve"> </v>
      </c>
      <c r="E116" s="14" t="str">
        <f t="shared" si="75"/>
        <v xml:space="preserve"> </v>
      </c>
      <c r="F116" s="14" t="str">
        <f t="shared" si="76"/>
        <v xml:space="preserve"> </v>
      </c>
      <c r="G116" s="44" t="str">
        <f t="shared" si="77"/>
        <v xml:space="preserve"> </v>
      </c>
      <c r="H116" s="21"/>
      <c r="I116" s="21"/>
      <c r="J116" s="21"/>
      <c r="K116" s="135"/>
      <c r="L116" s="10" t="str">
        <f t="shared" si="67"/>
        <v xml:space="preserve"> </v>
      </c>
      <c r="N116" s="10"/>
      <c r="P116" s="65"/>
      <c r="W116" s="10"/>
      <c r="Z116" s="10">
        <v>115</v>
      </c>
      <c r="AA116" s="10">
        <v>40</v>
      </c>
      <c r="AQ116" s="20">
        <f>IF($B$134="Elementalist",1,0)</f>
        <v>0</v>
      </c>
      <c r="AR116" s="21"/>
      <c r="AS116" s="21">
        <f>IF(AQ124=1,AZ113,AZ132)</f>
        <v>10</v>
      </c>
      <c r="AT116" s="21" t="str">
        <f>IF(AS116&gt;$B$134,$AR$114," ")</f>
        <v xml:space="preserve"> </v>
      </c>
      <c r="AU116" s="21"/>
      <c r="AV116" s="26" t="s">
        <v>5097</v>
      </c>
      <c r="AW116" s="26" t="s">
        <v>5098</v>
      </c>
      <c r="AX116" s="164" t="s">
        <v>5286</v>
      </c>
      <c r="AY116" s="14"/>
      <c r="AZ116" s="85">
        <f>SUM(AZ117:AZ131)</f>
        <v>9</v>
      </c>
      <c r="BB116" s="185"/>
      <c r="CA116" s="146" t="str">
        <f t="shared" si="78"/>
        <v xml:space="preserve"> </v>
      </c>
      <c r="CB116" s="14" t="str">
        <f t="shared" si="79"/>
        <v xml:space="preserve"> </v>
      </c>
      <c r="CC116" s="87" t="str">
        <f t="shared" si="80"/>
        <v xml:space="preserve"> </v>
      </c>
      <c r="CD116" s="14" t="str">
        <f t="shared" si="81"/>
        <v xml:space="preserve"> </v>
      </c>
      <c r="CE116" s="14" t="str">
        <f t="shared" si="82"/>
        <v xml:space="preserve"> </v>
      </c>
      <c r="CF116" s="14" t="str">
        <f t="shared" si="83"/>
        <v xml:space="preserve"> </v>
      </c>
      <c r="CG116" s="44" t="str">
        <f t="shared" si="84"/>
        <v xml:space="preserve"> </v>
      </c>
      <c r="CH116" s="21"/>
      <c r="CI116" s="21"/>
      <c r="CJ116" s="21"/>
      <c r="CK116" s="135"/>
      <c r="CL116" s="10" t="str">
        <f t="shared" si="68"/>
        <v xml:space="preserve"> </v>
      </c>
    </row>
    <row r="117" spans="1:90">
      <c r="A117" s="250" t="str">
        <f t="shared" si="71"/>
        <v xml:space="preserve"> </v>
      </c>
      <c r="B117" s="240" t="str">
        <f t="shared" si="72"/>
        <v xml:space="preserve"> </v>
      </c>
      <c r="C117" s="251" t="str">
        <f t="shared" si="73"/>
        <v xml:space="preserve"> </v>
      </c>
      <c r="D117" s="240" t="str">
        <f t="shared" si="74"/>
        <v xml:space="preserve"> </v>
      </c>
      <c r="E117" s="240" t="str">
        <f t="shared" si="75"/>
        <v xml:space="preserve"> </v>
      </c>
      <c r="F117" s="240" t="str">
        <f t="shared" si="76"/>
        <v xml:space="preserve"> </v>
      </c>
      <c r="G117" s="252" t="str">
        <f t="shared" si="77"/>
        <v xml:space="preserve"> </v>
      </c>
      <c r="H117" s="253"/>
      <c r="I117" s="253"/>
      <c r="J117" s="253"/>
      <c r="K117" s="254"/>
      <c r="L117" s="10" t="str">
        <f t="shared" si="67"/>
        <v xml:space="preserve"> </v>
      </c>
      <c r="N117" s="10"/>
      <c r="P117" s="65"/>
      <c r="W117" s="10"/>
      <c r="Z117" s="10">
        <v>116</v>
      </c>
      <c r="AA117" s="10">
        <v>40</v>
      </c>
      <c r="AQ117" s="20">
        <f>IF($B$134="Illusionist",1,0)</f>
        <v>0</v>
      </c>
      <c r="AR117" s="21"/>
      <c r="AS117" s="21"/>
      <c r="AT117" s="21"/>
      <c r="AU117" s="21"/>
      <c r="AV117" s="14">
        <v>1</v>
      </c>
      <c r="AW117" s="14">
        <f>COUNTIF(C135:C141,"&gt;1")</f>
        <v>5</v>
      </c>
      <c r="AX117" s="14">
        <f>COUNTIF(C135:C141,"&gt;1")</f>
        <v>5</v>
      </c>
      <c r="AY117" s="14">
        <f>IF(AW117&gt;=AR98,1,0)</f>
        <v>1</v>
      </c>
      <c r="AZ117" s="85">
        <f t="shared" ref="AZ117:AZ131" si="85">IF(AND(AX117&gt;0,AY117&gt;0),1,0)</f>
        <v>1</v>
      </c>
      <c r="BB117" s="185"/>
      <c r="CA117" s="250" t="str">
        <f t="shared" si="78"/>
        <v xml:space="preserve"> </v>
      </c>
      <c r="CB117" s="240" t="str">
        <f t="shared" si="79"/>
        <v xml:space="preserve"> </v>
      </c>
      <c r="CC117" s="251" t="str">
        <f t="shared" si="80"/>
        <v xml:space="preserve"> </v>
      </c>
      <c r="CD117" s="240" t="str">
        <f t="shared" si="81"/>
        <v xml:space="preserve"> </v>
      </c>
      <c r="CE117" s="240" t="str">
        <f t="shared" si="82"/>
        <v xml:space="preserve"> </v>
      </c>
      <c r="CF117" s="240" t="str">
        <f t="shared" si="83"/>
        <v xml:space="preserve"> </v>
      </c>
      <c r="CG117" s="252" t="str">
        <f t="shared" si="84"/>
        <v xml:space="preserve"> </v>
      </c>
      <c r="CH117" s="253"/>
      <c r="CI117" s="253"/>
      <c r="CJ117" s="253"/>
      <c r="CK117" s="254"/>
      <c r="CL117" s="10" t="str">
        <f t="shared" si="68"/>
        <v xml:space="preserve"> </v>
      </c>
    </row>
    <row r="118" spans="1:90">
      <c r="A118" s="146" t="str">
        <f t="shared" si="71"/>
        <v xml:space="preserve"> </v>
      </c>
      <c r="B118" s="14" t="str">
        <f t="shared" si="72"/>
        <v xml:space="preserve"> </v>
      </c>
      <c r="C118" s="87" t="str">
        <f t="shared" si="73"/>
        <v xml:space="preserve"> </v>
      </c>
      <c r="D118" s="14" t="str">
        <f t="shared" si="74"/>
        <v xml:space="preserve"> </v>
      </c>
      <c r="E118" s="14" t="str">
        <f t="shared" si="75"/>
        <v xml:space="preserve"> </v>
      </c>
      <c r="F118" s="14" t="str">
        <f t="shared" si="76"/>
        <v xml:space="preserve"> </v>
      </c>
      <c r="G118" s="44" t="str">
        <f t="shared" si="77"/>
        <v xml:space="preserve"> </v>
      </c>
      <c r="H118" s="21"/>
      <c r="I118" s="21"/>
      <c r="J118" s="21"/>
      <c r="K118" s="135"/>
      <c r="L118" s="10" t="str">
        <f t="shared" si="67"/>
        <v xml:space="preserve"> </v>
      </c>
      <c r="N118" s="10"/>
      <c r="P118" s="65"/>
      <c r="W118" s="10"/>
      <c r="X118" s="10"/>
      <c r="Z118" s="10">
        <v>117</v>
      </c>
      <c r="AA118" s="10">
        <v>40</v>
      </c>
      <c r="AQ118" s="20">
        <f>IF($B$134="Nethermancer",1,0)</f>
        <v>0</v>
      </c>
      <c r="AR118" s="21"/>
      <c r="AS118" s="21"/>
      <c r="AT118" s="21"/>
      <c r="AU118" s="21"/>
      <c r="AV118" s="14">
        <v>2</v>
      </c>
      <c r="AW118" s="14">
        <f>COUNTIF(C135:C143,"&gt;2")</f>
        <v>7</v>
      </c>
      <c r="AX118" s="14">
        <f>COUNTIF(C142:C143,"&gt;2")</f>
        <v>2</v>
      </c>
      <c r="AY118" s="14">
        <f t="shared" ref="AY118:AY130" si="86">IF(AW118&gt;=AR99,1,0)</f>
        <v>1</v>
      </c>
      <c r="AZ118" s="85">
        <f t="shared" si="85"/>
        <v>1</v>
      </c>
      <c r="BB118" s="185"/>
      <c r="CA118" s="146" t="str">
        <f t="shared" si="78"/>
        <v xml:space="preserve"> </v>
      </c>
      <c r="CB118" s="14" t="str">
        <f t="shared" si="79"/>
        <v xml:space="preserve"> </v>
      </c>
      <c r="CC118" s="87" t="str">
        <f t="shared" si="80"/>
        <v xml:space="preserve"> </v>
      </c>
      <c r="CD118" s="14" t="str">
        <f t="shared" si="81"/>
        <v xml:space="preserve"> </v>
      </c>
      <c r="CE118" s="14" t="str">
        <f t="shared" si="82"/>
        <v xml:space="preserve"> </v>
      </c>
      <c r="CF118" s="14" t="str">
        <f t="shared" si="83"/>
        <v xml:space="preserve"> </v>
      </c>
      <c r="CG118" s="44" t="str">
        <f t="shared" si="84"/>
        <v xml:space="preserve"> </v>
      </c>
      <c r="CH118" s="21"/>
      <c r="CI118" s="21"/>
      <c r="CJ118" s="21"/>
      <c r="CK118" s="135"/>
      <c r="CL118" s="10" t="str">
        <f t="shared" si="68"/>
        <v xml:space="preserve"> </v>
      </c>
    </row>
    <row r="119" spans="1:90">
      <c r="A119" s="250" t="str">
        <f t="shared" si="71"/>
        <v xml:space="preserve"> </v>
      </c>
      <c r="B119" s="240" t="str">
        <f t="shared" si="72"/>
        <v xml:space="preserve"> </v>
      </c>
      <c r="C119" s="251" t="str">
        <f t="shared" si="73"/>
        <v xml:space="preserve"> </v>
      </c>
      <c r="D119" s="240" t="str">
        <f t="shared" si="74"/>
        <v xml:space="preserve"> </v>
      </c>
      <c r="E119" s="240" t="str">
        <f t="shared" si="75"/>
        <v xml:space="preserve"> </v>
      </c>
      <c r="F119" s="240" t="str">
        <f t="shared" si="76"/>
        <v xml:space="preserve"> </v>
      </c>
      <c r="G119" s="252" t="str">
        <f t="shared" si="77"/>
        <v xml:space="preserve"> </v>
      </c>
      <c r="H119" s="253"/>
      <c r="I119" s="253"/>
      <c r="J119" s="253"/>
      <c r="K119" s="254"/>
      <c r="L119" s="10" t="str">
        <f t="shared" si="67"/>
        <v xml:space="preserve"> </v>
      </c>
      <c r="N119" s="10"/>
      <c r="P119" s="65"/>
      <c r="W119" s="10"/>
      <c r="X119" s="10"/>
      <c r="Z119" s="10">
        <v>118</v>
      </c>
      <c r="AA119" s="10">
        <v>41</v>
      </c>
      <c r="AQ119" s="20">
        <f>IF($B$134="Wizard",1,0)</f>
        <v>0</v>
      </c>
      <c r="AR119" s="21"/>
      <c r="AS119" s="21"/>
      <c r="AT119" s="21"/>
      <c r="AU119" s="21"/>
      <c r="AV119" s="14">
        <v>3</v>
      </c>
      <c r="AW119" s="14">
        <f>COUNTIF(C135:C145,"&gt;3")</f>
        <v>9</v>
      </c>
      <c r="AX119" s="14">
        <f>COUNTIF(C144:C145,"&gt;3")</f>
        <v>2</v>
      </c>
      <c r="AY119" s="14">
        <f t="shared" si="86"/>
        <v>1</v>
      </c>
      <c r="AZ119" s="85">
        <f t="shared" si="85"/>
        <v>1</v>
      </c>
      <c r="BB119" s="185"/>
      <c r="CA119" s="250" t="str">
        <f t="shared" si="78"/>
        <v xml:space="preserve"> </v>
      </c>
      <c r="CB119" s="240" t="str">
        <f t="shared" si="79"/>
        <v xml:space="preserve"> </v>
      </c>
      <c r="CC119" s="251" t="str">
        <f t="shared" si="80"/>
        <v xml:space="preserve"> </v>
      </c>
      <c r="CD119" s="240" t="str">
        <f t="shared" si="81"/>
        <v xml:space="preserve"> </v>
      </c>
      <c r="CE119" s="240" t="str">
        <f t="shared" si="82"/>
        <v xml:space="preserve"> </v>
      </c>
      <c r="CF119" s="240" t="str">
        <f t="shared" si="83"/>
        <v xml:space="preserve"> </v>
      </c>
      <c r="CG119" s="252" t="str">
        <f t="shared" si="84"/>
        <v xml:space="preserve"> </v>
      </c>
      <c r="CH119" s="253"/>
      <c r="CI119" s="253"/>
      <c r="CJ119" s="253"/>
      <c r="CK119" s="254"/>
      <c r="CL119" s="10" t="str">
        <f t="shared" si="68"/>
        <v xml:space="preserve"> </v>
      </c>
    </row>
    <row r="120" spans="1:90">
      <c r="A120" s="146" t="str">
        <f t="shared" si="71"/>
        <v xml:space="preserve"> </v>
      </c>
      <c r="B120" s="14" t="str">
        <f t="shared" si="72"/>
        <v xml:space="preserve"> </v>
      </c>
      <c r="C120" s="87" t="str">
        <f t="shared" si="73"/>
        <v xml:space="preserve"> </v>
      </c>
      <c r="D120" s="14" t="str">
        <f t="shared" si="74"/>
        <v xml:space="preserve"> </v>
      </c>
      <c r="E120" s="14" t="str">
        <f t="shared" si="75"/>
        <v xml:space="preserve"> </v>
      </c>
      <c r="F120" s="14" t="str">
        <f t="shared" si="76"/>
        <v xml:space="preserve"> </v>
      </c>
      <c r="G120" s="44" t="str">
        <f t="shared" si="77"/>
        <v xml:space="preserve"> </v>
      </c>
      <c r="H120" s="21"/>
      <c r="I120" s="21"/>
      <c r="J120" s="21"/>
      <c r="K120" s="135"/>
      <c r="L120" s="10" t="str">
        <f t="shared" si="67"/>
        <v xml:space="preserve"> </v>
      </c>
      <c r="N120" s="10"/>
      <c r="P120" s="65"/>
      <c r="W120" s="10"/>
      <c r="X120" s="10"/>
      <c r="Z120" s="10">
        <v>119</v>
      </c>
      <c r="AA120" s="10">
        <v>41</v>
      </c>
      <c r="AQ120" s="20">
        <f>IF($B$134="Shaman",1,0)</f>
        <v>0</v>
      </c>
      <c r="AR120" s="21"/>
      <c r="AS120" s="21"/>
      <c r="AT120" s="21"/>
      <c r="AU120" s="21"/>
      <c r="AV120" s="14">
        <v>4</v>
      </c>
      <c r="AW120" s="14">
        <f>COUNTIF(C135:C147,"&gt;4")</f>
        <v>10</v>
      </c>
      <c r="AX120" s="14">
        <f>COUNTIF(C146:C147,"&gt;4")</f>
        <v>1</v>
      </c>
      <c r="AY120" s="14">
        <f t="shared" si="86"/>
        <v>1</v>
      </c>
      <c r="AZ120" s="85">
        <f t="shared" si="85"/>
        <v>1</v>
      </c>
      <c r="BB120" s="185"/>
      <c r="CA120" s="146" t="str">
        <f t="shared" si="78"/>
        <v xml:space="preserve"> </v>
      </c>
      <c r="CB120" s="14" t="str">
        <f t="shared" si="79"/>
        <v xml:space="preserve"> </v>
      </c>
      <c r="CC120" s="87" t="str">
        <f t="shared" si="80"/>
        <v xml:space="preserve"> </v>
      </c>
      <c r="CD120" s="14" t="str">
        <f t="shared" si="81"/>
        <v xml:space="preserve"> </v>
      </c>
      <c r="CE120" s="14" t="str">
        <f t="shared" si="82"/>
        <v xml:space="preserve"> </v>
      </c>
      <c r="CF120" s="14" t="str">
        <f t="shared" si="83"/>
        <v xml:space="preserve"> </v>
      </c>
      <c r="CG120" s="44" t="str">
        <f t="shared" si="84"/>
        <v xml:space="preserve"> </v>
      </c>
      <c r="CH120" s="21"/>
      <c r="CI120" s="21"/>
      <c r="CJ120" s="21"/>
      <c r="CK120" s="135"/>
      <c r="CL120" s="10" t="str">
        <f t="shared" si="68"/>
        <v xml:space="preserve"> </v>
      </c>
    </row>
    <row r="121" spans="1:90">
      <c r="A121" s="250" t="str">
        <f t="shared" si="71"/>
        <v xml:space="preserve"> </v>
      </c>
      <c r="B121" s="240" t="str">
        <f t="shared" si="72"/>
        <v xml:space="preserve"> </v>
      </c>
      <c r="C121" s="251" t="str">
        <f t="shared" si="73"/>
        <v xml:space="preserve"> </v>
      </c>
      <c r="D121" s="240" t="str">
        <f t="shared" si="74"/>
        <v xml:space="preserve"> </v>
      </c>
      <c r="E121" s="240" t="str">
        <f t="shared" si="75"/>
        <v xml:space="preserve"> </v>
      </c>
      <c r="F121" s="240" t="str">
        <f t="shared" si="76"/>
        <v xml:space="preserve"> </v>
      </c>
      <c r="G121" s="252" t="str">
        <f t="shared" si="77"/>
        <v xml:space="preserve"> </v>
      </c>
      <c r="H121" s="253"/>
      <c r="I121" s="253"/>
      <c r="J121" s="253"/>
      <c r="K121" s="254"/>
      <c r="L121" s="10" t="str">
        <f t="shared" si="67"/>
        <v xml:space="preserve"> </v>
      </c>
      <c r="N121" s="10"/>
      <c r="P121" s="65"/>
      <c r="W121" s="10"/>
      <c r="X121" s="10"/>
      <c r="Z121" s="10">
        <v>120</v>
      </c>
      <c r="AA121" s="10">
        <v>41</v>
      </c>
      <c r="AQ121" s="20">
        <f>IF($B$134="Greater Shaman",1,0)</f>
        <v>0</v>
      </c>
      <c r="AR121" s="21"/>
      <c r="AS121" s="21"/>
      <c r="AT121" s="21"/>
      <c r="AU121" s="21"/>
      <c r="AV121" s="14">
        <v>5</v>
      </c>
      <c r="AW121" s="14">
        <f>COUNTIF(C135:C149,"&gt;5")</f>
        <v>12</v>
      </c>
      <c r="AX121" s="14">
        <f>COUNTIF(C148:C149,"&gt;5")</f>
        <v>2</v>
      </c>
      <c r="AY121" s="14">
        <f t="shared" si="86"/>
        <v>1</v>
      </c>
      <c r="AZ121" s="85">
        <f t="shared" si="85"/>
        <v>1</v>
      </c>
      <c r="BB121" s="185"/>
      <c r="CA121" s="250" t="str">
        <f t="shared" si="78"/>
        <v xml:space="preserve"> </v>
      </c>
      <c r="CB121" s="240" t="str">
        <f t="shared" si="79"/>
        <v xml:space="preserve"> </v>
      </c>
      <c r="CC121" s="251" t="str">
        <f t="shared" si="80"/>
        <v xml:space="preserve"> </v>
      </c>
      <c r="CD121" s="240" t="str">
        <f t="shared" si="81"/>
        <v xml:space="preserve"> </v>
      </c>
      <c r="CE121" s="240" t="str">
        <f t="shared" si="82"/>
        <v xml:space="preserve"> </v>
      </c>
      <c r="CF121" s="240" t="str">
        <f t="shared" si="83"/>
        <v xml:space="preserve"> </v>
      </c>
      <c r="CG121" s="252" t="str">
        <f t="shared" si="84"/>
        <v xml:space="preserve"> </v>
      </c>
      <c r="CH121" s="253"/>
      <c r="CI121" s="253"/>
      <c r="CJ121" s="253"/>
      <c r="CK121" s="254"/>
      <c r="CL121" s="10" t="str">
        <f t="shared" si="68"/>
        <v xml:space="preserve"> </v>
      </c>
    </row>
    <row r="122" spans="1:90">
      <c r="A122" s="146" t="str">
        <f t="shared" si="71"/>
        <v xml:space="preserve"> </v>
      </c>
      <c r="B122" s="14" t="str">
        <f t="shared" si="72"/>
        <v xml:space="preserve"> </v>
      </c>
      <c r="C122" s="87" t="str">
        <f t="shared" si="73"/>
        <v xml:space="preserve"> </v>
      </c>
      <c r="D122" s="14" t="str">
        <f t="shared" si="74"/>
        <v xml:space="preserve"> </v>
      </c>
      <c r="E122" s="14" t="str">
        <f t="shared" si="75"/>
        <v xml:space="preserve"> </v>
      </c>
      <c r="F122" s="14" t="str">
        <f t="shared" si="76"/>
        <v xml:space="preserve"> </v>
      </c>
      <c r="G122" s="44" t="str">
        <f t="shared" si="77"/>
        <v xml:space="preserve"> </v>
      </c>
      <c r="H122" s="21"/>
      <c r="I122" s="21"/>
      <c r="J122" s="21"/>
      <c r="K122" s="135"/>
      <c r="L122" s="10" t="str">
        <f t="shared" si="67"/>
        <v xml:space="preserve"> </v>
      </c>
      <c r="N122" s="10"/>
      <c r="P122" s="65"/>
      <c r="W122" s="10"/>
      <c r="X122" s="10"/>
      <c r="Z122" s="10">
        <v>121</v>
      </c>
      <c r="AA122" s="10">
        <v>42</v>
      </c>
      <c r="AQ122" s="20">
        <f>IF($B$134="Mage",1,0)</f>
        <v>0</v>
      </c>
      <c r="AR122" s="21"/>
      <c r="AS122" s="21"/>
      <c r="AT122" s="21"/>
      <c r="AU122" s="21"/>
      <c r="AV122" s="14">
        <v>6</v>
      </c>
      <c r="AW122" s="14">
        <f>COUNTIF(C135:C151,"&gt;6")</f>
        <v>13</v>
      </c>
      <c r="AX122" s="14">
        <f>COUNTIF(C150:C151,"&gt;6")</f>
        <v>1</v>
      </c>
      <c r="AY122" s="14">
        <f t="shared" si="86"/>
        <v>1</v>
      </c>
      <c r="AZ122" s="85">
        <f t="shared" si="85"/>
        <v>1</v>
      </c>
      <c r="BB122" s="185"/>
      <c r="CA122" s="146" t="str">
        <f t="shared" si="78"/>
        <v xml:space="preserve"> </v>
      </c>
      <c r="CB122" s="14" t="str">
        <f t="shared" si="79"/>
        <v xml:space="preserve"> </v>
      </c>
      <c r="CC122" s="87" t="str">
        <f t="shared" si="80"/>
        <v xml:space="preserve"> </v>
      </c>
      <c r="CD122" s="14" t="str">
        <f t="shared" si="81"/>
        <v xml:space="preserve"> </v>
      </c>
      <c r="CE122" s="14" t="str">
        <f t="shared" si="82"/>
        <v xml:space="preserve"> </v>
      </c>
      <c r="CF122" s="14" t="str">
        <f t="shared" si="83"/>
        <v xml:space="preserve"> </v>
      </c>
      <c r="CG122" s="44" t="str">
        <f t="shared" si="84"/>
        <v xml:space="preserve"> </v>
      </c>
      <c r="CH122" s="21"/>
      <c r="CI122" s="21"/>
      <c r="CJ122" s="21"/>
      <c r="CK122" s="135"/>
      <c r="CL122" s="10" t="str">
        <f t="shared" si="68"/>
        <v xml:space="preserve"> </v>
      </c>
    </row>
    <row r="123" spans="1:90">
      <c r="A123" s="255" t="str">
        <f t="shared" si="71"/>
        <v xml:space="preserve"> </v>
      </c>
      <c r="B123" s="247" t="str">
        <f t="shared" si="72"/>
        <v xml:space="preserve"> </v>
      </c>
      <c r="C123" s="256" t="str">
        <f t="shared" si="73"/>
        <v xml:space="preserve"> </v>
      </c>
      <c r="D123" s="247" t="str">
        <f t="shared" si="74"/>
        <v xml:space="preserve"> </v>
      </c>
      <c r="E123" s="247" t="str">
        <f t="shared" si="75"/>
        <v xml:space="preserve"> </v>
      </c>
      <c r="F123" s="247" t="str">
        <f t="shared" si="76"/>
        <v xml:space="preserve"> </v>
      </c>
      <c r="G123" s="257" t="str">
        <f t="shared" si="77"/>
        <v xml:space="preserve"> </v>
      </c>
      <c r="H123" s="258"/>
      <c r="I123" s="258"/>
      <c r="J123" s="258"/>
      <c r="K123" s="259"/>
      <c r="L123" s="10" t="str">
        <f t="shared" si="67"/>
        <v xml:space="preserve"> </v>
      </c>
      <c r="N123" s="10"/>
      <c r="P123" s="65"/>
      <c r="W123" s="10"/>
      <c r="X123" s="10"/>
      <c r="Z123" s="10">
        <v>122</v>
      </c>
      <c r="AA123" s="10">
        <v>42</v>
      </c>
      <c r="AQ123" s="218">
        <f>IF($B$134="Sorceror",1,0)</f>
        <v>0</v>
      </c>
      <c r="AR123" s="21"/>
      <c r="AS123" s="21"/>
      <c r="AT123" s="21"/>
      <c r="AU123" s="21"/>
      <c r="AV123" s="14">
        <v>7</v>
      </c>
      <c r="AW123" s="14">
        <f>COUNTIF(C135:C153,"&gt;7")</f>
        <v>14</v>
      </c>
      <c r="AX123" s="14">
        <f>COUNTIF(C152:C153,"&gt;7")</f>
        <v>1</v>
      </c>
      <c r="AY123" s="14">
        <f t="shared" si="86"/>
        <v>1</v>
      </c>
      <c r="AZ123" s="85">
        <f t="shared" si="85"/>
        <v>1</v>
      </c>
      <c r="BB123" s="185"/>
      <c r="CA123" s="255" t="str">
        <f t="shared" si="78"/>
        <v xml:space="preserve"> </v>
      </c>
      <c r="CB123" s="247" t="str">
        <f t="shared" si="79"/>
        <v xml:space="preserve"> </v>
      </c>
      <c r="CC123" s="256" t="str">
        <f t="shared" si="80"/>
        <v xml:space="preserve"> </v>
      </c>
      <c r="CD123" s="247" t="str">
        <f t="shared" si="81"/>
        <v xml:space="preserve"> </v>
      </c>
      <c r="CE123" s="247" t="str">
        <f t="shared" si="82"/>
        <v xml:space="preserve"> </v>
      </c>
      <c r="CF123" s="247" t="str">
        <f t="shared" si="83"/>
        <v xml:space="preserve"> </v>
      </c>
      <c r="CG123" s="257" t="str">
        <f t="shared" si="84"/>
        <v xml:space="preserve"> </v>
      </c>
      <c r="CH123" s="258"/>
      <c r="CI123" s="258"/>
      <c r="CJ123" s="258"/>
      <c r="CK123" s="259"/>
      <c r="CL123" s="10" t="str">
        <f t="shared" si="68"/>
        <v xml:space="preserve"> </v>
      </c>
    </row>
    <row r="124" spans="1:90">
      <c r="A124" s="138" t="s">
        <v>4906</v>
      </c>
      <c r="B124" s="84"/>
      <c r="C124" s="18" t="s">
        <v>5349</v>
      </c>
      <c r="D124" s="18" t="s">
        <v>5362</v>
      </c>
      <c r="E124" s="18" t="s">
        <v>5350</v>
      </c>
      <c r="F124" s="18" t="s">
        <v>4907</v>
      </c>
      <c r="G124" s="18" t="s">
        <v>5374</v>
      </c>
      <c r="H124" s="18" t="s">
        <v>5352</v>
      </c>
      <c r="I124" s="18" t="s">
        <v>5354</v>
      </c>
      <c r="J124" s="19" t="s">
        <v>5153</v>
      </c>
      <c r="K124" s="145"/>
      <c r="L124" s="9" t="s">
        <v>5572</v>
      </c>
      <c r="N124" s="10"/>
      <c r="P124" s="65"/>
      <c r="W124" s="10"/>
      <c r="X124" s="10"/>
      <c r="Z124" s="10">
        <v>123</v>
      </c>
      <c r="AA124" s="10">
        <v>42</v>
      </c>
      <c r="AQ124" s="27">
        <f>SUM(AQ116:AQ123)</f>
        <v>0</v>
      </c>
      <c r="AR124" s="21"/>
      <c r="AS124" s="21"/>
      <c r="AT124" s="21"/>
      <c r="AU124" s="21"/>
      <c r="AV124" s="14">
        <v>8</v>
      </c>
      <c r="AW124" s="14">
        <f>COUNTIF(C135:C155,"&gt;8")</f>
        <v>13</v>
      </c>
      <c r="AX124" s="14">
        <f>COUNTIF(C154:C155,"&gt;8")</f>
        <v>1</v>
      </c>
      <c r="AY124" s="14">
        <f t="shared" si="86"/>
        <v>1</v>
      </c>
      <c r="AZ124" s="85">
        <f t="shared" si="85"/>
        <v>1</v>
      </c>
      <c r="BB124" s="185"/>
      <c r="CA124" s="138" t="s">
        <v>4906</v>
      </c>
      <c r="CB124" s="84"/>
      <c r="CC124" s="18" t="s">
        <v>5349</v>
      </c>
      <c r="CD124" s="18" t="s">
        <v>5362</v>
      </c>
      <c r="CE124" s="18" t="s">
        <v>5350</v>
      </c>
      <c r="CF124" s="18" t="s">
        <v>4907</v>
      </c>
      <c r="CG124" s="18" t="s">
        <v>5374</v>
      </c>
      <c r="CH124" s="18" t="s">
        <v>5352</v>
      </c>
      <c r="CI124" s="18" t="s">
        <v>5354</v>
      </c>
      <c r="CJ124" s="19" t="s">
        <v>5153</v>
      </c>
      <c r="CK124" s="145"/>
      <c r="CL124" s="9" t="s">
        <v>5572</v>
      </c>
    </row>
    <row r="125" spans="1:90">
      <c r="A125" s="238" t="s">
        <v>4908</v>
      </c>
      <c r="B125" s="253" t="s">
        <v>5467</v>
      </c>
      <c r="C125" s="240">
        <v>1</v>
      </c>
      <c r="D125" s="240" t="str">
        <f>IF(A125&gt;0,LOOKUP(A125,'Talents-Skills'!$L$2:$L$185,'Talents-Skills'!$N$2:$N$185)," ")</f>
        <v>Perception</v>
      </c>
      <c r="E125" s="240">
        <f t="shared" ref="E125:E130" si="87">IF(D125=$A$6,$F$6,IF(D125=$A$7,$F$7,IF(D125=$A$8,$F$8,IF(D125=$A$9,$F$9,IF(D125=$A$10,$F$10,IF(D125=$A$11,$F$11,IF(D125="Rank",0,BW125)))))))</f>
        <v>7</v>
      </c>
      <c r="F125" s="240">
        <f t="shared" ref="F125:F130" si="88">IF(A125&gt;0,(C125+E125+BB125)," ")</f>
        <v>8</v>
      </c>
      <c r="G125" s="240" t="str">
        <f>IF(A125&gt;0,LOOKUP(F125,$AC$2:$AC$101,$AD$2:$AD$101)," ")</f>
        <v>2D6</v>
      </c>
      <c r="H125" s="240" t="str">
        <f>IF(A125&gt;0,LOOKUP(A125,'Talents-Skills'!$L$2:$L$185,'Talents-Skills'!$P$2:$P$185)," ")</f>
        <v>Yes</v>
      </c>
      <c r="I125" s="240" t="str">
        <f>IF(A125&gt;0,LOOKUP(A125,'Talents-Skills'!$L$2:$L$185,'Talents-Skills'!$Q$2:$Q$185)," ")</f>
        <v>No</v>
      </c>
      <c r="J125" s="260" t="str">
        <f>IF(A125&gt;0,LOOKUP(A125,'Talents-Skills'!$L$2:$L$185,'Talents-Skills'!$R$2:$R$185)," ")</f>
        <v>No</v>
      </c>
      <c r="K125" s="135" t="str">
        <f t="shared" ref="K125:K130" si="89">IF(C125&gt;10,"Skill Max is 10","")</f>
        <v/>
      </c>
      <c r="L125" s="9">
        <f t="shared" ref="L125:L130" si="90">IF(A125=" "," ",LOOKUP(C125,$AQ$23:$AQ$38,$AU$23:$AU$38))</f>
        <v>200</v>
      </c>
      <c r="N125" s="10"/>
      <c r="P125" s="65"/>
      <c r="W125" s="10"/>
      <c r="X125" s="10"/>
      <c r="Z125" s="10">
        <v>124</v>
      </c>
      <c r="AA125" s="10">
        <v>43</v>
      </c>
      <c r="AQ125" s="20"/>
      <c r="AR125" s="21"/>
      <c r="AS125" s="21"/>
      <c r="AT125" s="21"/>
      <c r="AU125" s="21"/>
      <c r="AV125" s="14">
        <v>9</v>
      </c>
      <c r="AW125" s="14">
        <f>COUNTIF(C135:C158,"&gt;9")</f>
        <v>14</v>
      </c>
      <c r="AX125" s="14">
        <f>COUNTIF(C156:C158,"&gt;9")</f>
        <v>2</v>
      </c>
      <c r="AY125" s="14">
        <f t="shared" si="86"/>
        <v>1</v>
      </c>
      <c r="AZ125" s="85">
        <f t="shared" si="85"/>
        <v>1</v>
      </c>
      <c r="BB125" s="185">
        <f>LOOKUP(CharGenMain!A125,'Talents-Skills'!$L$2:$L$185,'Talents-Skills'!$O$2:$O$185)</f>
        <v>0</v>
      </c>
      <c r="CA125" s="238" t="s">
        <v>4908</v>
      </c>
      <c r="CB125" s="253" t="s">
        <v>4909</v>
      </c>
      <c r="CC125" s="240">
        <v>1</v>
      </c>
      <c r="CD125" s="240" t="str">
        <f>IF(CA125&gt;0,LOOKUP(CA125,'Talents-Skills'!$L$2:$L$185,'Talents-Skills'!$N$2:$N$185)," ")</f>
        <v>Perception</v>
      </c>
      <c r="CE125" s="240">
        <f t="shared" ref="CE125:CE130" si="91">IF(CD125=$A$6,$F$6,IF(CD125=$A$7,$F$7,IF(CD125=$A$8,$F$8,IF(CD125=$A$9,$F$9,IF(CD125=$A$10,$F$10,IF(CD125=$A$11,$F$11,EW125))))))</f>
        <v>7</v>
      </c>
      <c r="CF125" s="240">
        <f t="shared" ref="CF125:CF130" si="92">IF(CA125&gt;0,(CC125+CE125+EB125)," ")</f>
        <v>8</v>
      </c>
      <c r="CG125" s="240" t="str">
        <f>IF(CA125&gt;0,LOOKUP(CF125,$AC$2:$AC$101,$AD$2:$AD$101)," ")</f>
        <v>2D6</v>
      </c>
      <c r="CH125" s="240" t="str">
        <f>IF(CA125&gt;0,LOOKUP(CA125,'Talents-Skills'!$L$2:$L$185,'Talents-Skills'!$P$2:$P$185)," ")</f>
        <v>Yes</v>
      </c>
      <c r="CI125" s="240" t="str">
        <f>IF(CA125&gt;0,LOOKUP(CA125,'Talents-Skills'!$L$2:$L$185,'Talents-Skills'!$Q$2:$Q$185)," ")</f>
        <v>No</v>
      </c>
      <c r="CJ125" s="260" t="str">
        <f>IF(CA125&gt;0,LOOKUP(CA125,'Talents-Skills'!$L$2:$L$185,'Talents-Skills'!$R$2:$R$185)," ")</f>
        <v>No</v>
      </c>
      <c r="CK125" s="135" t="str">
        <f t="shared" ref="CK125:CK130" si="93">IF(CC125&gt;10,"Skill Max is 10","")</f>
        <v/>
      </c>
      <c r="CL125" s="9">
        <f t="shared" ref="CL125:CL130" si="94">IF(CA125=" "," ",LOOKUP(CC125,$AQ$23:$AQ$38,$AU$23:$AU$38))</f>
        <v>200</v>
      </c>
    </row>
    <row r="126" spans="1:90">
      <c r="A126" s="126" t="s">
        <v>4910</v>
      </c>
      <c r="B126" s="21" t="s">
        <v>4911</v>
      </c>
      <c r="C126" s="14">
        <v>1</v>
      </c>
      <c r="D126" s="14" t="str">
        <f>IF(A126&gt;0,LOOKUP(A126,'Talents-Skills'!$L$2:$L$185,'Talents-Skills'!$N$2:$N$185)," ")</f>
        <v>Charisma</v>
      </c>
      <c r="E126" s="14">
        <f t="shared" si="87"/>
        <v>5</v>
      </c>
      <c r="F126" s="14">
        <f t="shared" si="88"/>
        <v>6</v>
      </c>
      <c r="G126" s="14" t="str">
        <f>IF(A126&gt;0,LOOKUP(F126,$AC$2:$AC$101,$AD$2:$AD$101)," ")</f>
        <v>D10</v>
      </c>
      <c r="H126" s="14" t="str">
        <f>IF(A126&gt;0,LOOKUP(A126,'Talents-Skills'!$L$2:$L$185,'Talents-Skills'!$P$2:$P$185)," ")</f>
        <v>No</v>
      </c>
      <c r="I126" s="14" t="str">
        <f>IF(A126&gt;0,LOOKUP(A126,'Talents-Skills'!$L$2:$L$185,'Talents-Skills'!$Q$2:$Q$185)," ")</f>
        <v>No</v>
      </c>
      <c r="J126" s="85">
        <f>IF(A126&gt;0,LOOKUP(A126,'Talents-Skills'!$L$2:$L$185,'Talents-Skills'!$R$2:$R$185)," ")</f>
        <v>1</v>
      </c>
      <c r="K126" s="135" t="str">
        <f t="shared" si="89"/>
        <v/>
      </c>
      <c r="L126" s="9">
        <f t="shared" si="90"/>
        <v>200</v>
      </c>
      <c r="N126" s="10"/>
      <c r="P126" s="65"/>
      <c r="W126" s="10"/>
      <c r="X126" s="10"/>
      <c r="Z126" s="10">
        <v>125</v>
      </c>
      <c r="AA126" s="10">
        <v>43</v>
      </c>
      <c r="AQ126" s="20"/>
      <c r="AR126" s="21"/>
      <c r="AS126" s="21"/>
      <c r="AT126" s="21"/>
      <c r="AU126" s="21"/>
      <c r="AV126" s="14">
        <v>10</v>
      </c>
      <c r="AW126" s="14">
        <f>COUNTIF(C135:C160,"&gt;10")</f>
        <v>2</v>
      </c>
      <c r="AX126" s="14">
        <f>COUNTIF(C159:C160,"&gt;10")</f>
        <v>0</v>
      </c>
      <c r="AY126" s="14">
        <f t="shared" si="86"/>
        <v>0</v>
      </c>
      <c r="AZ126" s="85">
        <f t="shared" si="85"/>
        <v>0</v>
      </c>
      <c r="BB126" s="185">
        <f>LOOKUP(CharGenMain!A126,'Talents-Skills'!$L$2:$L$185,'Talents-Skills'!$O$2:$O$185)</f>
        <v>0</v>
      </c>
      <c r="CA126" s="126" t="s">
        <v>4910</v>
      </c>
      <c r="CB126" s="21" t="s">
        <v>4909</v>
      </c>
      <c r="CC126" s="14">
        <v>1</v>
      </c>
      <c r="CD126" s="14" t="str">
        <f>IF(CA126&gt;0,LOOKUP(CA126,'Talents-Skills'!$L$2:$L$185,'Talents-Skills'!$N$2:$N$185)," ")</f>
        <v>Charisma</v>
      </c>
      <c r="CE126" s="14">
        <f t="shared" si="91"/>
        <v>5</v>
      </c>
      <c r="CF126" s="14">
        <f t="shared" si="92"/>
        <v>6</v>
      </c>
      <c r="CG126" s="14" t="str">
        <f>IF(CA126&gt;0,LOOKUP(CF126,$AC$2:$AC$101,$AD$2:$AD$101)," ")</f>
        <v>D10</v>
      </c>
      <c r="CH126" s="14" t="str">
        <f>IF(CA126&gt;0,LOOKUP(CA126,'Talents-Skills'!$L$2:$L$185,'Talents-Skills'!$P$2:$P$185)," ")</f>
        <v>No</v>
      </c>
      <c r="CI126" s="14" t="str">
        <f>IF(CA126&gt;0,LOOKUP(CA126,'Talents-Skills'!$L$2:$L$185,'Talents-Skills'!$Q$2:$Q$185)," ")</f>
        <v>No</v>
      </c>
      <c r="CJ126" s="85">
        <f>IF(CA126&gt;0,LOOKUP(CA126,'Talents-Skills'!$L$2:$L$185,'Talents-Skills'!$R$2:$R$185)," ")</f>
        <v>1</v>
      </c>
      <c r="CK126" s="135" t="str">
        <f t="shared" si="93"/>
        <v/>
      </c>
      <c r="CL126" s="9">
        <f t="shared" si="94"/>
        <v>200</v>
      </c>
    </row>
    <row r="127" spans="1:90">
      <c r="A127" s="238" t="s">
        <v>4910</v>
      </c>
      <c r="B127" s="253" t="s">
        <v>4912</v>
      </c>
      <c r="C127" s="240">
        <v>1</v>
      </c>
      <c r="D127" s="240" t="str">
        <f>IF(A127&gt;0,LOOKUP(A127,'Talents-Skills'!$L$2:$L$185,'Talents-Skills'!$N$2:$N$185)," ")</f>
        <v>Charisma</v>
      </c>
      <c r="E127" s="240">
        <f t="shared" si="87"/>
        <v>5</v>
      </c>
      <c r="F127" s="240">
        <f t="shared" si="88"/>
        <v>6</v>
      </c>
      <c r="G127" s="240" t="str">
        <f>IF(A127&gt;0,LOOKUP(F127,$AC$2:$AC$101,$AD$2:$AD$101)," ")</f>
        <v>D10</v>
      </c>
      <c r="H127" s="240" t="str">
        <f>IF(A127&gt;0,LOOKUP(A127,'Talents-Skills'!$L$2:$L$185,'Talents-Skills'!$P$2:$P$185)," ")</f>
        <v>No</v>
      </c>
      <c r="I127" s="240" t="str">
        <f>IF(A127&gt;0,LOOKUP(A127,'Talents-Skills'!$L$2:$L$185,'Talents-Skills'!$Q$2:$Q$185)," ")</f>
        <v>No</v>
      </c>
      <c r="J127" s="260">
        <f>IF(A127&gt;0,LOOKUP(A127,'Talents-Skills'!$L$2:$L$185,'Talents-Skills'!$R$2:$R$185)," ")</f>
        <v>1</v>
      </c>
      <c r="K127" s="135" t="str">
        <f t="shared" si="89"/>
        <v/>
      </c>
      <c r="L127" s="9">
        <f t="shared" si="90"/>
        <v>200</v>
      </c>
      <c r="N127" s="10"/>
      <c r="P127" s="65"/>
      <c r="W127" s="10"/>
      <c r="X127" s="10"/>
      <c r="Z127" s="10">
        <v>126</v>
      </c>
      <c r="AA127" s="10">
        <v>43</v>
      </c>
      <c r="AQ127" s="20"/>
      <c r="AR127" s="21"/>
      <c r="AS127" s="21"/>
      <c r="AT127" s="21"/>
      <c r="AU127" s="21"/>
      <c r="AV127" s="14">
        <v>11</v>
      </c>
      <c r="AW127" s="14">
        <f>COUNTIF(C135:C162,"&gt;10")</f>
        <v>2</v>
      </c>
      <c r="AX127" s="14">
        <f>COUNTIF(C161:C162,"&gt;10")</f>
        <v>0</v>
      </c>
      <c r="AY127" s="14">
        <f t="shared" si="86"/>
        <v>0</v>
      </c>
      <c r="AZ127" s="85">
        <f t="shared" si="85"/>
        <v>0</v>
      </c>
      <c r="BB127" s="185">
        <f>LOOKUP(CharGenMain!A127,'Talents-Skills'!$L$2:$L$185,'Talents-Skills'!$O$2:$O$185)</f>
        <v>0</v>
      </c>
      <c r="CA127" s="238" t="s">
        <v>4910</v>
      </c>
      <c r="CB127" s="253" t="s">
        <v>4909</v>
      </c>
      <c r="CC127" s="240">
        <v>1</v>
      </c>
      <c r="CD127" s="240" t="str">
        <f>IF(CA127&gt;0,LOOKUP(CA127,'Talents-Skills'!$L$2:$L$185,'Talents-Skills'!$N$2:$N$185)," ")</f>
        <v>Charisma</v>
      </c>
      <c r="CE127" s="240">
        <f t="shared" si="91"/>
        <v>5</v>
      </c>
      <c r="CF127" s="240">
        <f t="shared" si="92"/>
        <v>6</v>
      </c>
      <c r="CG127" s="240" t="str">
        <f>IF(CA127&gt;0,LOOKUP(CF127,$AC$2:$AC$101,$AD$2:$AD$101)," ")</f>
        <v>D10</v>
      </c>
      <c r="CH127" s="240" t="str">
        <f>IF(CA127&gt;0,LOOKUP(CA127,'Talents-Skills'!$L$2:$L$185,'Talents-Skills'!$P$2:$P$185)," ")</f>
        <v>No</v>
      </c>
      <c r="CI127" s="240" t="str">
        <f>IF(CA127&gt;0,LOOKUP(CA127,'Talents-Skills'!$L$2:$L$185,'Talents-Skills'!$Q$2:$Q$185)," ")</f>
        <v>No</v>
      </c>
      <c r="CJ127" s="260">
        <f>IF(CA127&gt;0,LOOKUP(CA127,'Talents-Skills'!$L$2:$L$185,'Talents-Skills'!$R$2:$R$185)," ")</f>
        <v>1</v>
      </c>
      <c r="CK127" s="135" t="str">
        <f t="shared" si="93"/>
        <v/>
      </c>
      <c r="CL127" s="9">
        <f t="shared" si="94"/>
        <v>200</v>
      </c>
    </row>
    <row r="128" spans="1:90">
      <c r="A128" s="126" t="s">
        <v>4913</v>
      </c>
      <c r="B128" s="21"/>
      <c r="C128" s="14">
        <f>IF(A128=" "," ",1)</f>
        <v>1</v>
      </c>
      <c r="D128" s="14" t="str">
        <f>IF(A128=" "," ",LOOKUP(A128,'Talents-Skills'!$L$2:$L$185,'Talents-Skills'!$N$2:$N$185))</f>
        <v>Charisma</v>
      </c>
      <c r="E128" s="14">
        <f t="shared" si="87"/>
        <v>5</v>
      </c>
      <c r="F128" s="14">
        <f t="shared" si="88"/>
        <v>6</v>
      </c>
      <c r="G128" s="14" t="str">
        <f>IF(A128=" "," ",LOOKUP(F128,$AC$2:$AC$101,$AD$2:$AD$101))</f>
        <v>D10</v>
      </c>
      <c r="H128" s="14" t="str">
        <f>IF(A128=" "," ",LOOKUP(A128,'Talents-Skills'!$L$2:$L$185,'Talents-Skills'!$P$2:$P$185))</f>
        <v>Yes</v>
      </c>
      <c r="I128" s="14" t="str">
        <f>IF(A128=" "," ",LOOKUP(A128,'Talents-Skills'!$L$2:$L$185,'Talents-Skills'!$Q$2:$Q$185))</f>
        <v>No</v>
      </c>
      <c r="J128" s="85" t="str">
        <f>IF(A128=" "," ",LOOKUP(A128,'Talents-Skills'!$L$2:$L$185,'Talents-Skills'!$R$2:$R$185))</f>
        <v>No</v>
      </c>
      <c r="K128" s="135" t="str">
        <f t="shared" si="89"/>
        <v/>
      </c>
      <c r="L128" s="9">
        <f t="shared" si="90"/>
        <v>200</v>
      </c>
      <c r="N128" s="10"/>
      <c r="P128" s="65"/>
      <c r="W128" s="10"/>
      <c r="X128" s="10"/>
      <c r="Z128" s="10">
        <v>127</v>
      </c>
      <c r="AA128" s="10">
        <v>44</v>
      </c>
      <c r="AQ128" s="20"/>
      <c r="AR128" s="21"/>
      <c r="AS128" s="21"/>
      <c r="AT128" s="21"/>
      <c r="AU128" s="21"/>
      <c r="AV128" s="14">
        <v>12</v>
      </c>
      <c r="AW128" s="14">
        <f>COUNTIF(C135:C164,"&gt;11")</f>
        <v>2</v>
      </c>
      <c r="AX128" s="14">
        <f>COUNTIF(C163:C164,"&gt;11")</f>
        <v>0</v>
      </c>
      <c r="AY128" s="14">
        <f t="shared" si="86"/>
        <v>0</v>
      </c>
      <c r="AZ128" s="85">
        <f t="shared" si="85"/>
        <v>0</v>
      </c>
      <c r="BB128" s="185">
        <f>LOOKUP(CharGenMain!A128,'Talents-Skills'!$L$2:$L$185,'Talents-Skills'!$O$2:$O$185)</f>
        <v>0</v>
      </c>
      <c r="CA128" s="126" t="str">
        <f>IF(CE921&gt;0,CE921," ")</f>
        <v xml:space="preserve"> </v>
      </c>
      <c r="CB128" s="21"/>
      <c r="CC128" s="14" t="str">
        <f>IF(CA128=" "," ",1)</f>
        <v xml:space="preserve"> </v>
      </c>
      <c r="CD128" s="14" t="str">
        <f>IF(CA128=" "," ",LOOKUP(CA128,'Talents-Skills'!$L$2:$L$185,'Talents-Skills'!$N$2:$N$185))</f>
        <v xml:space="preserve"> </v>
      </c>
      <c r="CE128" s="14">
        <f t="shared" si="91"/>
        <v>0</v>
      </c>
      <c r="CF128" s="14" t="e">
        <f t="shared" si="92"/>
        <v>#VALUE!</v>
      </c>
      <c r="CG128" s="14" t="str">
        <f>IF(CA128=" "," ",LOOKUP(CF128,$AC$2:$AC$101,$AD$2:$AD$101))</f>
        <v xml:space="preserve"> </v>
      </c>
      <c r="CH128" s="14" t="str">
        <f>IF(CA128=" "," ",LOOKUP(CA128,'Talents-Skills'!$L$2:$L$185,'Talents-Skills'!$P$2:$P$185))</f>
        <v xml:space="preserve"> </v>
      </c>
      <c r="CI128" s="14" t="str">
        <f>IF(CA128=" "," ",LOOKUP(CA128,'Talents-Skills'!$L$2:$L$185,'Talents-Skills'!$Q$2:$Q$185))</f>
        <v xml:space="preserve"> </v>
      </c>
      <c r="CJ128" s="85" t="str">
        <f>IF(CA128=" "," ",LOOKUP(CA128,'Talents-Skills'!$L$2:$L$185,'Talents-Skills'!$R$2:$R$185))</f>
        <v xml:space="preserve"> </v>
      </c>
      <c r="CK128" s="135" t="str">
        <f t="shared" si="93"/>
        <v>Skill Max is 10</v>
      </c>
      <c r="CL128" s="9" t="str">
        <f t="shared" si="94"/>
        <v xml:space="preserve"> </v>
      </c>
    </row>
    <row r="129" spans="1:90">
      <c r="A129" s="238" t="s">
        <v>4749</v>
      </c>
      <c r="B129" s="253" t="s">
        <v>5467</v>
      </c>
      <c r="C129" s="240">
        <f>IF(A129=" "," ",1)</f>
        <v>1</v>
      </c>
      <c r="D129" s="240" t="str">
        <f>IF(A129=" "," ",LOOKUP(A129,'Talents-Skills'!$L$2:$L$185,'Talents-Skills'!$N$2:$N$185))</f>
        <v>Perception</v>
      </c>
      <c r="E129" s="240">
        <f t="shared" si="87"/>
        <v>7</v>
      </c>
      <c r="F129" s="240">
        <f t="shared" si="88"/>
        <v>8</v>
      </c>
      <c r="G129" s="240" t="str">
        <f>IF(A129=" "," ",LOOKUP(F129,$AC$2:$AC$101,$AD$2:$AD$101))</f>
        <v>2D6</v>
      </c>
      <c r="H129" s="240" t="str">
        <f>IF(A129=" "," ",LOOKUP(A129,'Talents-Skills'!$L$2:$L$185,'Talents-Skills'!$P$2:$P$185))</f>
        <v>Yes</v>
      </c>
      <c r="I129" s="240" t="str">
        <f>IF(A129=" "," ",LOOKUP(A129,'Talents-Skills'!$L$2:$L$185,'Talents-Skills'!$Q$2:$Q$185))</f>
        <v>No</v>
      </c>
      <c r="J129" s="260" t="str">
        <f>IF(A129=" "," ",LOOKUP(A129,'Talents-Skills'!$L$2:$L$185,'Talents-Skills'!$R$2:$R$185))</f>
        <v>No</v>
      </c>
      <c r="K129" s="135" t="str">
        <f t="shared" si="89"/>
        <v/>
      </c>
      <c r="L129" s="9">
        <f t="shared" si="90"/>
        <v>200</v>
      </c>
      <c r="N129" s="10"/>
      <c r="P129" s="65"/>
      <c r="W129" s="10"/>
      <c r="X129" s="10"/>
      <c r="Z129" s="10">
        <v>128</v>
      </c>
      <c r="AA129" s="10">
        <v>44</v>
      </c>
      <c r="AQ129" s="20"/>
      <c r="AR129" s="21"/>
      <c r="AS129" s="21"/>
      <c r="AT129" s="21"/>
      <c r="AU129" s="21"/>
      <c r="AV129" s="14">
        <v>13</v>
      </c>
      <c r="AW129" s="14">
        <f>COUNTIF(C135:C166,"&gt;11")</f>
        <v>2</v>
      </c>
      <c r="AX129" s="14">
        <f>COUNTIF(C165:C166,"&gt;11")</f>
        <v>0</v>
      </c>
      <c r="AY129" s="14">
        <f t="shared" si="86"/>
        <v>0</v>
      </c>
      <c r="AZ129" s="85">
        <f t="shared" si="85"/>
        <v>0</v>
      </c>
      <c r="BB129" s="185">
        <f>LOOKUP(CharGenMain!A129,'Talents-Skills'!$L$2:$L$185,'Talents-Skills'!$O$2:$O$185)</f>
        <v>0</v>
      </c>
      <c r="CA129" s="238" t="str">
        <f>IF(CE922&gt;0,CE922," ")</f>
        <v xml:space="preserve"> </v>
      </c>
      <c r="CB129" s="253"/>
      <c r="CC129" s="240" t="str">
        <f>IF(CA129=" "," ",1)</f>
        <v xml:space="preserve"> </v>
      </c>
      <c r="CD129" s="240" t="str">
        <f>IF(CA129=" "," ",LOOKUP(CA129,'Talents-Skills'!$L$2:$L$185,'Talents-Skills'!$N$2:$N$185))</f>
        <v xml:space="preserve"> </v>
      </c>
      <c r="CE129" s="240">
        <f t="shared" si="91"/>
        <v>0</v>
      </c>
      <c r="CF129" s="240" t="e">
        <f t="shared" si="92"/>
        <v>#VALUE!</v>
      </c>
      <c r="CG129" s="240" t="str">
        <f>IF(CA129=" "," ",LOOKUP(CF129,$AC$2:$AC$101,$AD$2:$AD$101))</f>
        <v xml:space="preserve"> </v>
      </c>
      <c r="CH129" s="240" t="str">
        <f>IF(CA129=" "," ",LOOKUP(CA129,'Talents-Skills'!$L$2:$L$185,'Talents-Skills'!$P$2:$P$185))</f>
        <v xml:space="preserve"> </v>
      </c>
      <c r="CI129" s="240" t="str">
        <f>IF(CA129=" "," ",LOOKUP(CA129,'Talents-Skills'!$L$2:$L$185,'Talents-Skills'!$Q$2:$Q$185))</f>
        <v xml:space="preserve"> </v>
      </c>
      <c r="CJ129" s="260" t="str">
        <f>IF(CA129=" "," ",LOOKUP(CA129,'Talents-Skills'!$L$2:$L$185,'Talents-Skills'!$R$2:$R$185))</f>
        <v xml:space="preserve"> </v>
      </c>
      <c r="CK129" s="135" t="str">
        <f t="shared" si="93"/>
        <v>Skill Max is 10</v>
      </c>
      <c r="CL129" s="9" t="str">
        <f t="shared" si="94"/>
        <v xml:space="preserve"> </v>
      </c>
    </row>
    <row r="130" spans="1:90">
      <c r="A130" s="141" t="str">
        <f>IF(E923&gt;0,E923," ")</f>
        <v>Artisan, Wood Carving</v>
      </c>
      <c r="B130" s="29"/>
      <c r="C130" s="23">
        <v>0</v>
      </c>
      <c r="D130" s="23" t="str">
        <f>IF(A130=" "," ",LOOKUP(A130,'Talents-Skills'!$L$2:$L$185,'Talents-Skills'!$N$2:$N$185))</f>
        <v>Charisma</v>
      </c>
      <c r="E130" s="14">
        <f t="shared" si="87"/>
        <v>5</v>
      </c>
      <c r="F130" s="14">
        <f t="shared" si="88"/>
        <v>5</v>
      </c>
      <c r="G130" s="23" t="str">
        <f>IF(A130=" "," ",LOOKUP(F130,$AC$2:$AC$101,$AD$2:$AD$101))</f>
        <v>D8</v>
      </c>
      <c r="H130" s="23" t="str">
        <f>IF(A130=" "," ",LOOKUP(A130,'Talents-Skills'!$L$2:$L$185,'Talents-Skills'!$P$2:$P$185))</f>
        <v>Yes</v>
      </c>
      <c r="I130" s="23" t="str">
        <f>IF(A130=" "," ",LOOKUP(A130,'Talents-Skills'!$L$2:$L$185,'Talents-Skills'!$Q$2:$Q$185))</f>
        <v>No</v>
      </c>
      <c r="J130" s="88" t="str">
        <f>IF(A130=" "," ",LOOKUP(A130,'Talents-Skills'!$L$2:$L$185,'Talents-Skills'!$R$2:$R$185))</f>
        <v>No</v>
      </c>
      <c r="K130" s="135" t="str">
        <f t="shared" si="89"/>
        <v/>
      </c>
      <c r="L130" s="9">
        <f t="shared" si="90"/>
        <v>0</v>
      </c>
      <c r="N130" s="10"/>
      <c r="P130" s="65"/>
      <c r="W130" s="10"/>
      <c r="X130" s="10"/>
      <c r="Z130" s="10">
        <v>129</v>
      </c>
      <c r="AA130" s="10">
        <v>44</v>
      </c>
      <c r="AQ130" s="20"/>
      <c r="AR130" s="21"/>
      <c r="AS130" s="21"/>
      <c r="AT130" s="21"/>
      <c r="AU130" s="21"/>
      <c r="AV130" s="14">
        <v>14</v>
      </c>
      <c r="AW130" s="14">
        <f>COUNTIF(C135:C168,"&gt;12")</f>
        <v>0</v>
      </c>
      <c r="AX130" s="14">
        <f>COUNTIF(C167:C168,"&gt;12")</f>
        <v>0</v>
      </c>
      <c r="AY130" s="14">
        <f t="shared" si="86"/>
        <v>0</v>
      </c>
      <c r="AZ130" s="85">
        <f t="shared" si="85"/>
        <v>0</v>
      </c>
      <c r="BB130" s="185">
        <f>LOOKUP(CharGenMain!A130,'Talents-Skills'!$L$2:$L$185,'Talents-Skills'!$O$2:$O$185)</f>
        <v>0</v>
      </c>
      <c r="CA130" s="141" t="str">
        <f>IF(CE923&gt;0,CE923," ")</f>
        <v xml:space="preserve"> </v>
      </c>
      <c r="CB130" s="29"/>
      <c r="CC130" s="23" t="str">
        <f>IF(CA130=" "," ",1)</f>
        <v xml:space="preserve"> </v>
      </c>
      <c r="CD130" s="23" t="str">
        <f>IF(CA130=" "," ",LOOKUP(CA130,'Talents-Skills'!$L$2:$L$185,'Talents-Skills'!$N$2:$N$185))</f>
        <v xml:space="preserve"> </v>
      </c>
      <c r="CE130" s="14">
        <f t="shared" si="91"/>
        <v>0</v>
      </c>
      <c r="CF130" s="14" t="e">
        <f t="shared" si="92"/>
        <v>#VALUE!</v>
      </c>
      <c r="CG130" s="23" t="str">
        <f>IF(CA130=" "," ",LOOKUP(CF130,$AC$2:$AC$101,$AD$2:$AD$101))</f>
        <v xml:space="preserve"> </v>
      </c>
      <c r="CH130" s="23" t="str">
        <f>IF(CA130=" "," ",LOOKUP(CA130,'Talents-Skills'!$L$2:$L$185,'Talents-Skills'!$P$2:$P$185))</f>
        <v xml:space="preserve"> </v>
      </c>
      <c r="CI130" s="23" t="str">
        <f>IF(CA130=" "," ",LOOKUP(CA130,'Talents-Skills'!$L$2:$L$185,'Talents-Skills'!$Q$2:$Q$185))</f>
        <v xml:space="preserve"> </v>
      </c>
      <c r="CJ130" s="88" t="str">
        <f>IF(CA130=" "," ",LOOKUP(CA130,'Talents-Skills'!$L$2:$L$185,'Talents-Skills'!$R$2:$R$185))</f>
        <v xml:space="preserve"> </v>
      </c>
      <c r="CK130" s="135" t="str">
        <f t="shared" si="93"/>
        <v>Skill Max is 10</v>
      </c>
      <c r="CL130" s="9" t="str">
        <f t="shared" si="94"/>
        <v xml:space="preserve"> </v>
      </c>
    </row>
    <row r="131" spans="1:90">
      <c r="A131" s="138" t="s">
        <v>4750</v>
      </c>
      <c r="B131" s="18" t="s">
        <v>4751</v>
      </c>
      <c r="C131" s="18" t="s">
        <v>4752</v>
      </c>
      <c r="D131" s="18" t="s">
        <v>4753</v>
      </c>
      <c r="E131" s="18" t="s">
        <v>4754</v>
      </c>
      <c r="F131" s="18" t="s">
        <v>5087</v>
      </c>
      <c r="G131" s="19" t="s">
        <v>5354</v>
      </c>
      <c r="H131" s="21"/>
      <c r="I131" s="21"/>
      <c r="J131" s="21"/>
      <c r="K131" s="135"/>
      <c r="N131" s="10"/>
      <c r="P131" s="65"/>
      <c r="W131" s="10"/>
      <c r="X131" s="10"/>
      <c r="Z131" s="10">
        <v>130</v>
      </c>
      <c r="AA131" s="10">
        <v>45</v>
      </c>
      <c r="AQ131" s="20"/>
      <c r="AR131" s="21"/>
      <c r="AS131" s="21"/>
      <c r="AT131" s="21"/>
      <c r="AU131" s="21"/>
      <c r="AV131" s="14">
        <v>15</v>
      </c>
      <c r="AW131" s="14"/>
      <c r="AX131" s="14"/>
      <c r="AY131" s="14"/>
      <c r="AZ131" s="85">
        <f t="shared" si="85"/>
        <v>0</v>
      </c>
      <c r="BB131" s="185"/>
      <c r="CA131" s="138" t="s">
        <v>4750</v>
      </c>
      <c r="CB131" s="18" t="s">
        <v>4751</v>
      </c>
      <c r="CC131" s="18" t="s">
        <v>4752</v>
      </c>
      <c r="CD131" s="18" t="s">
        <v>4753</v>
      </c>
      <c r="CE131" s="18" t="s">
        <v>4754</v>
      </c>
      <c r="CF131" s="18" t="s">
        <v>5087</v>
      </c>
      <c r="CG131" s="19" t="s">
        <v>5354</v>
      </c>
      <c r="CH131" s="21"/>
      <c r="CI131" s="21"/>
      <c r="CJ131" s="21"/>
      <c r="CK131" s="135"/>
    </row>
    <row r="132" spans="1:90">
      <c r="A132" s="156"/>
      <c r="B132" s="23">
        <f>IF($B$185&gt;$B$200,$B$185,$B$200)</f>
        <v>0</v>
      </c>
      <c r="C132" s="23">
        <f>IF($C$185&gt;$C$200,$C$185,$C$200)</f>
        <v>1</v>
      </c>
      <c r="D132" s="23">
        <f>IF($D$185&gt;$D$200,$D$185,$D$200)</f>
        <v>1</v>
      </c>
      <c r="E132" s="23">
        <f>IF($E$185&gt;$E$200,$E$185,$E$200)</f>
        <v>1</v>
      </c>
      <c r="F132" s="23">
        <f>IF($F$185&gt;$F$200,$F$185,$F$200)</f>
        <v>2</v>
      </c>
      <c r="G132" s="88">
        <f>IF($G$185&gt;$G$200,$G$185,$G$200)</f>
        <v>0</v>
      </c>
      <c r="H132" s="29"/>
      <c r="I132" s="29"/>
      <c r="J132" s="29"/>
      <c r="K132" s="155"/>
      <c r="N132" s="10"/>
      <c r="P132" s="65"/>
      <c r="W132" s="10"/>
      <c r="X132" s="10"/>
      <c r="Z132" s="10">
        <v>131</v>
      </c>
      <c r="AA132" s="10">
        <v>45</v>
      </c>
      <c r="AQ132" s="22"/>
      <c r="AR132" s="29"/>
      <c r="AS132" s="29"/>
      <c r="AT132" s="29"/>
      <c r="AU132" s="29"/>
      <c r="AV132" s="217" t="s">
        <v>5347</v>
      </c>
      <c r="AW132" s="15"/>
      <c r="AX132" s="29"/>
      <c r="AY132" s="23"/>
      <c r="AZ132" s="88">
        <f>IF(AZ116=15,15,AZ116+1)</f>
        <v>10</v>
      </c>
      <c r="BB132" s="185"/>
      <c r="CA132" s="156"/>
      <c r="CB132" s="23">
        <f>IF($B$185&gt;$B$200,$B$185,$B$200)</f>
        <v>0</v>
      </c>
      <c r="CC132" s="23">
        <f>IF($C$185&gt;$C$200,$C$185,$C$200)</f>
        <v>1</v>
      </c>
      <c r="CD132" s="23">
        <f>IF($D$185&gt;$D$200,$D$185,$D$200)</f>
        <v>1</v>
      </c>
      <c r="CE132" s="23">
        <f>IF($E$185&gt;$E$200,$E$185,$E$200)</f>
        <v>1</v>
      </c>
      <c r="CF132" s="23">
        <f>IF($F$185&gt;$F$200,$F$185,$F$200)</f>
        <v>2</v>
      </c>
      <c r="CG132" s="88">
        <f>IF($G$185&gt;$G$200,$G$185,$G$200)</f>
        <v>0</v>
      </c>
      <c r="CH132" s="29"/>
      <c r="CI132" s="29"/>
      <c r="CJ132" s="29"/>
      <c r="CK132" s="155"/>
    </row>
    <row r="133" spans="1:90">
      <c r="A133" s="157" t="str">
        <f>IF($B$3=$AP$12,"Obsidimen may not be Airsailors","")</f>
        <v/>
      </c>
      <c r="B133" s="118"/>
      <c r="C133" s="118"/>
      <c r="D133" s="118"/>
      <c r="E133" s="119" t="str">
        <f>IF(E134&gt;15,"No Discipline may exceed 15th Circle"," ")</f>
        <v xml:space="preserve"> </v>
      </c>
      <c r="F133" s="118" t="str">
        <f>IF($AS$116&lt;=$E$134," ",IF($AS$116&gt;$E134,$AR$114," "))</f>
        <v xml:space="preserve"> </v>
      </c>
      <c r="G133" s="118"/>
      <c r="H133" s="118"/>
      <c r="I133" s="118"/>
      <c r="J133" s="118"/>
      <c r="K133" s="158"/>
      <c r="N133" s="10"/>
      <c r="P133" s="65"/>
      <c r="W133" s="10"/>
      <c r="X133" s="10"/>
      <c r="Z133" s="10">
        <v>132</v>
      </c>
      <c r="AA133" s="10">
        <v>45</v>
      </c>
      <c r="BB133" s="185"/>
      <c r="CA133" s="157"/>
      <c r="CB133" s="118"/>
      <c r="CC133" s="118"/>
      <c r="CD133" s="118"/>
      <c r="CE133" s="119" t="str">
        <f>IF(CE134&gt;15,"No Discipline may exceed 15th Circle"," ")</f>
        <v xml:space="preserve"> </v>
      </c>
      <c r="CF133" s="118" t="str">
        <f>IF($AS$116&lt;=$E$134," ",IF($AS$116&gt;$E134,$AR$114," "))</f>
        <v xml:space="preserve"> </v>
      </c>
      <c r="CG133" s="118"/>
      <c r="CH133" s="118"/>
      <c r="CI133" s="118"/>
      <c r="CJ133" s="118"/>
      <c r="CK133" s="158"/>
    </row>
    <row r="134" spans="1:90" ht="14" thickBot="1">
      <c r="A134" s="159"/>
      <c r="B134" s="114" t="s">
        <v>5088</v>
      </c>
      <c r="C134" s="84" t="s">
        <v>5089</v>
      </c>
      <c r="D134" s="98"/>
      <c r="E134" s="114">
        <v>10</v>
      </c>
      <c r="F134" s="84" t="s">
        <v>5387</v>
      </c>
      <c r="G134" s="98"/>
      <c r="H134" s="64">
        <f>E134/2</f>
        <v>5</v>
      </c>
      <c r="I134" s="84" t="s">
        <v>5646</v>
      </c>
      <c r="J134" s="84"/>
      <c r="K134" s="145"/>
      <c r="N134" s="10"/>
      <c r="P134" s="65"/>
      <c r="W134" s="10"/>
      <c r="Z134" s="10">
        <v>133</v>
      </c>
      <c r="AA134" s="10">
        <v>46</v>
      </c>
      <c r="BB134" s="185"/>
      <c r="CA134" s="159"/>
      <c r="CB134" s="114"/>
      <c r="CC134" s="84" t="s">
        <v>5089</v>
      </c>
      <c r="CD134" s="98"/>
      <c r="CE134" s="114">
        <v>9</v>
      </c>
      <c r="CF134" s="84" t="s">
        <v>5387</v>
      </c>
      <c r="CG134" s="98"/>
      <c r="CH134" s="64">
        <f>CE134/2</f>
        <v>4.5</v>
      </c>
      <c r="CI134" s="84" t="s">
        <v>5646</v>
      </c>
      <c r="CJ134" s="84"/>
      <c r="CK134" s="145"/>
    </row>
    <row r="135" spans="1:90">
      <c r="A135" s="129" t="s">
        <v>5090</v>
      </c>
      <c r="B135" s="108" t="s">
        <v>5348</v>
      </c>
      <c r="C135" s="108" t="s">
        <v>5349</v>
      </c>
      <c r="D135" s="108" t="s">
        <v>5362</v>
      </c>
      <c r="E135" s="108" t="s">
        <v>5350</v>
      </c>
      <c r="F135" s="108" t="s">
        <v>5351</v>
      </c>
      <c r="G135" s="108" t="s">
        <v>5374</v>
      </c>
      <c r="H135" s="108" t="s">
        <v>5352</v>
      </c>
      <c r="I135" s="108" t="s">
        <v>5353</v>
      </c>
      <c r="J135" s="108" t="s">
        <v>5354</v>
      </c>
      <c r="K135" s="144" t="s">
        <v>5153</v>
      </c>
      <c r="L135" s="9" t="s">
        <v>5572</v>
      </c>
      <c r="N135" s="10"/>
      <c r="P135" s="65"/>
      <c r="W135" s="10"/>
      <c r="X135" s="10"/>
      <c r="Z135" s="10">
        <v>134</v>
      </c>
      <c r="AA135" s="10">
        <v>46</v>
      </c>
      <c r="BB135" s="185"/>
      <c r="CA135" s="129" t="s">
        <v>5090</v>
      </c>
      <c r="CB135" s="108" t="s">
        <v>5348</v>
      </c>
      <c r="CC135" s="108" t="s">
        <v>5349</v>
      </c>
      <c r="CD135" s="108" t="s">
        <v>5362</v>
      </c>
      <c r="CE135" s="108" t="s">
        <v>5350</v>
      </c>
      <c r="CF135" s="108" t="s">
        <v>5351</v>
      </c>
      <c r="CG135" s="108" t="s">
        <v>5374</v>
      </c>
      <c r="CH135" s="108" t="s">
        <v>5352</v>
      </c>
      <c r="CI135" s="108" t="s">
        <v>5353</v>
      </c>
      <c r="CJ135" s="108" t="s">
        <v>5354</v>
      </c>
      <c r="CK135" s="144" t="s">
        <v>5153</v>
      </c>
      <c r="CL135" s="9" t="s">
        <v>5572</v>
      </c>
    </row>
    <row r="136" spans="1:90">
      <c r="A136" s="126" t="str">
        <f t="shared" ref="A136:B155" si="95">IF($E$134&gt;0,A1202," ")</f>
        <v>Karma Ritual</v>
      </c>
      <c r="B136" s="14">
        <f t="shared" si="95"/>
        <v>1</v>
      </c>
      <c r="C136" s="14">
        <v>9</v>
      </c>
      <c r="D136" s="14" t="str">
        <f>IF(C136=" "," ",LOOKUP(A136,'Talents-Skills'!$A$2:$A$496,'Talents-Skills'!$C$2:$C$496))</f>
        <v>Rank</v>
      </c>
      <c r="E136" s="14" t="s">
        <v>5361</v>
      </c>
      <c r="F136" s="14" t="s">
        <v>5361</v>
      </c>
      <c r="G136" s="14" t="s">
        <v>5361</v>
      </c>
      <c r="H136" s="14" t="str">
        <f>IF(C136=" "," ",LOOKUP(A136,'Talents-Skills'!$A$2:$A$496,'Talents-Skills'!$E$2:$E$496))</f>
        <v>No</v>
      </c>
      <c r="I136" s="14" t="str">
        <f t="shared" ref="I136:I170" si="96">IF(C136=" "," ",C1202)</f>
        <v>No</v>
      </c>
      <c r="J136" s="14" t="str">
        <f>IF(I136="Yes","May",IF(C136=" "," ",LOOKUP(A136,'Talents-Skills'!$A$2:$A$496,'Talents-Skills'!$F$2:$F$496)))</f>
        <v>No</v>
      </c>
      <c r="K136" s="140" t="str">
        <f>IF(C136=" "," ",LOOKUP(A136,'Talents-Skills'!$A$2:$A$496,'Talents-Skills'!$G$2:$G$496))</f>
        <v>No</v>
      </c>
      <c r="L136" s="9">
        <f t="shared" ref="L136:L171" si="97">IF(C136=" "," ",IF(B136&lt;5,LOOKUP(C136,$AQ$23:$AQ$38,$AS$23:$AS$38),IF(B136&lt;9,LOOKUP(C136,$AQ$23:$AQ$38,$AU$23:$AU$38),IF(B136&lt;13,LOOKUP(C136,$AQ$23:$AQ$38,$AW$23:$AW$38),IF(B136&lt;16,LOOKUP(C136,$AQ$23:$AQ$38,$AY$23:$AY$38)," ")))))</f>
        <v>14200</v>
      </c>
      <c r="N136" s="10"/>
      <c r="P136" s="65"/>
      <c r="U136" s="10"/>
      <c r="W136" s="10"/>
      <c r="X136" s="10"/>
      <c r="Z136" s="10">
        <v>135</v>
      </c>
      <c r="AA136" s="10">
        <v>46</v>
      </c>
      <c r="BB136" s="185">
        <f>LOOKUP(CharGenMain!A136,'Talents-Skills'!$A$2:$A$496,'Talents-Skills'!$D$2:$D$496)</f>
        <v>0</v>
      </c>
      <c r="BW136" s="9">
        <f>IF(D136="Rank",CharGenMain!BB136," ")</f>
        <v>0</v>
      </c>
      <c r="CA136" s="126">
        <f t="shared" ref="CA136:CB151" si="98">IF($E$134&gt;0,CA1202," ")</f>
        <v>0</v>
      </c>
      <c r="CB136" s="14">
        <f t="shared" si="98"/>
        <v>0</v>
      </c>
      <c r="CC136" s="14">
        <f t="shared" ref="CC136:CC171" si="99">IF(CB136&lt;=$E$134,$E$134," ")</f>
        <v>10</v>
      </c>
      <c r="CD136" s="14" t="e">
        <f>IF(CC136=" "," ",LOOKUP(CA136,'Talents-Skills'!$A$2:$A$496,'Talents-Skills'!$C$2:$C$496))</f>
        <v>#N/A</v>
      </c>
      <c r="CE136" s="14" t="s">
        <v>5361</v>
      </c>
      <c r="CF136" s="14" t="e">
        <f t="shared" ref="CF136:CF171" si="100">IF(CC136=" "," ",(CC136+CE136+EB136))</f>
        <v>#VALUE!</v>
      </c>
      <c r="CG136" s="14" t="e">
        <f t="shared" ref="CG136:CG171" si="101">IF(CC136=" "," ",LOOKUP(CF136,$AC$2:$AC$101,$AD$2:$AD$101))</f>
        <v>#VALUE!</v>
      </c>
      <c r="CH136" s="14" t="e">
        <f>IF(CC136=" "," ",LOOKUP(CA136,'Talents-Skills'!$A$2:$A$496,'Talents-Skills'!$E$2:$E$496))</f>
        <v>#N/A</v>
      </c>
      <c r="CI136" s="14">
        <f t="shared" ref="CI136:CI171" si="102">IF(CC136=" "," ",CC1202)</f>
        <v>0</v>
      </c>
      <c r="CJ136" s="14" t="e">
        <f>IF(CI136="Yes","May",IF(CC136=" "," ",LOOKUP(CA136,'Talents-Skills'!$A$2:$A$496,'Talents-Skills'!$F$2:$F$496)))</f>
        <v>#N/A</v>
      </c>
      <c r="CK136" s="140" t="e">
        <f>IF(CC136=" "," ",LOOKUP(CA136,'Talents-Skills'!$A$2:$A$496,'Talents-Skills'!$G$2:$G$496))</f>
        <v>#N/A</v>
      </c>
      <c r="CL136" s="9">
        <f t="shared" ref="CL136:CL171" si="103">IF(CC136=" "," ",IF(CB136&lt;5,LOOKUP(CC136,$AQ$23:$AQ$38,$AS$23:$AS$38),IF(CB136&lt;9,LOOKUP(CC136,$AQ$23:$AQ$38,$AU$23:$AU$38),IF(CB136&lt;13,LOOKUP(CC136,$AQ$23:$AQ$38,$AW$23:$AW$38),IF(CB136&lt;16,LOOKUP(CC136,$AQ$23:$AQ$38,$AY$23:$AY$38)," ")))))</f>
        <v>23100</v>
      </c>
    </row>
    <row r="137" spans="1:90">
      <c r="A137" s="243" t="str">
        <f t="shared" si="95"/>
        <v>Acrobatic Strike</v>
      </c>
      <c r="B137" s="244">
        <f t="shared" si="95"/>
        <v>1</v>
      </c>
      <c r="C137" s="244">
        <v>12</v>
      </c>
      <c r="D137" s="244" t="str">
        <f>IF(C137=" "," ",LOOKUP(A137,'Talents-Skills'!$A$2:$A$496,'Talents-Skills'!$C$2:$C$496))</f>
        <v>Dexterity</v>
      </c>
      <c r="E137" s="244">
        <f t="shared" ref="E137:E155" si="104">IF(D137=$A$6,$F$6,IF(D137=$A$7,$F$7,IF(D137=$A$8,$F$8,IF(D137=$A$9,$F$9,IF(D137=$A$10,$F$10,IF(D137=$A$11,$F$11,IF(D137="Rank",0,BW137)))))))</f>
        <v>7</v>
      </c>
      <c r="F137" s="244">
        <f t="shared" ref="F137:F170" si="105">IF(C137=" "," ",(C137+E137+BB137))</f>
        <v>19</v>
      </c>
      <c r="G137" s="244" t="str">
        <f t="shared" ref="G137:G170" si="106">IF(C137=" "," ",LOOKUP(F137,$AC$2:$AC$101,$AD$2:$AD$101))</f>
        <v>D20+2D6</v>
      </c>
      <c r="H137" s="244" t="str">
        <f>IF(C137=" "," ",LOOKUP(A137,'Talents-Skills'!$A$2:$A$496,'Talents-Skills'!$E$2:$E$496))</f>
        <v>No</v>
      </c>
      <c r="I137" s="244" t="str">
        <f t="shared" si="96"/>
        <v>Yes</v>
      </c>
      <c r="J137" s="244" t="str">
        <f>IF(I137="Yes","May",IF(C137=" "," ",LOOKUP(A137,'Talents-Skills'!$A$2:$A$496,'Talents-Skills'!$F$2:$F$496)))</f>
        <v>May</v>
      </c>
      <c r="K137" s="245" t="str">
        <f>IF(C137=" "," ",LOOKUP(A137,'Talents-Skills'!$A$2:$A$496,'Talents-Skills'!$G$2:$G$496))</f>
        <v>No</v>
      </c>
      <c r="L137" s="9">
        <f t="shared" si="97"/>
        <v>60800</v>
      </c>
      <c r="N137" s="10"/>
      <c r="P137" s="65"/>
      <c r="U137" s="10"/>
      <c r="W137" s="10"/>
      <c r="X137" s="10"/>
      <c r="Z137" s="10">
        <v>136</v>
      </c>
      <c r="AA137" s="10">
        <v>47</v>
      </c>
      <c r="BB137" s="185">
        <f>LOOKUP(CharGenMain!A137,'Talents-Skills'!$A$2:$A$496,'Talents-Skills'!$D$2:$D$496)</f>
        <v>0</v>
      </c>
      <c r="BW137" s="9" t="str">
        <f>IF(D137="Rank",CharGenMain!BB137," ")</f>
        <v xml:space="preserve"> </v>
      </c>
      <c r="CA137" s="238">
        <f t="shared" si="98"/>
        <v>0</v>
      </c>
      <c r="CB137" s="240">
        <f t="shared" si="98"/>
        <v>0</v>
      </c>
      <c r="CC137" s="240">
        <f t="shared" si="99"/>
        <v>10</v>
      </c>
      <c r="CD137" s="240" t="e">
        <f>IF(CC137=" "," ",LOOKUP(CA137,'Talents-Skills'!$A$2:$A$496,'Talents-Skills'!$C$2:$C$496))</f>
        <v>#N/A</v>
      </c>
      <c r="CE137" s="240" t="e">
        <f t="shared" ref="CE137:CE171" si="107">IF(CD137=$A$6,$F$6,IF(CD137=$A$7,$F$7,IF(CD137=$A$8,$F$8,IF(CD137=$A$9,$F$9,IF(CD137=$A$10,$F$10,IF(CD137=$A$11,$F$11,EW137))))))</f>
        <v>#N/A</v>
      </c>
      <c r="CF137" s="240" t="e">
        <f t="shared" si="100"/>
        <v>#N/A</v>
      </c>
      <c r="CG137" s="240" t="e">
        <f t="shared" si="101"/>
        <v>#N/A</v>
      </c>
      <c r="CH137" s="240" t="e">
        <f>IF(CC137=" "," ",LOOKUP(CA137,'Talents-Skills'!$A$2:$A$496,'Talents-Skills'!$E$2:$E$496))</f>
        <v>#N/A</v>
      </c>
      <c r="CI137" s="240">
        <f t="shared" si="102"/>
        <v>0</v>
      </c>
      <c r="CJ137" s="240" t="e">
        <f>IF(CI137="Yes","May",IF(CC137=" "," ",LOOKUP(CA137,'Talents-Skills'!$A$2:$A$496,'Talents-Skills'!$F$2:$F$496)))</f>
        <v>#N/A</v>
      </c>
      <c r="CK137" s="242" t="e">
        <f>IF(CC137=" "," ",LOOKUP(CA137,'Talents-Skills'!$A$2:$A$496,'Talents-Skills'!$G$2:$G$496))</f>
        <v>#N/A</v>
      </c>
      <c r="CL137" s="9">
        <f t="shared" si="103"/>
        <v>23100</v>
      </c>
    </row>
    <row r="138" spans="1:90">
      <c r="A138" s="126" t="str">
        <f t="shared" si="95"/>
        <v>Air Sailing</v>
      </c>
      <c r="B138" s="14">
        <f t="shared" si="95"/>
        <v>1</v>
      </c>
      <c r="C138" s="14">
        <v>10</v>
      </c>
      <c r="D138" s="14" t="str">
        <f>IF(C138=" "," ",LOOKUP(A138,'Talents-Skills'!$A$2:$A$496,'Talents-Skills'!$C$2:$C$496))</f>
        <v>Willpower</v>
      </c>
      <c r="E138" s="14">
        <f t="shared" si="104"/>
        <v>6</v>
      </c>
      <c r="F138" s="14">
        <f t="shared" si="105"/>
        <v>16</v>
      </c>
      <c r="G138" s="14" t="str">
        <f t="shared" si="106"/>
        <v>D20+D8</v>
      </c>
      <c r="H138" s="14" t="str">
        <f>IF(C138=" "," ",LOOKUP(A138,'Talents-Skills'!$A$2:$A$496,'Talents-Skills'!$E$2:$E$496))</f>
        <v>Yes</v>
      </c>
      <c r="I138" s="14" t="str">
        <f t="shared" si="96"/>
        <v>Yes</v>
      </c>
      <c r="J138" s="14" t="str">
        <f>IF(I138="Yes","May",IF(C138=" "," ",LOOKUP(A138,'Talents-Skills'!$A$2:$A$496,'Talents-Skills'!$F$2:$F$496)))</f>
        <v>May</v>
      </c>
      <c r="K138" s="140" t="str">
        <f>IF(C138=" "," ",LOOKUP(A138,'Talents-Skills'!$A$2:$A$496,'Talents-Skills'!$G$2:$G$496))</f>
        <v>No</v>
      </c>
      <c r="L138" s="9">
        <f t="shared" si="97"/>
        <v>23100</v>
      </c>
      <c r="N138" s="10"/>
      <c r="P138" s="65"/>
      <c r="U138" s="10"/>
      <c r="W138" s="10"/>
      <c r="X138" s="10"/>
      <c r="Z138" s="10">
        <v>137</v>
      </c>
      <c r="AA138" s="10">
        <v>47</v>
      </c>
      <c r="BB138" s="185">
        <f>LOOKUP(CharGenMain!A138,'Talents-Skills'!$A$2:$A$496,'Talents-Skills'!$D$2:$D$496)</f>
        <v>0</v>
      </c>
      <c r="BW138" s="9" t="str">
        <f>IF(D138="Rank",CharGenMain!BB138," ")</f>
        <v xml:space="preserve"> </v>
      </c>
      <c r="CA138" s="126">
        <f t="shared" si="98"/>
        <v>0</v>
      </c>
      <c r="CB138" s="14">
        <f t="shared" si="98"/>
        <v>0</v>
      </c>
      <c r="CC138" s="14">
        <f t="shared" si="99"/>
        <v>10</v>
      </c>
      <c r="CD138" s="14" t="e">
        <f>IF(CC138=" "," ",LOOKUP(CA138,'Talents-Skills'!$A$2:$A$496,'Talents-Skills'!$C$2:$C$496))</f>
        <v>#N/A</v>
      </c>
      <c r="CE138" s="14" t="e">
        <f t="shared" si="107"/>
        <v>#N/A</v>
      </c>
      <c r="CF138" s="14" t="e">
        <f t="shared" si="100"/>
        <v>#N/A</v>
      </c>
      <c r="CG138" s="14" t="e">
        <f t="shared" si="101"/>
        <v>#N/A</v>
      </c>
      <c r="CH138" s="14" t="e">
        <f>IF(CC138=" "," ",LOOKUP(CA138,'Talents-Skills'!$A$2:$A$496,'Talents-Skills'!$E$2:$E$496))</f>
        <v>#N/A</v>
      </c>
      <c r="CI138" s="14">
        <f t="shared" si="102"/>
        <v>0</v>
      </c>
      <c r="CJ138" s="14" t="e">
        <f>IF(CI138="Yes","May",IF(CC138=" "," ",LOOKUP(CA138,'Talents-Skills'!$A$2:$A$496,'Talents-Skills'!$F$2:$F$496)))</f>
        <v>#N/A</v>
      </c>
      <c r="CK138" s="140" t="e">
        <f>IF(CC138=" "," ",LOOKUP(CA138,'Talents-Skills'!$A$2:$A$496,'Talents-Skills'!$G$2:$G$496))</f>
        <v>#N/A</v>
      </c>
      <c r="CL138" s="9">
        <f t="shared" si="103"/>
        <v>23100</v>
      </c>
    </row>
    <row r="139" spans="1:90">
      <c r="A139" s="238" t="str">
        <f t="shared" si="95"/>
        <v>Avoid Blow</v>
      </c>
      <c r="B139" s="240">
        <f t="shared" si="95"/>
        <v>1</v>
      </c>
      <c r="C139" s="240">
        <v>8</v>
      </c>
      <c r="D139" s="240" t="str">
        <f>IF(C139=" "," ",LOOKUP(A139,'Talents-Skills'!$A$2:$A$496,'Talents-Skills'!$C$2:$C$496))</f>
        <v>Dexterity</v>
      </c>
      <c r="E139" s="240">
        <f t="shared" si="104"/>
        <v>7</v>
      </c>
      <c r="F139" s="240">
        <f t="shared" si="105"/>
        <v>15</v>
      </c>
      <c r="G139" s="240" t="str">
        <f t="shared" si="106"/>
        <v>D20+D6</v>
      </c>
      <c r="H139" s="240" t="str">
        <f>IF(C139=" "," ",LOOKUP(A139,'Talents-Skills'!$A$2:$A$496,'Talents-Skills'!$E$2:$E$496))</f>
        <v>No</v>
      </c>
      <c r="I139" s="240" t="str">
        <f t="shared" si="96"/>
        <v>Yes</v>
      </c>
      <c r="J139" s="240" t="str">
        <f>IF(I139="Yes","May",IF(C139=" "," ",LOOKUP(A139,'Talents-Skills'!$A$2:$A$496,'Talents-Skills'!$F$2:$F$496)))</f>
        <v>May</v>
      </c>
      <c r="K139" s="242">
        <f>IF(C139=" "," ",LOOKUP(A139,'Talents-Skills'!$A$2:$A$496,'Talents-Skills'!$G$2:$G$496))</f>
        <v>1</v>
      </c>
      <c r="L139" s="9">
        <f t="shared" si="97"/>
        <v>8700</v>
      </c>
      <c r="N139" s="10"/>
      <c r="P139" s="65"/>
      <c r="U139" s="10"/>
      <c r="W139" s="10"/>
      <c r="X139" s="10"/>
      <c r="Z139" s="10">
        <v>138</v>
      </c>
      <c r="AA139" s="10">
        <v>47</v>
      </c>
      <c r="BB139" s="185">
        <f>LOOKUP(CharGenMain!A139,'Talents-Skills'!$A$2:$A$496,'Talents-Skills'!$D$2:$D$496)</f>
        <v>0</v>
      </c>
      <c r="BW139" s="9" t="str">
        <f>IF(D139="Rank",CharGenMain!BB139," ")</f>
        <v xml:space="preserve"> </v>
      </c>
      <c r="CA139" s="238">
        <f t="shared" si="98"/>
        <v>0</v>
      </c>
      <c r="CB139" s="240">
        <f t="shared" si="98"/>
        <v>0</v>
      </c>
      <c r="CC139" s="240">
        <f t="shared" si="99"/>
        <v>10</v>
      </c>
      <c r="CD139" s="240" t="e">
        <f>IF(CC139=" "," ",LOOKUP(CA139,'Talents-Skills'!$A$2:$A$496,'Talents-Skills'!$C$2:$C$496))</f>
        <v>#N/A</v>
      </c>
      <c r="CE139" s="240" t="e">
        <f t="shared" si="107"/>
        <v>#N/A</v>
      </c>
      <c r="CF139" s="240" t="e">
        <f t="shared" si="100"/>
        <v>#N/A</v>
      </c>
      <c r="CG139" s="240" t="e">
        <f t="shared" si="101"/>
        <v>#N/A</v>
      </c>
      <c r="CH139" s="240" t="e">
        <f>IF(CC139=" "," ",LOOKUP(CA139,'Talents-Skills'!$A$2:$A$496,'Talents-Skills'!$E$2:$E$496))</f>
        <v>#N/A</v>
      </c>
      <c r="CI139" s="240">
        <f t="shared" si="102"/>
        <v>0</v>
      </c>
      <c r="CJ139" s="240" t="e">
        <f>IF(CI139="Yes","May",IF(CC139=" "," ",LOOKUP(CA139,'Talents-Skills'!$A$2:$A$496,'Talents-Skills'!$F$2:$F$496)))</f>
        <v>#N/A</v>
      </c>
      <c r="CK139" s="242" t="e">
        <f>IF(CC139=" "," ",LOOKUP(CA139,'Talents-Skills'!$A$2:$A$496,'Talents-Skills'!$G$2:$G$496))</f>
        <v>#N/A</v>
      </c>
      <c r="CL139" s="9">
        <f t="shared" si="103"/>
        <v>23100</v>
      </c>
    </row>
    <row r="140" spans="1:90">
      <c r="A140" s="129" t="str">
        <f t="shared" si="95"/>
        <v>Melee Weapons</v>
      </c>
      <c r="B140" s="108">
        <f t="shared" si="95"/>
        <v>1</v>
      </c>
      <c r="C140" s="108">
        <v>10</v>
      </c>
      <c r="D140" s="108" t="str">
        <f>IF(C140=" "," ",LOOKUP(A140,'Talents-Skills'!$A$2:$A$496,'Talents-Skills'!$C$2:$C$496))</f>
        <v>Dexterity</v>
      </c>
      <c r="E140" s="108">
        <f t="shared" si="104"/>
        <v>7</v>
      </c>
      <c r="F140" s="108">
        <f t="shared" si="105"/>
        <v>17</v>
      </c>
      <c r="G140" s="108" t="str">
        <f t="shared" si="106"/>
        <v>D20+D10</v>
      </c>
      <c r="H140" s="108" t="str">
        <f>IF(C140=" "," ",LOOKUP(A140,'Talents-Skills'!$A$2:$A$496,'Talents-Skills'!$E$2:$E$496))</f>
        <v>Yes</v>
      </c>
      <c r="I140" s="108" t="str">
        <f t="shared" si="96"/>
        <v>No</v>
      </c>
      <c r="J140" s="108" t="str">
        <f>IF(I140="Yes","May",IF(C140=" "," ",LOOKUP(A140,'Talents-Skills'!$A$2:$A$496,'Talents-Skills'!$F$2:$F$496)))</f>
        <v>No</v>
      </c>
      <c r="K140" s="144" t="str">
        <f>IF(C140=" "," ",LOOKUP(A140,'Talents-Skills'!$A$2:$A$496,'Talents-Skills'!$G$2:$G$496))</f>
        <v>No</v>
      </c>
      <c r="L140" s="9">
        <f t="shared" si="97"/>
        <v>23100</v>
      </c>
      <c r="N140" s="10"/>
      <c r="P140" s="65"/>
      <c r="U140" s="10"/>
      <c r="W140" s="10"/>
      <c r="X140" s="10"/>
      <c r="Z140" s="10">
        <v>139</v>
      </c>
      <c r="AA140" s="10">
        <v>48</v>
      </c>
      <c r="BB140" s="185">
        <f>LOOKUP(CharGenMain!A140,'Talents-Skills'!$A$2:$A$496,'Talents-Skills'!$D$2:$D$496)</f>
        <v>0</v>
      </c>
      <c r="BW140" s="9" t="str">
        <f>IF(D140="Rank",CharGenMain!BB140," ")</f>
        <v xml:space="preserve"> </v>
      </c>
      <c r="CA140" s="126">
        <f t="shared" si="98"/>
        <v>0</v>
      </c>
      <c r="CB140" s="14">
        <f t="shared" si="98"/>
        <v>0</v>
      </c>
      <c r="CC140" s="14">
        <f t="shared" si="99"/>
        <v>10</v>
      </c>
      <c r="CD140" s="14" t="e">
        <f>IF(CC140=" "," ",LOOKUP(CA140,'Talents-Skills'!$A$2:$A$496,'Talents-Skills'!$C$2:$C$496))</f>
        <v>#N/A</v>
      </c>
      <c r="CE140" s="14" t="e">
        <f t="shared" si="107"/>
        <v>#N/A</v>
      </c>
      <c r="CF140" s="14" t="e">
        <f t="shared" si="100"/>
        <v>#N/A</v>
      </c>
      <c r="CG140" s="14" t="e">
        <f t="shared" si="101"/>
        <v>#N/A</v>
      </c>
      <c r="CH140" s="14" t="e">
        <f>IF(CC140=" "," ",LOOKUP(CA140,'Talents-Skills'!$A$2:$A$496,'Talents-Skills'!$E$2:$E$496))</f>
        <v>#N/A</v>
      </c>
      <c r="CI140" s="14">
        <f t="shared" si="102"/>
        <v>0</v>
      </c>
      <c r="CJ140" s="14" t="e">
        <f>IF(CI140="Yes","May",IF(CC140=" "," ",LOOKUP(CA140,'Talents-Skills'!$A$2:$A$496,'Talents-Skills'!$F$2:$F$496)))</f>
        <v>#N/A</v>
      </c>
      <c r="CK140" s="140" t="e">
        <f>IF(CC140=" "," ",LOOKUP(CA140,'Talents-Skills'!$A$2:$A$496,'Talents-Skills'!$G$2:$G$496))</f>
        <v>#N/A</v>
      </c>
      <c r="CL140" s="9">
        <f t="shared" si="103"/>
        <v>23100</v>
      </c>
    </row>
    <row r="141" spans="1:90">
      <c r="A141" s="273" t="str">
        <f t="shared" si="95"/>
        <v>Unarmed Combat</v>
      </c>
      <c r="B141" s="274">
        <f t="shared" si="95"/>
        <v>1</v>
      </c>
      <c r="C141" s="274">
        <v>0</v>
      </c>
      <c r="D141" s="274" t="str">
        <f>IF(C141=" "," ",LOOKUP(A141,'Talents-Skills'!$A$2:$A$496,'Talents-Skills'!$C$2:$C$496))</f>
        <v>Dexterity</v>
      </c>
      <c r="E141" s="274">
        <f t="shared" si="104"/>
        <v>7</v>
      </c>
      <c r="F141" s="274">
        <f t="shared" si="105"/>
        <v>7</v>
      </c>
      <c r="G141" s="274" t="str">
        <f t="shared" si="106"/>
        <v>D12</v>
      </c>
      <c r="H141" s="274" t="str">
        <f>IF(C141=" "," ",LOOKUP(A141,'Talents-Skills'!$A$2:$A$496,'Talents-Skills'!$E$2:$E$496))</f>
        <v>Yes</v>
      </c>
      <c r="I141" s="274" t="str">
        <f t="shared" si="96"/>
        <v>No</v>
      </c>
      <c r="J141" s="274" t="str">
        <f>IF(I141="Yes","May",IF(C141=" "," ",LOOKUP(A141,'Talents-Skills'!$A$2:$A$496,'Talents-Skills'!$F$2:$F$496)))</f>
        <v>No</v>
      </c>
      <c r="K141" s="275" t="str">
        <f>IF(C141=" "," ",LOOKUP(A141,'Talents-Skills'!$A$2:$A$496,'Talents-Skills'!$G$2:$G$496))</f>
        <v>No</v>
      </c>
      <c r="L141" s="9">
        <f t="shared" si="97"/>
        <v>0</v>
      </c>
      <c r="N141" s="10"/>
      <c r="P141" s="65"/>
      <c r="U141" s="10"/>
      <c r="W141" s="10"/>
      <c r="X141" s="10"/>
      <c r="Z141" s="10">
        <v>140</v>
      </c>
      <c r="AA141" s="10">
        <v>48</v>
      </c>
      <c r="BB141" s="185">
        <f>LOOKUP(CharGenMain!A141,'Talents-Skills'!$A$2:$A$496,'Talents-Skills'!$D$2:$D$496)</f>
        <v>0</v>
      </c>
      <c r="BW141" s="9" t="str">
        <f>IF(D141="Rank",CharGenMain!BB141," ")</f>
        <v xml:space="preserve"> </v>
      </c>
      <c r="CA141" s="238">
        <f t="shared" si="98"/>
        <v>0</v>
      </c>
      <c r="CB141" s="240">
        <f t="shared" si="98"/>
        <v>0</v>
      </c>
      <c r="CC141" s="240">
        <f t="shared" si="99"/>
        <v>10</v>
      </c>
      <c r="CD141" s="240" t="e">
        <f>IF(CC141=" "," ",LOOKUP(CA141,'Talents-Skills'!$A$2:$A$496,'Talents-Skills'!$C$2:$C$496))</f>
        <v>#N/A</v>
      </c>
      <c r="CE141" s="240" t="e">
        <f t="shared" si="107"/>
        <v>#N/A</v>
      </c>
      <c r="CF141" s="240" t="e">
        <f t="shared" si="100"/>
        <v>#N/A</v>
      </c>
      <c r="CG141" s="240" t="e">
        <f t="shared" si="101"/>
        <v>#N/A</v>
      </c>
      <c r="CH141" s="240" t="e">
        <f>IF(CC141=" "," ",LOOKUP(CA141,'Talents-Skills'!$A$2:$A$496,'Talents-Skills'!$E$2:$E$496))</f>
        <v>#N/A</v>
      </c>
      <c r="CI141" s="240">
        <f t="shared" si="102"/>
        <v>0</v>
      </c>
      <c r="CJ141" s="240" t="e">
        <f>IF(CI141="Yes","May",IF(CC141=" "," ",LOOKUP(CA141,'Talents-Skills'!$A$2:$A$496,'Talents-Skills'!$F$2:$F$496)))</f>
        <v>#N/A</v>
      </c>
      <c r="CK141" s="242" t="e">
        <f>IF(CC141=" "," ",LOOKUP(CA141,'Talents-Skills'!$A$2:$A$496,'Talents-Skills'!$G$2:$G$496))</f>
        <v>#N/A</v>
      </c>
      <c r="CL141" s="9">
        <f t="shared" si="103"/>
        <v>23100</v>
      </c>
    </row>
    <row r="142" spans="1:90">
      <c r="A142" s="126" t="str">
        <f t="shared" si="95"/>
        <v>Great Leap</v>
      </c>
      <c r="B142" s="14">
        <f t="shared" si="95"/>
        <v>2</v>
      </c>
      <c r="C142" s="14">
        <v>10</v>
      </c>
      <c r="D142" s="14" t="str">
        <f>IF(C142=" "," ",LOOKUP(A142,'Talents-Skills'!$A$2:$A$496,'Talents-Skills'!$C$2:$C$496))</f>
        <v>Dexterity</v>
      </c>
      <c r="E142" s="14">
        <f t="shared" si="104"/>
        <v>7</v>
      </c>
      <c r="F142" s="14">
        <f t="shared" si="105"/>
        <v>17</v>
      </c>
      <c r="G142" s="14" t="str">
        <f t="shared" si="106"/>
        <v>D20+D10</v>
      </c>
      <c r="H142" s="14" t="str">
        <f>IF(C142=" "," ",LOOKUP(A142,'Talents-Skills'!$A$2:$A$496,'Talents-Skills'!$E$2:$E$496))</f>
        <v>No</v>
      </c>
      <c r="I142" s="14" t="str">
        <f t="shared" si="96"/>
        <v>Yes</v>
      </c>
      <c r="J142" s="14" t="str">
        <f>IF(I142="Yes","May",IF(C142=" "," ",LOOKUP(A142,'Talents-Skills'!$A$2:$A$496,'Talents-Skills'!$F$2:$F$496)))</f>
        <v>May</v>
      </c>
      <c r="K142" s="140" t="str">
        <f>IF(C142=" "," ",LOOKUP(A142,'Talents-Skills'!$A$2:$A$496,'Talents-Skills'!$G$2:$G$496))</f>
        <v>No</v>
      </c>
      <c r="L142" s="9">
        <f t="shared" si="97"/>
        <v>23100</v>
      </c>
      <c r="N142" s="10"/>
      <c r="P142" s="65"/>
      <c r="U142" s="10"/>
      <c r="W142" s="10"/>
      <c r="X142" s="10"/>
      <c r="Z142" s="10">
        <v>141</v>
      </c>
      <c r="AA142" s="10">
        <v>48</v>
      </c>
      <c r="BB142" s="185">
        <f>LOOKUP(CharGenMain!A142,'Talents-Skills'!$A$2:$A$496,'Talents-Skills'!$D$2:$D$496)</f>
        <v>0</v>
      </c>
      <c r="BW142" s="9" t="str">
        <f>IF(D142="Rank",CharGenMain!BB142," ")</f>
        <v xml:space="preserve"> </v>
      </c>
      <c r="CA142" s="126">
        <f t="shared" si="98"/>
        <v>0</v>
      </c>
      <c r="CB142" s="14">
        <f t="shared" si="98"/>
        <v>0</v>
      </c>
      <c r="CC142" s="14">
        <f t="shared" si="99"/>
        <v>10</v>
      </c>
      <c r="CD142" s="14" t="e">
        <f>IF(CC142=" "," ",LOOKUP(CA142,'Talents-Skills'!$A$2:$A$496,'Talents-Skills'!$C$2:$C$496))</f>
        <v>#N/A</v>
      </c>
      <c r="CE142" s="14" t="e">
        <f t="shared" si="107"/>
        <v>#N/A</v>
      </c>
      <c r="CF142" s="14" t="e">
        <f t="shared" si="100"/>
        <v>#N/A</v>
      </c>
      <c r="CG142" s="14" t="e">
        <f t="shared" si="101"/>
        <v>#N/A</v>
      </c>
      <c r="CH142" s="14" t="e">
        <f>IF(CC142=" "," ",LOOKUP(CA142,'Talents-Skills'!$A$2:$A$496,'Talents-Skills'!$E$2:$E$496))</f>
        <v>#N/A</v>
      </c>
      <c r="CI142" s="14">
        <f t="shared" si="102"/>
        <v>0</v>
      </c>
      <c r="CJ142" s="14" t="e">
        <f>IF(CI142="Yes","May",IF(CC142=" "," ",LOOKUP(CA142,'Talents-Skills'!$A$2:$A$496,'Talents-Skills'!$F$2:$F$496)))</f>
        <v>#N/A</v>
      </c>
      <c r="CK142" s="140" t="e">
        <f>IF(CC142=" "," ",LOOKUP(CA142,'Talents-Skills'!$A$2:$A$496,'Talents-Skills'!$G$2:$G$496))</f>
        <v>#N/A</v>
      </c>
      <c r="CL142" s="9">
        <f t="shared" si="103"/>
        <v>23100</v>
      </c>
    </row>
    <row r="143" spans="1:90">
      <c r="A143" s="238" t="str">
        <f t="shared" si="95"/>
        <v>Maneuver</v>
      </c>
      <c r="B143" s="240">
        <f t="shared" si="95"/>
        <v>2</v>
      </c>
      <c r="C143" s="240">
        <v>8</v>
      </c>
      <c r="D143" s="240" t="str">
        <f>IF(C143=" "," ",LOOKUP(A143,'Talents-Skills'!$A$2:$A$496,'Talents-Skills'!$C$2:$C$496))</f>
        <v>Dexterity</v>
      </c>
      <c r="E143" s="240">
        <f t="shared" si="104"/>
        <v>7</v>
      </c>
      <c r="F143" s="240">
        <f t="shared" si="105"/>
        <v>15</v>
      </c>
      <c r="G143" s="240" t="str">
        <f t="shared" si="106"/>
        <v>D20+D6</v>
      </c>
      <c r="H143" s="240" t="str">
        <f>IF(C143=" "," ",LOOKUP(A143,'Talents-Skills'!$A$2:$A$496,'Talents-Skills'!$E$2:$E$496))</f>
        <v>Yes</v>
      </c>
      <c r="I143" s="240" t="str">
        <f t="shared" si="96"/>
        <v>No</v>
      </c>
      <c r="J143" s="240" t="str">
        <f>IF(I143="Yes","May",IF(C143=" "," ",LOOKUP(A143,'Talents-Skills'!$A$2:$A$496,'Talents-Skills'!$F$2:$F$496)))</f>
        <v>No</v>
      </c>
      <c r="K143" s="242" t="str">
        <f>IF(C143=" "," ",LOOKUP(A143,'Talents-Skills'!$A$2:$A$496,'Talents-Skills'!$G$2:$G$496))</f>
        <v>No</v>
      </c>
      <c r="L143" s="9">
        <f t="shared" si="97"/>
        <v>8700</v>
      </c>
      <c r="N143" s="10"/>
      <c r="P143" s="65"/>
      <c r="U143" s="10"/>
      <c r="V143" s="10"/>
      <c r="W143" s="10"/>
      <c r="X143" s="10"/>
      <c r="Z143" s="10">
        <v>142</v>
      </c>
      <c r="AA143" s="10">
        <v>49</v>
      </c>
      <c r="BB143" s="185">
        <f>LOOKUP(CharGenMain!A143,'Talents-Skills'!$A$2:$A$496,'Talents-Skills'!$D$2:$D$496)</f>
        <v>0</v>
      </c>
      <c r="BW143" s="9" t="str">
        <f>IF(D143="Rank",CharGenMain!BB143," ")</f>
        <v xml:space="preserve"> </v>
      </c>
      <c r="CA143" s="238">
        <f t="shared" si="98"/>
        <v>0</v>
      </c>
      <c r="CB143" s="240">
        <f t="shared" si="98"/>
        <v>0</v>
      </c>
      <c r="CC143" s="240">
        <f t="shared" si="99"/>
        <v>10</v>
      </c>
      <c r="CD143" s="240" t="e">
        <f>IF(CC143=" "," ",LOOKUP(CA143,'Talents-Skills'!$A$2:$A$496,'Talents-Skills'!$C$2:$C$496))</f>
        <v>#N/A</v>
      </c>
      <c r="CE143" s="240" t="e">
        <f t="shared" si="107"/>
        <v>#N/A</v>
      </c>
      <c r="CF143" s="240" t="e">
        <f t="shared" si="100"/>
        <v>#N/A</v>
      </c>
      <c r="CG143" s="240" t="e">
        <f t="shared" si="101"/>
        <v>#N/A</v>
      </c>
      <c r="CH143" s="240" t="e">
        <f>IF(CC143=" "," ",LOOKUP(CA143,'Talents-Skills'!$A$2:$A$496,'Talents-Skills'!$E$2:$E$496))</f>
        <v>#N/A</v>
      </c>
      <c r="CI143" s="240">
        <f t="shared" si="102"/>
        <v>0</v>
      </c>
      <c r="CJ143" s="240" t="e">
        <f>IF(CI143="Yes","May",IF(CC143=" "," ",LOOKUP(CA143,'Talents-Skills'!$A$2:$A$496,'Talents-Skills'!$F$2:$F$496)))</f>
        <v>#N/A</v>
      </c>
      <c r="CK143" s="242" t="e">
        <f>IF(CC143=" "," ",LOOKUP(CA143,'Talents-Skills'!$A$2:$A$496,'Talents-Skills'!$G$2:$G$496))</f>
        <v>#N/A</v>
      </c>
      <c r="CL143" s="9">
        <f t="shared" si="103"/>
        <v>23100</v>
      </c>
    </row>
    <row r="144" spans="1:90">
      <c r="A144" s="129" t="str">
        <f t="shared" si="95"/>
        <v>Riposte</v>
      </c>
      <c r="B144" s="108">
        <f t="shared" si="95"/>
        <v>3</v>
      </c>
      <c r="C144" s="108">
        <v>10</v>
      </c>
      <c r="D144" s="108" t="str">
        <f>IF(C144=" "," ",LOOKUP(A144,'Talents-Skills'!$A$2:$A$496,'Talents-Skills'!$C$2:$C$496))</f>
        <v>Dexterity</v>
      </c>
      <c r="E144" s="108">
        <f t="shared" si="104"/>
        <v>7</v>
      </c>
      <c r="F144" s="108">
        <f t="shared" si="105"/>
        <v>20</v>
      </c>
      <c r="G144" s="108" t="str">
        <f t="shared" si="106"/>
        <v>D20+D8+D6</v>
      </c>
      <c r="H144" s="108" t="str">
        <f>IF(C144=" "," ",LOOKUP(A144,'Talents-Skills'!$A$2:$A$496,'Talents-Skills'!$E$2:$E$496))</f>
        <v>No</v>
      </c>
      <c r="I144" s="108" t="str">
        <f t="shared" si="96"/>
        <v>No</v>
      </c>
      <c r="J144" s="108" t="str">
        <f>IF(I144="Yes","May",IF(C144=" "," ",LOOKUP(A144,'Talents-Skills'!$A$2:$A$496,'Talents-Skills'!$F$2:$F$496)))</f>
        <v>Yes</v>
      </c>
      <c r="K144" s="144">
        <f>IF(C144=" "," ",LOOKUP(A144,'Talents-Skills'!$A$2:$A$496,'Talents-Skills'!$G$2:$G$496))</f>
        <v>2</v>
      </c>
      <c r="L144" s="9">
        <f t="shared" si="97"/>
        <v>23100</v>
      </c>
      <c r="N144" s="10"/>
      <c r="P144" s="65"/>
      <c r="U144" s="10"/>
      <c r="V144" s="10"/>
      <c r="W144" s="10"/>
      <c r="X144" s="10"/>
      <c r="Z144" s="10">
        <v>143</v>
      </c>
      <c r="AA144" s="10">
        <v>49</v>
      </c>
      <c r="BB144" s="185">
        <f>LOOKUP(CharGenMain!A144,'Talents-Skills'!$A$2:$A$496,'Talents-Skills'!$D$2:$D$496)</f>
        <v>3</v>
      </c>
      <c r="BW144" s="9" t="str">
        <f>IF(D144="Rank",CharGenMain!BB144," ")</f>
        <v xml:space="preserve"> </v>
      </c>
      <c r="CA144" s="126">
        <f t="shared" si="98"/>
        <v>0</v>
      </c>
      <c r="CB144" s="14">
        <f t="shared" si="98"/>
        <v>0</v>
      </c>
      <c r="CC144" s="14">
        <f t="shared" si="99"/>
        <v>10</v>
      </c>
      <c r="CD144" s="14" t="e">
        <f>IF(CC144=" "," ",LOOKUP(CA144,'Talents-Skills'!$A$2:$A$496,'Talents-Skills'!$C$2:$C$496))</f>
        <v>#N/A</v>
      </c>
      <c r="CE144" s="14" t="e">
        <f t="shared" si="107"/>
        <v>#N/A</v>
      </c>
      <c r="CF144" s="14" t="e">
        <f t="shared" si="100"/>
        <v>#N/A</v>
      </c>
      <c r="CG144" s="14" t="e">
        <f t="shared" si="101"/>
        <v>#N/A</v>
      </c>
      <c r="CH144" s="14" t="e">
        <f>IF(CC144=" "," ",LOOKUP(CA144,'Talents-Skills'!$A$2:$A$496,'Talents-Skills'!$E$2:$E$496))</f>
        <v>#N/A</v>
      </c>
      <c r="CI144" s="14">
        <f t="shared" si="102"/>
        <v>0</v>
      </c>
      <c r="CJ144" s="14" t="e">
        <f>IF(CI144="Yes","May",IF(CC144=" "," ",LOOKUP(CA144,'Talents-Skills'!$A$2:$A$496,'Talents-Skills'!$F$2:$F$496)))</f>
        <v>#N/A</v>
      </c>
      <c r="CK144" s="140" t="e">
        <f>IF(CC144=" "," ",LOOKUP(CA144,'Talents-Skills'!$A$2:$A$496,'Talents-Skills'!$G$2:$G$496))</f>
        <v>#N/A</v>
      </c>
      <c r="CL144" s="9">
        <f t="shared" si="103"/>
        <v>23100</v>
      </c>
    </row>
    <row r="145" spans="1:90">
      <c r="A145" s="238" t="str">
        <f t="shared" si="95"/>
        <v>Wind Catcher</v>
      </c>
      <c r="B145" s="240">
        <f t="shared" si="95"/>
        <v>3</v>
      </c>
      <c r="C145" s="240">
        <v>10</v>
      </c>
      <c r="D145" s="240" t="str">
        <f>IF(C145=" "," ",LOOKUP(A145,'Talents-Skills'!$A$2:$A$496,'Talents-Skills'!$C$2:$C$496))</f>
        <v>Willpower</v>
      </c>
      <c r="E145" s="240">
        <f t="shared" si="104"/>
        <v>6</v>
      </c>
      <c r="F145" s="240">
        <f t="shared" si="105"/>
        <v>16</v>
      </c>
      <c r="G145" s="240" t="str">
        <f t="shared" si="106"/>
        <v>D20+D8</v>
      </c>
      <c r="H145" s="240" t="str">
        <f>IF(C145=" "," ",LOOKUP(A145,'Talents-Skills'!$A$2:$A$496,'Talents-Skills'!$E$2:$E$496))</f>
        <v>Yes</v>
      </c>
      <c r="I145" s="240" t="str">
        <f t="shared" si="96"/>
        <v>Yes</v>
      </c>
      <c r="J145" s="240" t="str">
        <f>IF(I145="Yes","May",IF(C145=" "," ",LOOKUP(A145,'Talents-Skills'!$A$2:$A$496,'Talents-Skills'!$F$2:$F$496)))</f>
        <v>May</v>
      </c>
      <c r="K145" s="242" t="str">
        <f>IF(C145=" "," ",LOOKUP(A145,'Talents-Skills'!$A$2:$A$496,'Talents-Skills'!$G$2:$G$496))</f>
        <v>No</v>
      </c>
      <c r="L145" s="9">
        <f t="shared" si="97"/>
        <v>23100</v>
      </c>
      <c r="N145" s="10"/>
      <c r="P145" s="65"/>
      <c r="U145" s="10"/>
      <c r="V145" s="10"/>
      <c r="W145" s="10"/>
      <c r="X145" s="10"/>
      <c r="Z145" s="10">
        <v>144</v>
      </c>
      <c r="AA145" s="10">
        <v>49</v>
      </c>
      <c r="BB145" s="185">
        <f>LOOKUP(CharGenMain!A145,'Talents-Skills'!$A$2:$A$496,'Talents-Skills'!$D$2:$D$496)</f>
        <v>0</v>
      </c>
      <c r="BW145" s="9" t="str">
        <f>IF(D145="Rank",CharGenMain!BB145," ")</f>
        <v xml:space="preserve"> </v>
      </c>
      <c r="CA145" s="238">
        <f t="shared" si="98"/>
        <v>0</v>
      </c>
      <c r="CB145" s="240">
        <f t="shared" si="98"/>
        <v>0</v>
      </c>
      <c r="CC145" s="240">
        <f t="shared" si="99"/>
        <v>10</v>
      </c>
      <c r="CD145" s="240" t="e">
        <f>IF(CC145=" "," ",LOOKUP(CA145,'Talents-Skills'!$A$2:$A$496,'Talents-Skills'!$C$2:$C$496))</f>
        <v>#N/A</v>
      </c>
      <c r="CE145" s="240" t="e">
        <f t="shared" si="107"/>
        <v>#N/A</v>
      </c>
      <c r="CF145" s="240" t="e">
        <f t="shared" si="100"/>
        <v>#N/A</v>
      </c>
      <c r="CG145" s="240" t="e">
        <f t="shared" si="101"/>
        <v>#N/A</v>
      </c>
      <c r="CH145" s="240" t="e">
        <f>IF(CC145=" "," ",LOOKUP(CA145,'Talents-Skills'!$A$2:$A$496,'Talents-Skills'!$E$2:$E$496))</f>
        <v>#N/A</v>
      </c>
      <c r="CI145" s="240">
        <f t="shared" si="102"/>
        <v>0</v>
      </c>
      <c r="CJ145" s="240" t="e">
        <f>IF(CI145="Yes","May",IF(CC145=" "," ",LOOKUP(CA145,'Talents-Skills'!$A$2:$A$496,'Talents-Skills'!$F$2:$F$496)))</f>
        <v>#N/A</v>
      </c>
      <c r="CK145" s="242" t="e">
        <f>IF(CC145=" "," ",LOOKUP(CA145,'Talents-Skills'!$A$2:$A$496,'Talents-Skills'!$G$2:$G$496))</f>
        <v>#N/A</v>
      </c>
      <c r="CL145" s="9">
        <f t="shared" si="103"/>
        <v>23100</v>
      </c>
    </row>
    <row r="146" spans="1:90">
      <c r="A146" s="126" t="str">
        <f t="shared" si="95"/>
        <v>Threadweaving</v>
      </c>
      <c r="B146" s="14">
        <f t="shared" si="95"/>
        <v>4</v>
      </c>
      <c r="C146" s="14">
        <v>0</v>
      </c>
      <c r="D146" s="14" t="str">
        <f>IF(C146=" "," ",LOOKUP(A146,'Talents-Skills'!$A$2:$A$496,'Talents-Skills'!$C$2:$C$496))</f>
        <v>Perception</v>
      </c>
      <c r="E146" s="14">
        <f t="shared" si="104"/>
        <v>7</v>
      </c>
      <c r="F146" s="14">
        <f t="shared" si="105"/>
        <v>7</v>
      </c>
      <c r="G146" s="14" t="str">
        <f t="shared" si="106"/>
        <v>D12</v>
      </c>
      <c r="H146" s="14" t="str">
        <f>IF(C146=" "," ",LOOKUP(A146,'Talents-Skills'!$A$2:$A$496,'Talents-Skills'!$E$2:$E$496))</f>
        <v>Yes</v>
      </c>
      <c r="I146" s="14" t="str">
        <f t="shared" si="96"/>
        <v>Yes</v>
      </c>
      <c r="J146" s="14" t="str">
        <f>IF(I146="Yes","May",IF(C146=" "," ",LOOKUP(A146,'Talents-Skills'!$A$2:$A$496,'Talents-Skills'!$F$2:$F$496)))</f>
        <v>May</v>
      </c>
      <c r="K146" s="140" t="str">
        <f>IF(C146=" "," ",LOOKUP(A146,'Talents-Skills'!$A$2:$A$496,'Talents-Skills'!$G$2:$G$496))</f>
        <v>No</v>
      </c>
      <c r="L146" s="9">
        <f t="shared" si="97"/>
        <v>0</v>
      </c>
      <c r="N146" s="10"/>
      <c r="P146" s="65"/>
      <c r="U146" s="10"/>
      <c r="V146" s="10"/>
      <c r="W146" s="10"/>
      <c r="X146" s="10"/>
      <c r="Z146" s="10">
        <v>145</v>
      </c>
      <c r="AA146" s="10">
        <v>50</v>
      </c>
      <c r="BB146" s="185">
        <f>LOOKUP(CharGenMain!A146,'Talents-Skills'!$A$2:$A$496,'Talents-Skills'!$D$2:$D$496)</f>
        <v>0</v>
      </c>
      <c r="BW146" s="9" t="str">
        <f>IF(D146="Rank",CharGenMain!BB146," ")</f>
        <v xml:space="preserve"> </v>
      </c>
      <c r="CA146" s="126">
        <f t="shared" si="98"/>
        <v>0</v>
      </c>
      <c r="CB146" s="14">
        <f t="shared" si="98"/>
        <v>0</v>
      </c>
      <c r="CC146" s="14">
        <f t="shared" si="99"/>
        <v>10</v>
      </c>
      <c r="CD146" s="14" t="e">
        <f>IF(CC146=" "," ",LOOKUP(CA146,'Talents-Skills'!$A$2:$A$496,'Talents-Skills'!$C$2:$C$496))</f>
        <v>#N/A</v>
      </c>
      <c r="CE146" s="14" t="e">
        <f t="shared" si="107"/>
        <v>#N/A</v>
      </c>
      <c r="CF146" s="14" t="e">
        <f t="shared" si="100"/>
        <v>#N/A</v>
      </c>
      <c r="CG146" s="14" t="e">
        <f t="shared" si="101"/>
        <v>#N/A</v>
      </c>
      <c r="CH146" s="14" t="e">
        <f>IF(CC146=" "," ",LOOKUP(CA146,'Talents-Skills'!$A$2:$A$496,'Talents-Skills'!$E$2:$E$496))</f>
        <v>#N/A</v>
      </c>
      <c r="CI146" s="14">
        <f t="shared" si="102"/>
        <v>0</v>
      </c>
      <c r="CJ146" s="14" t="e">
        <f>IF(CI146="Yes","May",IF(CC146=" "," ",LOOKUP(CA146,'Talents-Skills'!$A$2:$A$496,'Talents-Skills'!$F$2:$F$496)))</f>
        <v>#N/A</v>
      </c>
      <c r="CK146" s="140" t="e">
        <f>IF(CC146=" "," ",LOOKUP(CA146,'Talents-Skills'!$A$2:$A$496,'Talents-Skills'!$G$2:$G$496))</f>
        <v>#N/A</v>
      </c>
      <c r="CL146" s="9">
        <f t="shared" si="103"/>
        <v>23100</v>
      </c>
    </row>
    <row r="147" spans="1:90">
      <c r="A147" s="273" t="str">
        <f t="shared" si="95"/>
        <v>Throwing Weapons</v>
      </c>
      <c r="B147" s="274">
        <f t="shared" si="95"/>
        <v>4</v>
      </c>
      <c r="C147" s="274">
        <v>10</v>
      </c>
      <c r="D147" s="274" t="str">
        <f>IF(C147=" "," ",LOOKUP(A147,'Talents-Skills'!$A$2:$A$496,'Talents-Skills'!$C$2:$C$496))</f>
        <v>Dexterity</v>
      </c>
      <c r="E147" s="274">
        <f t="shared" si="104"/>
        <v>7</v>
      </c>
      <c r="F147" s="274">
        <f t="shared" si="105"/>
        <v>17</v>
      </c>
      <c r="G147" s="274" t="str">
        <f t="shared" si="106"/>
        <v>D20+D10</v>
      </c>
      <c r="H147" s="274" t="str">
        <f>IF(C147=" "," ",LOOKUP(A147,'Talents-Skills'!$A$2:$A$496,'Talents-Skills'!$E$2:$E$496))</f>
        <v>Yes</v>
      </c>
      <c r="I147" s="274" t="str">
        <f t="shared" si="96"/>
        <v>No</v>
      </c>
      <c r="J147" s="274" t="str">
        <f>IF(I147="Yes","May",IF(C147=" "," ",LOOKUP(A147,'Talents-Skills'!$A$2:$A$496,'Talents-Skills'!$F$2:$F$496)))</f>
        <v>No</v>
      </c>
      <c r="K147" s="275" t="str">
        <f>IF(C147=" "," ",LOOKUP(A147,'Talents-Skills'!$A$2:$A$496,'Talents-Skills'!$G$2:$G$496))</f>
        <v>No</v>
      </c>
      <c r="L147" s="9">
        <f t="shared" si="97"/>
        <v>23100</v>
      </c>
      <c r="N147" s="10"/>
      <c r="P147" s="65"/>
      <c r="U147" s="10"/>
      <c r="V147" s="10"/>
      <c r="W147" s="10"/>
      <c r="X147" s="10"/>
      <c r="Z147" s="10">
        <v>146</v>
      </c>
      <c r="AA147" s="10">
        <v>50</v>
      </c>
      <c r="BB147" s="185">
        <f>LOOKUP(CharGenMain!A147,'Talents-Skills'!$A$2:$A$496,'Talents-Skills'!$D$2:$D$496)</f>
        <v>0</v>
      </c>
      <c r="BW147" s="9" t="str">
        <f>IF(D147="Rank",CharGenMain!BB147," ")</f>
        <v xml:space="preserve"> </v>
      </c>
      <c r="CA147" s="238">
        <f t="shared" si="98"/>
        <v>0</v>
      </c>
      <c r="CB147" s="240">
        <f t="shared" si="98"/>
        <v>0</v>
      </c>
      <c r="CC147" s="240">
        <f t="shared" si="99"/>
        <v>10</v>
      </c>
      <c r="CD147" s="240" t="e">
        <f>IF(CC147=" "," ",LOOKUP(CA147,'Talents-Skills'!$A$2:$A$496,'Talents-Skills'!$C$2:$C$496))</f>
        <v>#N/A</v>
      </c>
      <c r="CE147" s="240" t="e">
        <f t="shared" si="107"/>
        <v>#N/A</v>
      </c>
      <c r="CF147" s="240" t="e">
        <f t="shared" si="100"/>
        <v>#N/A</v>
      </c>
      <c r="CG147" s="240" t="e">
        <f t="shared" si="101"/>
        <v>#N/A</v>
      </c>
      <c r="CH147" s="240" t="e">
        <f>IF(CC147=" "," ",LOOKUP(CA147,'Talents-Skills'!$A$2:$A$496,'Talents-Skills'!$E$2:$E$496))</f>
        <v>#N/A</v>
      </c>
      <c r="CI147" s="240">
        <f t="shared" si="102"/>
        <v>0</v>
      </c>
      <c r="CJ147" s="240" t="e">
        <f>IF(CI147="Yes","May",IF(CC147=" "," ",LOOKUP(CA147,'Talents-Skills'!$A$2:$A$496,'Talents-Skills'!$F$2:$F$496)))</f>
        <v>#N/A</v>
      </c>
      <c r="CK147" s="242" t="e">
        <f>IF(CC147=" "," ",LOOKUP(CA147,'Talents-Skills'!$A$2:$A$496,'Talents-Skills'!$G$2:$G$496))</f>
        <v>#N/A</v>
      </c>
      <c r="CL147" s="9">
        <f t="shared" si="103"/>
        <v>23100</v>
      </c>
    </row>
    <row r="148" spans="1:90">
      <c r="A148" s="126" t="str">
        <f t="shared" si="95"/>
        <v>Air Dance</v>
      </c>
      <c r="B148" s="14">
        <f t="shared" si="95"/>
        <v>5</v>
      </c>
      <c r="C148" s="14">
        <v>12</v>
      </c>
      <c r="D148" s="14" t="str">
        <f>IF(C148=" "," ",LOOKUP(A148,'Talents-Skills'!$A$2:$A$496,'Talents-Skills'!$C$2:$C$496))</f>
        <v>Dexterity</v>
      </c>
      <c r="E148" s="14">
        <f t="shared" si="104"/>
        <v>7</v>
      </c>
      <c r="F148" s="14">
        <f t="shared" si="105"/>
        <v>19</v>
      </c>
      <c r="G148" s="14" t="str">
        <f t="shared" si="106"/>
        <v>D20+2D6</v>
      </c>
      <c r="H148" s="14" t="str">
        <f>IF(C148=" "," ",LOOKUP(A148,'Talents-Skills'!$A$2:$A$496,'Talents-Skills'!$E$2:$E$496))</f>
        <v>No</v>
      </c>
      <c r="I148" s="14" t="str">
        <f t="shared" si="96"/>
        <v>Yes</v>
      </c>
      <c r="J148" s="14" t="str">
        <f>IF(I148="Yes","May",IF(C148=" "," ",LOOKUP(A148,'Talents-Skills'!$A$2:$A$496,'Talents-Skills'!$F$2:$F$496)))</f>
        <v>May</v>
      </c>
      <c r="K148" s="140">
        <f>IF(C148=" "," ",LOOKUP(A148,'Talents-Skills'!$A$2:$A$496,'Talents-Skills'!$G$2:$G$496))</f>
        <v>1</v>
      </c>
      <c r="L148" s="9">
        <f t="shared" si="97"/>
        <v>98400</v>
      </c>
      <c r="N148" s="10"/>
      <c r="P148" s="65"/>
      <c r="U148" s="10"/>
      <c r="V148" s="10"/>
      <c r="W148" s="10"/>
      <c r="X148" s="10"/>
      <c r="Z148" s="10">
        <v>147</v>
      </c>
      <c r="AA148" s="10">
        <v>50</v>
      </c>
      <c r="BB148" s="185">
        <f>LOOKUP(CharGenMain!A148,'Talents-Skills'!$A$2:$A$496,'Talents-Skills'!$D$2:$D$496)</f>
        <v>0</v>
      </c>
      <c r="BW148" s="9" t="str">
        <f>IF(D148="Rank",CharGenMain!BB148," ")</f>
        <v xml:space="preserve"> </v>
      </c>
      <c r="CA148" s="126">
        <f t="shared" si="98"/>
        <v>0</v>
      </c>
      <c r="CB148" s="14">
        <f t="shared" si="98"/>
        <v>0</v>
      </c>
      <c r="CC148" s="14">
        <f t="shared" si="99"/>
        <v>10</v>
      </c>
      <c r="CD148" s="14" t="e">
        <f>IF(CC148=" "," ",LOOKUP(CA148,'Talents-Skills'!$A$2:$A$496,'Talents-Skills'!$C$2:$C$496))</f>
        <v>#N/A</v>
      </c>
      <c r="CE148" s="14" t="e">
        <f t="shared" si="107"/>
        <v>#N/A</v>
      </c>
      <c r="CF148" s="14" t="e">
        <f t="shared" si="100"/>
        <v>#N/A</v>
      </c>
      <c r="CG148" s="14" t="e">
        <f t="shared" si="101"/>
        <v>#N/A</v>
      </c>
      <c r="CH148" s="14" t="e">
        <f>IF(CC148=" "," ",LOOKUP(CA148,'Talents-Skills'!$A$2:$A$496,'Talents-Skills'!$E$2:$E$496))</f>
        <v>#N/A</v>
      </c>
      <c r="CI148" s="14">
        <f t="shared" si="102"/>
        <v>0</v>
      </c>
      <c r="CJ148" s="14" t="e">
        <f>IF(CI148="Yes","May",IF(CC148=" "," ",LOOKUP(CA148,'Talents-Skills'!$A$2:$A$496,'Talents-Skills'!$F$2:$F$496)))</f>
        <v>#N/A</v>
      </c>
      <c r="CK148" s="140" t="e">
        <f>IF(CC148=" "," ",LOOKUP(CA148,'Talents-Skills'!$A$2:$A$496,'Talents-Skills'!$G$2:$G$496))</f>
        <v>#N/A</v>
      </c>
      <c r="CL148" s="9">
        <f t="shared" si="103"/>
        <v>23100</v>
      </c>
    </row>
    <row r="149" spans="1:90">
      <c r="A149" s="243" t="str">
        <f t="shared" si="95"/>
        <v>Second Weapon</v>
      </c>
      <c r="B149" s="244">
        <f t="shared" si="95"/>
        <v>5</v>
      </c>
      <c r="C149" s="244">
        <v>10</v>
      </c>
      <c r="D149" s="244" t="str">
        <f>IF(C149=" "," ",LOOKUP(A149,'Talents-Skills'!$A$2:$A$496,'Talents-Skills'!$C$2:$C$496))</f>
        <v>Dexterity</v>
      </c>
      <c r="E149" s="244">
        <f t="shared" si="104"/>
        <v>7</v>
      </c>
      <c r="F149" s="244">
        <f t="shared" si="105"/>
        <v>17</v>
      </c>
      <c r="G149" s="244" t="str">
        <f t="shared" si="106"/>
        <v>D20+D10</v>
      </c>
      <c r="H149" s="244" t="str">
        <f>IF(C149=" "," ",LOOKUP(A149,'Talents-Skills'!$A$2:$A$496,'Talents-Skills'!$E$2:$E$496))</f>
        <v>No</v>
      </c>
      <c r="I149" s="244" t="str">
        <f t="shared" si="96"/>
        <v>Yes</v>
      </c>
      <c r="J149" s="244" t="str">
        <f>IF(I149="Yes","May",IF(C149=" "," ",LOOKUP(A149,'Talents-Skills'!$A$2:$A$496,'Talents-Skills'!$F$2:$F$496)))</f>
        <v>May</v>
      </c>
      <c r="K149" s="245">
        <f>IF(C149=" "," ",LOOKUP(A149,'Talents-Skills'!$A$2:$A$496,'Talents-Skills'!$G$2:$G$496))</f>
        <v>1</v>
      </c>
      <c r="L149" s="9">
        <f t="shared" si="97"/>
        <v>37400</v>
      </c>
      <c r="M149" s="10"/>
      <c r="N149" s="21"/>
      <c r="O149" s="14"/>
      <c r="P149" s="10"/>
      <c r="U149" s="10"/>
      <c r="V149" s="10"/>
      <c r="W149" s="10"/>
      <c r="Y149" s="10"/>
      <c r="Z149" s="10"/>
      <c r="BB149" s="185">
        <f>LOOKUP(CharGenMain!A149,'Talents-Skills'!$A$2:$A$496,'Talents-Skills'!$D$2:$D$496)</f>
        <v>0</v>
      </c>
      <c r="BW149" s="9" t="str">
        <f>IF(D149="Rank",CharGenMain!BB149," ")</f>
        <v xml:space="preserve"> </v>
      </c>
      <c r="CA149" s="238">
        <f t="shared" si="98"/>
        <v>0</v>
      </c>
      <c r="CB149" s="240">
        <f t="shared" si="98"/>
        <v>0</v>
      </c>
      <c r="CC149" s="240">
        <f t="shared" si="99"/>
        <v>10</v>
      </c>
      <c r="CD149" s="240" t="e">
        <f>IF(CC149=" "," ",LOOKUP(CA149,'Talents-Skills'!$A$2:$A$496,'Talents-Skills'!$C$2:$C$496))</f>
        <v>#N/A</v>
      </c>
      <c r="CE149" s="240" t="e">
        <f t="shared" si="107"/>
        <v>#N/A</v>
      </c>
      <c r="CF149" s="240" t="e">
        <f t="shared" si="100"/>
        <v>#N/A</v>
      </c>
      <c r="CG149" s="240" t="e">
        <f t="shared" si="101"/>
        <v>#N/A</v>
      </c>
      <c r="CH149" s="240" t="e">
        <f>IF(CC149=" "," ",LOOKUP(CA149,'Talents-Skills'!$A$2:$A$496,'Talents-Skills'!$E$2:$E$496))</f>
        <v>#N/A</v>
      </c>
      <c r="CI149" s="240">
        <f t="shared" si="102"/>
        <v>0</v>
      </c>
      <c r="CJ149" s="240" t="e">
        <f>IF(CI149="Yes","May",IF(CC149=" "," ",LOOKUP(CA149,'Talents-Skills'!$A$2:$A$496,'Talents-Skills'!$F$2:$F$496)))</f>
        <v>#N/A</v>
      </c>
      <c r="CK149" s="242" t="e">
        <f>IF(CC149=" "," ",LOOKUP(CA149,'Talents-Skills'!$A$2:$A$496,'Talents-Skills'!$G$2:$G$496))</f>
        <v>#N/A</v>
      </c>
      <c r="CL149" s="9">
        <f t="shared" si="103"/>
        <v>23100</v>
      </c>
    </row>
    <row r="150" spans="1:90" s="89" customFormat="1">
      <c r="A150" s="129" t="str">
        <f t="shared" si="95"/>
        <v>Momentum Attack</v>
      </c>
      <c r="B150" s="108">
        <f t="shared" si="95"/>
        <v>6</v>
      </c>
      <c r="C150" s="108">
        <v>10</v>
      </c>
      <c r="D150" s="108" t="str">
        <f>IF(C150=" "," ",LOOKUP(A150,'Talents-Skills'!$A$2:$A$496,'Talents-Skills'!$C$2:$C$496))</f>
        <v>Dexterity</v>
      </c>
      <c r="E150" s="108">
        <f t="shared" si="104"/>
        <v>7</v>
      </c>
      <c r="F150" s="108">
        <f t="shared" si="105"/>
        <v>17</v>
      </c>
      <c r="G150" s="108" t="str">
        <f t="shared" si="106"/>
        <v>D20+D10</v>
      </c>
      <c r="H150" s="108" t="str">
        <f>IF(C150=" "," ",LOOKUP(A150,'Talents-Skills'!$A$2:$A$496,'Talents-Skills'!$E$2:$E$496))</f>
        <v>No</v>
      </c>
      <c r="I150" s="108" t="str">
        <f t="shared" si="96"/>
        <v>No</v>
      </c>
      <c r="J150" s="108" t="str">
        <f>IF(I150="Yes","May",IF(C150=" "," ",LOOKUP(A150,'Talents-Skills'!$A$2:$A$496,'Talents-Skills'!$F$2:$F$496)))</f>
        <v>No</v>
      </c>
      <c r="K150" s="144">
        <f>IF(C150=" "," ",LOOKUP(A150,'Talents-Skills'!$A$2:$A$496,'Talents-Skills'!$G$2:$G$496))</f>
        <v>1</v>
      </c>
      <c r="L150" s="89">
        <f t="shared" si="97"/>
        <v>37400</v>
      </c>
      <c r="M150" s="10"/>
      <c r="N150" s="21"/>
      <c r="O150" s="14"/>
      <c r="P150" s="10"/>
      <c r="U150" s="10"/>
      <c r="V150" s="10"/>
      <c r="W150" s="10"/>
      <c r="X150" s="9"/>
      <c r="Y150" s="10"/>
      <c r="Z150" s="10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B150" s="193">
        <f>LOOKUP(CharGenMain!A150,'Talents-Skills'!$A$2:$A$496,'Talents-Skills'!$D$2:$D$496)</f>
        <v>0</v>
      </c>
      <c r="BW150" s="89" t="str">
        <f>IF(D150="Rank",CharGenMain!BB150," ")</f>
        <v xml:space="preserve"> </v>
      </c>
      <c r="CA150" s="126">
        <f t="shared" si="98"/>
        <v>0</v>
      </c>
      <c r="CB150" s="14">
        <f t="shared" si="98"/>
        <v>0</v>
      </c>
      <c r="CC150" s="14">
        <f t="shared" si="99"/>
        <v>10</v>
      </c>
      <c r="CD150" s="14" t="e">
        <f>IF(CC150=" "," ",LOOKUP(CA150,'Talents-Skills'!$A$2:$A$496,'Talents-Skills'!$C$2:$C$496))</f>
        <v>#N/A</v>
      </c>
      <c r="CE150" s="14" t="e">
        <f t="shared" si="107"/>
        <v>#N/A</v>
      </c>
      <c r="CF150" s="14" t="e">
        <f t="shared" si="100"/>
        <v>#N/A</v>
      </c>
      <c r="CG150" s="14" t="e">
        <f t="shared" si="101"/>
        <v>#N/A</v>
      </c>
      <c r="CH150" s="14" t="e">
        <f>IF(CC150=" "," ",LOOKUP(CA150,'Talents-Skills'!$A$2:$A$496,'Talents-Skills'!$E$2:$E$496))</f>
        <v>#N/A</v>
      </c>
      <c r="CI150" s="14">
        <f t="shared" si="102"/>
        <v>0</v>
      </c>
      <c r="CJ150" s="14" t="e">
        <f>IF(CI150="Yes","May",IF(CC150=" "," ",LOOKUP(CA150,'Talents-Skills'!$A$2:$A$496,'Talents-Skills'!$F$2:$F$496)))</f>
        <v>#N/A</v>
      </c>
      <c r="CK150" s="140" t="e">
        <f>IF(CC150=" "," ",LOOKUP(CA150,'Talents-Skills'!$A$2:$A$496,'Talents-Skills'!$G$2:$G$496))</f>
        <v>#N/A</v>
      </c>
      <c r="CL150" s="89">
        <f t="shared" si="103"/>
        <v>23100</v>
      </c>
    </row>
    <row r="151" spans="1:90" s="89" customFormat="1">
      <c r="A151" s="238" t="str">
        <f t="shared" si="95"/>
        <v>Taunt</v>
      </c>
      <c r="B151" s="240">
        <f t="shared" si="95"/>
        <v>6</v>
      </c>
      <c r="C151" s="240">
        <v>0</v>
      </c>
      <c r="D151" s="240" t="str">
        <f>IF(C151=" "," ",LOOKUP(A151,'Talents-Skills'!$A$2:$A$496,'Talents-Skills'!$C$2:$C$496))</f>
        <v>Charisma</v>
      </c>
      <c r="E151" s="240">
        <f t="shared" si="104"/>
        <v>5</v>
      </c>
      <c r="F151" s="240">
        <f t="shared" si="105"/>
        <v>5</v>
      </c>
      <c r="G151" s="240" t="str">
        <f t="shared" si="106"/>
        <v>D8</v>
      </c>
      <c r="H151" s="240" t="str">
        <f>IF(C151=" "," ",LOOKUP(A151,'Talents-Skills'!$A$2:$A$496,'Talents-Skills'!$E$2:$E$496))</f>
        <v>Yes</v>
      </c>
      <c r="I151" s="240" t="str">
        <f t="shared" si="96"/>
        <v>No</v>
      </c>
      <c r="J151" s="240" t="str">
        <f>IF(I151="Yes","May",IF(C151=" "," ",LOOKUP(A151,'Talents-Skills'!$A$2:$A$496,'Talents-Skills'!$F$2:$F$496)))</f>
        <v>No</v>
      </c>
      <c r="K151" s="242" t="str">
        <f>IF(C151=" "," ",LOOKUP(A151,'Talents-Skills'!$A$2:$A$496,'Talents-Skills'!$G$2:$G$496))</f>
        <v>No</v>
      </c>
      <c r="L151" s="89">
        <f t="shared" si="97"/>
        <v>0</v>
      </c>
      <c r="M151" s="9"/>
      <c r="N151" s="9"/>
      <c r="O151" s="9"/>
      <c r="P151" s="9"/>
      <c r="Z151" s="53"/>
      <c r="AA151" s="1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B151" s="193">
        <f>LOOKUP(CharGenMain!A151,'Talents-Skills'!$A$2:$A$496,'Talents-Skills'!$D$2:$D$496)</f>
        <v>0</v>
      </c>
      <c r="BW151" s="89" t="str">
        <f>IF(D151="Rank",CharGenMain!BB151," ")</f>
        <v xml:space="preserve"> </v>
      </c>
      <c r="CA151" s="238">
        <f t="shared" si="98"/>
        <v>0</v>
      </c>
      <c r="CB151" s="240">
        <f t="shared" si="98"/>
        <v>0</v>
      </c>
      <c r="CC151" s="240">
        <f t="shared" si="99"/>
        <v>10</v>
      </c>
      <c r="CD151" s="240" t="e">
        <f>IF(CC151=" "," ",LOOKUP(CA151,'Talents-Skills'!$A$2:$A$496,'Talents-Skills'!$C$2:$C$496))</f>
        <v>#N/A</v>
      </c>
      <c r="CE151" s="240" t="e">
        <f t="shared" si="107"/>
        <v>#N/A</v>
      </c>
      <c r="CF151" s="240" t="e">
        <f t="shared" si="100"/>
        <v>#N/A</v>
      </c>
      <c r="CG151" s="240" t="e">
        <f t="shared" si="101"/>
        <v>#N/A</v>
      </c>
      <c r="CH151" s="240" t="e">
        <f>IF(CC151=" "," ",LOOKUP(CA151,'Talents-Skills'!$A$2:$A$496,'Talents-Skills'!$E$2:$E$496))</f>
        <v>#N/A</v>
      </c>
      <c r="CI151" s="240">
        <f t="shared" si="102"/>
        <v>0</v>
      </c>
      <c r="CJ151" s="240" t="e">
        <f>IF(CI151="Yes","May",IF(CC151=" "," ",LOOKUP(CA151,'Talents-Skills'!$A$2:$A$496,'Talents-Skills'!$F$2:$F$496)))</f>
        <v>#N/A</v>
      </c>
      <c r="CK151" s="242" t="e">
        <f>IF(CC151=" "," ",LOOKUP(CA151,'Talents-Skills'!$A$2:$A$496,'Talents-Skills'!$G$2:$G$496))</f>
        <v>#N/A</v>
      </c>
      <c r="CL151" s="89">
        <f t="shared" si="103"/>
        <v>23100</v>
      </c>
    </row>
    <row r="152" spans="1:90" s="89" customFormat="1">
      <c r="A152" s="129" t="str">
        <f t="shared" si="95"/>
        <v>Missile Weapons</v>
      </c>
      <c r="B152" s="108">
        <f t="shared" si="95"/>
        <v>7</v>
      </c>
      <c r="C152" s="108">
        <v>10</v>
      </c>
      <c r="D152" s="108" t="str">
        <f>IF(C152=" "," ",LOOKUP(A152,'Talents-Skills'!$A$2:$A$496,'Talents-Skills'!$C$2:$C$496))</f>
        <v>Dexterity</v>
      </c>
      <c r="E152" s="108">
        <f t="shared" si="104"/>
        <v>7</v>
      </c>
      <c r="F152" s="108">
        <f t="shared" si="105"/>
        <v>17</v>
      </c>
      <c r="G152" s="108" t="str">
        <f t="shared" si="106"/>
        <v>D20+D10</v>
      </c>
      <c r="H152" s="108" t="str">
        <f>IF(C152=" "," ",LOOKUP(A152,'Talents-Skills'!$A$2:$A$496,'Talents-Skills'!$E$2:$E$496))</f>
        <v>Yes</v>
      </c>
      <c r="I152" s="108" t="str">
        <f t="shared" si="96"/>
        <v>No</v>
      </c>
      <c r="J152" s="108" t="str">
        <f>IF(I152="Yes","May",IF(C152=" "," ",LOOKUP(A152,'Talents-Skills'!$A$2:$A$496,'Talents-Skills'!$F$2:$F$496)))</f>
        <v>No</v>
      </c>
      <c r="K152" s="144" t="str">
        <f>IF(C152=" "," ",LOOKUP(A152,'Talents-Skills'!$A$2:$A$496,'Talents-Skills'!$G$2:$G$496))</f>
        <v>No</v>
      </c>
      <c r="L152" s="89">
        <f t="shared" si="97"/>
        <v>37400</v>
      </c>
      <c r="M152" s="9"/>
      <c r="N152" s="9"/>
      <c r="O152" s="9"/>
      <c r="P152" s="9"/>
      <c r="Z152" s="90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B152" s="193">
        <f>LOOKUP(CharGenMain!A152,'Talents-Skills'!$A$2:$A$496,'Talents-Skills'!$D$2:$D$496)</f>
        <v>0</v>
      </c>
      <c r="BW152" s="89" t="str">
        <f>IF(D152="Rank",CharGenMain!BB152," ")</f>
        <v xml:space="preserve"> </v>
      </c>
      <c r="CA152" s="126">
        <f t="shared" ref="CA152:CB167" si="108">IF($E$134&gt;0,CA1218," ")</f>
        <v>0</v>
      </c>
      <c r="CB152" s="14">
        <f t="shared" si="108"/>
        <v>0</v>
      </c>
      <c r="CC152" s="14">
        <f t="shared" si="99"/>
        <v>10</v>
      </c>
      <c r="CD152" s="14" t="e">
        <f>IF(CC152=" "," ",LOOKUP(CA152,'Talents-Skills'!$A$2:$A$496,'Talents-Skills'!$C$2:$C$496))</f>
        <v>#N/A</v>
      </c>
      <c r="CE152" s="14" t="e">
        <f t="shared" si="107"/>
        <v>#N/A</v>
      </c>
      <c r="CF152" s="14" t="e">
        <f t="shared" si="100"/>
        <v>#N/A</v>
      </c>
      <c r="CG152" s="14" t="e">
        <f t="shared" si="101"/>
        <v>#N/A</v>
      </c>
      <c r="CH152" s="14" t="e">
        <f>IF(CC152=" "," ",LOOKUP(CA152,'Talents-Skills'!$A$2:$A$496,'Talents-Skills'!$E$2:$E$496))</f>
        <v>#N/A</v>
      </c>
      <c r="CI152" s="14">
        <f t="shared" si="102"/>
        <v>0</v>
      </c>
      <c r="CJ152" s="14" t="e">
        <f>IF(CI152="Yes","May",IF(CC152=" "," ",LOOKUP(CA152,'Talents-Skills'!$A$2:$A$496,'Talents-Skills'!$F$2:$F$496)))</f>
        <v>#N/A</v>
      </c>
      <c r="CK152" s="140" t="e">
        <f>IF(CC152=" "," ",LOOKUP(CA152,'Talents-Skills'!$A$2:$A$496,'Talents-Skills'!$G$2:$G$496))</f>
        <v>#N/A</v>
      </c>
      <c r="CL152" s="89">
        <f t="shared" si="103"/>
        <v>23100</v>
      </c>
    </row>
    <row r="153" spans="1:90" s="89" customFormat="1">
      <c r="A153" s="246" t="str">
        <f t="shared" si="95"/>
        <v>Speak Lanquage</v>
      </c>
      <c r="B153" s="247">
        <f t="shared" si="95"/>
        <v>7</v>
      </c>
      <c r="C153" s="247">
        <v>3</v>
      </c>
      <c r="D153" s="247" t="str">
        <f>IF(C153=" "," ",LOOKUP(A153,'Talents-Skills'!$A$2:$A$496,'Talents-Skills'!$C$2:$C$496))</f>
        <v>Perception</v>
      </c>
      <c r="E153" s="247">
        <f t="shared" si="104"/>
        <v>7</v>
      </c>
      <c r="F153" s="247">
        <f t="shared" si="105"/>
        <v>10</v>
      </c>
      <c r="G153" s="247" t="str">
        <f t="shared" si="106"/>
        <v>D10+D6</v>
      </c>
      <c r="H153" s="247" t="str">
        <f>IF(C153=" "," ",LOOKUP(A153,'Talents-Skills'!$A$2:$A$496,'Talents-Skills'!$E$2:$E$496))</f>
        <v>Yes</v>
      </c>
      <c r="I153" s="247" t="str">
        <f t="shared" si="96"/>
        <v>No</v>
      </c>
      <c r="J153" s="247" t="str">
        <f>IF(I153="Yes","May",IF(C153=" "," ",LOOKUP(A153,'Talents-Skills'!$A$2:$A$496,'Talents-Skills'!$F$2:$F$496)))</f>
        <v>Yes</v>
      </c>
      <c r="K153" s="248">
        <f>IF(C153=" "," ",LOOKUP(A153,'Talents-Skills'!$A$2:$A$496,'Talents-Skills'!$G$2:$G$496))</f>
        <v>1</v>
      </c>
      <c r="L153" s="89">
        <f t="shared" si="97"/>
        <v>1000</v>
      </c>
      <c r="M153" s="9"/>
      <c r="N153" s="9"/>
      <c r="O153" s="9"/>
      <c r="P153" s="9"/>
      <c r="Z153" s="90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B153" s="193">
        <f>LOOKUP(CharGenMain!A153,'Talents-Skills'!$A$2:$A$496,'Talents-Skills'!$D$2:$D$496)</f>
        <v>0</v>
      </c>
      <c r="BW153" s="89" t="str">
        <f>IF(D153="Rank",CharGenMain!BB153," ")</f>
        <v xml:space="preserve"> </v>
      </c>
      <c r="CA153" s="238">
        <f t="shared" si="108"/>
        <v>0</v>
      </c>
      <c r="CB153" s="240">
        <f t="shared" si="108"/>
        <v>0</v>
      </c>
      <c r="CC153" s="240">
        <f t="shared" si="99"/>
        <v>10</v>
      </c>
      <c r="CD153" s="240" t="e">
        <f>IF(CC153=" "," ",LOOKUP(CA153,'Talents-Skills'!$A$2:$A$496,'Talents-Skills'!$C$2:$C$496))</f>
        <v>#N/A</v>
      </c>
      <c r="CE153" s="240" t="e">
        <f t="shared" si="107"/>
        <v>#N/A</v>
      </c>
      <c r="CF153" s="240" t="e">
        <f t="shared" si="100"/>
        <v>#N/A</v>
      </c>
      <c r="CG153" s="240" t="e">
        <f t="shared" si="101"/>
        <v>#N/A</v>
      </c>
      <c r="CH153" s="240" t="e">
        <f>IF(CC153=" "," ",LOOKUP(CA153,'Talents-Skills'!$A$2:$A$496,'Talents-Skills'!$E$2:$E$496))</f>
        <v>#N/A</v>
      </c>
      <c r="CI153" s="240">
        <f t="shared" si="102"/>
        <v>0</v>
      </c>
      <c r="CJ153" s="240" t="e">
        <f>IF(CI153="Yes","May",IF(CC153=" "," ",LOOKUP(CA153,'Talents-Skills'!$A$2:$A$496,'Talents-Skills'!$F$2:$F$496)))</f>
        <v>#N/A</v>
      </c>
      <c r="CK153" s="242" t="e">
        <f>IF(CC153=" "," ",LOOKUP(CA153,'Talents-Skills'!$A$2:$A$496,'Talents-Skills'!$G$2:$G$496))</f>
        <v>#N/A</v>
      </c>
      <c r="CL153" s="89">
        <f t="shared" si="103"/>
        <v>23100</v>
      </c>
    </row>
    <row r="154" spans="1:90" s="89" customFormat="1">
      <c r="A154" s="126" t="str">
        <f t="shared" si="95"/>
        <v>Anticipate Blow</v>
      </c>
      <c r="B154" s="14">
        <f t="shared" si="95"/>
        <v>8</v>
      </c>
      <c r="C154" s="14">
        <v>0</v>
      </c>
      <c r="D154" s="14" t="str">
        <f>IF(C154=" "," ",LOOKUP(A154,'Talents-Skills'!$A$2:$A$496,'Talents-Skills'!$C$2:$C$496))</f>
        <v>Perception</v>
      </c>
      <c r="E154" s="14">
        <f t="shared" si="104"/>
        <v>7</v>
      </c>
      <c r="F154" s="14">
        <f t="shared" si="105"/>
        <v>7</v>
      </c>
      <c r="G154" s="14" t="str">
        <f t="shared" si="106"/>
        <v>D12</v>
      </c>
      <c r="H154" s="14" t="str">
        <f>IF(C154=" "," ",LOOKUP(A154,'Talents-Skills'!$A$2:$A$496,'Talents-Skills'!$E$2:$E$496))</f>
        <v>No</v>
      </c>
      <c r="I154" s="14" t="str">
        <f t="shared" si="96"/>
        <v>No</v>
      </c>
      <c r="J154" s="14" t="str">
        <f>IF(I154="Yes","May",IF(C154=" "," ",LOOKUP(A154,'Talents-Skills'!$A$2:$A$496,'Talents-Skills'!$F$2:$F$496)))</f>
        <v>No</v>
      </c>
      <c r="K154" s="140">
        <f>IF(C154=" "," ",LOOKUP(A154,'Talents-Skills'!$A$2:$A$496,'Talents-Skills'!$G$2:$G$496))</f>
        <v>1</v>
      </c>
      <c r="L154" s="89">
        <f t="shared" si="97"/>
        <v>0</v>
      </c>
      <c r="M154" s="9"/>
      <c r="N154" s="9"/>
      <c r="O154" s="9"/>
      <c r="P154" s="9"/>
      <c r="Z154" s="90"/>
      <c r="BB154" s="193">
        <f>LOOKUP(CharGenMain!A154,'Talents-Skills'!$A$2:$A$496,'Talents-Skills'!$D$2:$D$496)</f>
        <v>0</v>
      </c>
      <c r="BW154" s="89" t="str">
        <f>IF(D154="Rank",CharGenMain!BB154," ")</f>
        <v xml:space="preserve"> </v>
      </c>
      <c r="CA154" s="126">
        <f t="shared" si="108"/>
        <v>0</v>
      </c>
      <c r="CB154" s="14">
        <f t="shared" si="108"/>
        <v>0</v>
      </c>
      <c r="CC154" s="14">
        <f t="shared" si="99"/>
        <v>10</v>
      </c>
      <c r="CD154" s="14" t="e">
        <f>IF(CC154=" "," ",LOOKUP(CA154,'Talents-Skills'!$A$2:$A$496,'Talents-Skills'!$C$2:$C$496))</f>
        <v>#N/A</v>
      </c>
      <c r="CE154" s="14" t="e">
        <f t="shared" si="107"/>
        <v>#N/A</v>
      </c>
      <c r="CF154" s="14" t="e">
        <f t="shared" si="100"/>
        <v>#N/A</v>
      </c>
      <c r="CG154" s="14" t="e">
        <f t="shared" si="101"/>
        <v>#N/A</v>
      </c>
      <c r="CH154" s="14" t="e">
        <f>IF(CC154=" "," ",LOOKUP(CA154,'Talents-Skills'!$A$2:$A$496,'Talents-Skills'!$E$2:$E$496))</f>
        <v>#N/A</v>
      </c>
      <c r="CI154" s="14">
        <f t="shared" si="102"/>
        <v>0</v>
      </c>
      <c r="CJ154" s="14" t="e">
        <f>IF(CI154="Yes","May",IF(CC154=" "," ",LOOKUP(CA154,'Talents-Skills'!$A$2:$A$496,'Talents-Skills'!$F$2:$F$496)))</f>
        <v>#N/A</v>
      </c>
      <c r="CK154" s="140" t="e">
        <f>IF(CC154=" "," ",LOOKUP(CA154,'Talents-Skills'!$A$2:$A$496,'Talents-Skills'!$G$2:$G$496))</f>
        <v>#N/A</v>
      </c>
      <c r="CL154" s="89">
        <f t="shared" si="103"/>
        <v>23100</v>
      </c>
    </row>
    <row r="155" spans="1:90" s="89" customFormat="1">
      <c r="A155" s="243" t="str">
        <f t="shared" si="95"/>
        <v>Crushing Blow</v>
      </c>
      <c r="B155" s="244">
        <f t="shared" si="95"/>
        <v>8</v>
      </c>
      <c r="C155" s="244">
        <v>10</v>
      </c>
      <c r="D155" s="244" t="str">
        <f>IF(C155=" "," ",LOOKUP(A155,'Talents-Skills'!$A$2:$A$496,'Talents-Skills'!$C$2:$C$496))</f>
        <v>Strength</v>
      </c>
      <c r="E155" s="244">
        <f t="shared" si="104"/>
        <v>9</v>
      </c>
      <c r="F155" s="244">
        <f t="shared" si="105"/>
        <v>19</v>
      </c>
      <c r="G155" s="244" t="str">
        <f t="shared" si="106"/>
        <v>D20+2D6</v>
      </c>
      <c r="H155" s="244" t="str">
        <f>IF(C155=" "," ",LOOKUP(A155,'Talents-Skills'!$A$2:$A$496,'Talents-Skills'!$E$2:$E$496))</f>
        <v>No</v>
      </c>
      <c r="I155" s="244" t="str">
        <f t="shared" si="96"/>
        <v>No</v>
      </c>
      <c r="J155" s="244" t="str">
        <f>IF(I155="Yes","May",IF(C155=" "," ",LOOKUP(A155,'Talents-Skills'!$A$2:$A$496,'Talents-Skills'!$F$2:$F$496)))</f>
        <v>Yes</v>
      </c>
      <c r="K155" s="245" t="str">
        <f>IF(C155=" "," ",LOOKUP(A155,'Talents-Skills'!$A$2:$A$496,'Talents-Skills'!$G$2:$G$496))</f>
        <v>No</v>
      </c>
      <c r="L155" s="89">
        <f t="shared" si="97"/>
        <v>37400</v>
      </c>
      <c r="M155" s="9"/>
      <c r="N155" s="9"/>
      <c r="O155" s="9"/>
      <c r="P155" s="9"/>
      <c r="Z155" s="90"/>
      <c r="BB155" s="193">
        <f>LOOKUP(CharGenMain!A155,'Talents-Skills'!$A$2:$A$496,'Talents-Skills'!$D$2:$D$496)</f>
        <v>0</v>
      </c>
      <c r="BW155" s="89" t="str">
        <f>IF(D155="Rank",CharGenMain!BB155," ")</f>
        <v xml:space="preserve"> </v>
      </c>
      <c r="CA155" s="238">
        <f t="shared" si="108"/>
        <v>0</v>
      </c>
      <c r="CB155" s="240">
        <f t="shared" si="108"/>
        <v>0</v>
      </c>
      <c r="CC155" s="240">
        <f t="shared" si="99"/>
        <v>10</v>
      </c>
      <c r="CD155" s="240" t="e">
        <f>IF(CC155=" "," ",LOOKUP(CA155,'Talents-Skills'!$A$2:$A$496,'Talents-Skills'!$C$2:$C$496))</f>
        <v>#N/A</v>
      </c>
      <c r="CE155" s="240" t="e">
        <f t="shared" si="107"/>
        <v>#N/A</v>
      </c>
      <c r="CF155" s="240" t="e">
        <f t="shared" si="100"/>
        <v>#N/A</v>
      </c>
      <c r="CG155" s="240" t="e">
        <f t="shared" si="101"/>
        <v>#N/A</v>
      </c>
      <c r="CH155" s="240" t="e">
        <f>IF(CC155=" "," ",LOOKUP(CA155,'Talents-Skills'!$A$2:$A$496,'Talents-Skills'!$E$2:$E$496))</f>
        <v>#N/A</v>
      </c>
      <c r="CI155" s="240">
        <f t="shared" si="102"/>
        <v>0</v>
      </c>
      <c r="CJ155" s="240" t="e">
        <f>IF(CI155="Yes","May",IF(CC155=" "," ",LOOKUP(CA155,'Talents-Skills'!$A$2:$A$496,'Talents-Skills'!$F$2:$F$496)))</f>
        <v>#N/A</v>
      </c>
      <c r="CK155" s="242" t="e">
        <f>IF(CC155=" "," ",LOOKUP(CA155,'Talents-Skills'!$A$2:$A$496,'Talents-Skills'!$G$2:$G$496))</f>
        <v>#N/A</v>
      </c>
      <c r="CL155" s="89">
        <f t="shared" si="103"/>
        <v>23100</v>
      </c>
    </row>
    <row r="156" spans="1:90" s="89" customFormat="1">
      <c r="A156" s="126" t="str">
        <f t="shared" ref="A156:B170" si="109">IF($E$134&gt;0,A1222," ")</f>
        <v>Critical Hit</v>
      </c>
      <c r="B156" s="14">
        <f t="shared" si="109"/>
        <v>9</v>
      </c>
      <c r="C156" s="14">
        <v>10</v>
      </c>
      <c r="D156" s="14" t="str">
        <f>IF(C156=" "," ",LOOKUP(A156,'Talents-Skills'!$A$2:$A$496,'Talents-Skills'!$C$2:$C$496))</f>
        <v>Rank</v>
      </c>
      <c r="E156" s="14" t="s">
        <v>5361</v>
      </c>
      <c r="F156" s="14" t="s">
        <v>5361</v>
      </c>
      <c r="G156" s="14" t="s">
        <v>5361</v>
      </c>
      <c r="H156" s="14" t="str">
        <f>IF(C156=" "," ",LOOKUP(A156,'Talents-Skills'!$A$2:$A$496,'Talents-Skills'!$E$2:$E$496))</f>
        <v>No</v>
      </c>
      <c r="I156" s="14" t="str">
        <f t="shared" si="96"/>
        <v>No</v>
      </c>
      <c r="J156" s="14" t="str">
        <f>IF(I156="Yes","May",IF(C156=" "," ",LOOKUP(A156,'Talents-Skills'!$A$2:$A$496,'Talents-Skills'!$F$2:$F$496)))</f>
        <v>No</v>
      </c>
      <c r="K156" s="140" t="str">
        <f>IF(C156=" "," ",LOOKUP(A156,'Talents-Skills'!$A$2:$A$496,'Talents-Skills'!$G$2:$G$496))</f>
        <v>No</v>
      </c>
      <c r="L156" s="89">
        <f t="shared" si="97"/>
        <v>60500</v>
      </c>
      <c r="M156" s="9"/>
      <c r="N156" s="9"/>
      <c r="O156" s="9"/>
      <c r="P156" s="9"/>
      <c r="Z156" s="90"/>
      <c r="BB156" s="193">
        <f>LOOKUP(CharGenMain!A156,'Talents-Skills'!$A$2:$A$496,'Talents-Skills'!$D$2:$D$496)</f>
        <v>0</v>
      </c>
      <c r="BW156" s="89">
        <f>IF(D156="Rank",CharGenMain!BB156," ")</f>
        <v>0</v>
      </c>
      <c r="CA156" s="126">
        <f t="shared" si="108"/>
        <v>0</v>
      </c>
      <c r="CB156" s="14">
        <f t="shared" si="108"/>
        <v>0</v>
      </c>
      <c r="CC156" s="14">
        <f t="shared" si="99"/>
        <v>10</v>
      </c>
      <c r="CD156" s="14" t="e">
        <f>IF(CC156=" "," ",LOOKUP(CA156,'Talents-Skills'!$A$2:$A$496,'Talents-Skills'!$C$2:$C$496))</f>
        <v>#N/A</v>
      </c>
      <c r="CE156" s="14" t="s">
        <v>5361</v>
      </c>
      <c r="CF156" s="14" t="e">
        <f t="shared" si="100"/>
        <v>#VALUE!</v>
      </c>
      <c r="CG156" s="14" t="e">
        <f t="shared" si="101"/>
        <v>#VALUE!</v>
      </c>
      <c r="CH156" s="14" t="e">
        <f>IF(CC156=" "," ",LOOKUP(CA156,'Talents-Skills'!$A$2:$A$496,'Talents-Skills'!$E$2:$E$496))</f>
        <v>#N/A</v>
      </c>
      <c r="CI156" s="14">
        <f t="shared" si="102"/>
        <v>0</v>
      </c>
      <c r="CJ156" s="14" t="e">
        <f>IF(CI156="Yes","May",IF(CC156=" "," ",LOOKUP(CA156,'Talents-Skills'!$A$2:$A$496,'Talents-Skills'!$F$2:$F$496)))</f>
        <v>#N/A</v>
      </c>
      <c r="CK156" s="140" t="e">
        <f>IF(CC156=" "," ",LOOKUP(CA156,'Talents-Skills'!$A$2:$A$496,'Talents-Skills'!$G$2:$G$496))</f>
        <v>#N/A</v>
      </c>
      <c r="CL156" s="89">
        <f t="shared" si="103"/>
        <v>23100</v>
      </c>
    </row>
    <row r="157" spans="1:90" s="89" customFormat="1">
      <c r="A157" s="238" t="str">
        <f t="shared" si="109"/>
        <v>Lion Heart</v>
      </c>
      <c r="B157" s="240">
        <f t="shared" si="109"/>
        <v>9</v>
      </c>
      <c r="C157" s="240">
        <v>0</v>
      </c>
      <c r="D157" s="240" t="str">
        <f>IF(C157=" "," ",LOOKUP(A157,'Talents-Skills'!$A$2:$A$496,'Talents-Skills'!$C$2:$C$496))</f>
        <v>Willpower</v>
      </c>
      <c r="E157" s="240">
        <f t="shared" ref="E157:E170" si="110">IF(D157=$A$6,$F$6,IF(D157=$A$7,$F$7,IF(D157=$A$8,$F$8,IF(D157=$A$9,$F$9,IF(D157=$A$10,$F$10,IF(D157=$A$11,$F$11,IF(D157="Rank",0,BW157)))))))</f>
        <v>6</v>
      </c>
      <c r="F157" s="240">
        <f t="shared" si="105"/>
        <v>6</v>
      </c>
      <c r="G157" s="240" t="str">
        <f t="shared" si="106"/>
        <v>D10</v>
      </c>
      <c r="H157" s="240" t="str">
        <f>IF(C157=" "," ",LOOKUP(A157,'Talents-Skills'!$A$2:$A$496,'Talents-Skills'!$E$2:$E$496))</f>
        <v>No</v>
      </c>
      <c r="I157" s="240" t="str">
        <f t="shared" si="96"/>
        <v>No</v>
      </c>
      <c r="J157" s="240" t="str">
        <f>IF(I157="Yes","May",IF(C157=" "," ",LOOKUP(A157,'Talents-Skills'!$A$2:$A$496,'Talents-Skills'!$F$2:$F$496)))</f>
        <v>No</v>
      </c>
      <c r="K157" s="242" t="str">
        <f>IF(C157=" "," ",LOOKUP(A157,'Talents-Skills'!$A$2:$A$496,'Talents-Skills'!$G$2:$G$496))</f>
        <v>No</v>
      </c>
      <c r="L157" s="89">
        <f t="shared" si="97"/>
        <v>0</v>
      </c>
      <c r="M157" s="9"/>
      <c r="N157" s="9"/>
      <c r="O157" s="9"/>
      <c r="P157" s="9"/>
      <c r="Z157" s="90"/>
      <c r="BB157" s="193">
        <f>LOOKUP(CharGenMain!A157,'Talents-Skills'!$A$2:$A$496,'Talents-Skills'!$D$2:$D$496)</f>
        <v>0</v>
      </c>
      <c r="BW157" s="89" t="str">
        <f>IF(D157="Rank",CharGenMain!BB157," ")</f>
        <v xml:space="preserve"> </v>
      </c>
      <c r="CA157" s="238">
        <f t="shared" si="108"/>
        <v>0</v>
      </c>
      <c r="CB157" s="240">
        <f t="shared" si="108"/>
        <v>0</v>
      </c>
      <c r="CC157" s="240">
        <f t="shared" si="99"/>
        <v>10</v>
      </c>
      <c r="CD157" s="240" t="e">
        <f>IF(CC157=" "," ",LOOKUP(CA157,'Talents-Skills'!$A$2:$A$496,'Talents-Skills'!$C$2:$C$496))</f>
        <v>#N/A</v>
      </c>
      <c r="CE157" s="240" t="e">
        <f t="shared" si="107"/>
        <v>#N/A</v>
      </c>
      <c r="CF157" s="240" t="e">
        <f t="shared" si="100"/>
        <v>#N/A</v>
      </c>
      <c r="CG157" s="240" t="e">
        <f t="shared" si="101"/>
        <v>#N/A</v>
      </c>
      <c r="CH157" s="240" t="e">
        <f>IF(CC157=" "," ",LOOKUP(CA157,'Talents-Skills'!$A$2:$A$496,'Talents-Skills'!$E$2:$E$496))</f>
        <v>#N/A</v>
      </c>
      <c r="CI157" s="240">
        <f t="shared" si="102"/>
        <v>0</v>
      </c>
      <c r="CJ157" s="240" t="e">
        <f>IF(CI157="Yes","May",IF(CC157=" "," ",LOOKUP(CA157,'Talents-Skills'!$A$2:$A$496,'Talents-Skills'!$F$2:$F$496)))</f>
        <v>#N/A</v>
      </c>
      <c r="CK157" s="242" t="e">
        <f>IF(CC157=" "," ",LOOKUP(CA157,'Talents-Skills'!$A$2:$A$496,'Talents-Skills'!$G$2:$G$496))</f>
        <v>#N/A</v>
      </c>
      <c r="CL157" s="89">
        <f t="shared" si="103"/>
        <v>23100</v>
      </c>
    </row>
    <row r="158" spans="1:90" s="89" customFormat="1">
      <c r="A158" s="141" t="str">
        <f t="shared" si="109"/>
        <v>Wound Balance</v>
      </c>
      <c r="B158" s="23">
        <f t="shared" si="109"/>
        <v>9</v>
      </c>
      <c r="C158" s="23">
        <v>10</v>
      </c>
      <c r="D158" s="23" t="str">
        <f>IF(C158=" "," ",LOOKUP(A158,'Talents-Skills'!$A$2:$A$496,'Talents-Skills'!$C$2:$C$496))</f>
        <v>Strength</v>
      </c>
      <c r="E158" s="23">
        <f t="shared" si="110"/>
        <v>9</v>
      </c>
      <c r="F158" s="23">
        <f t="shared" si="105"/>
        <v>19</v>
      </c>
      <c r="G158" s="23" t="str">
        <f t="shared" si="106"/>
        <v>D20+2D6</v>
      </c>
      <c r="H158" s="23" t="str">
        <f>IF(C158=" "," ",LOOKUP(A158,'Talents-Skills'!$A$2:$A$496,'Talents-Skills'!$E$2:$E$496))</f>
        <v>No</v>
      </c>
      <c r="I158" s="23" t="str">
        <f t="shared" si="96"/>
        <v>Yes</v>
      </c>
      <c r="J158" s="23" t="str">
        <f>IF(I158="Yes","May",IF(C158=" "," ",LOOKUP(A158,'Talents-Skills'!$A$2:$A$496,'Talents-Skills'!$F$2:$F$496)))</f>
        <v>May</v>
      </c>
      <c r="K158" s="142" t="str">
        <f>IF(C158=" "," ",LOOKUP(A158,'Talents-Skills'!$A$2:$A$496,'Talents-Skills'!$G$2:$G$496))</f>
        <v>No</v>
      </c>
      <c r="L158" s="89">
        <f t="shared" si="97"/>
        <v>60500</v>
      </c>
      <c r="M158" s="9"/>
      <c r="N158" s="9"/>
      <c r="O158" s="9"/>
      <c r="P158" s="9"/>
      <c r="Z158" s="90"/>
      <c r="BB158" s="193">
        <f>LOOKUP(CharGenMain!A158,'Talents-Skills'!$A$2:$A$496,'Talents-Skills'!$D$2:$D$496)</f>
        <v>0</v>
      </c>
      <c r="BW158" s="89" t="str">
        <f>IF(D158="Rank",CharGenMain!BB158," ")</f>
        <v xml:space="preserve"> </v>
      </c>
      <c r="CA158" s="126">
        <f t="shared" si="108"/>
        <v>0</v>
      </c>
      <c r="CB158" s="14">
        <f t="shared" si="108"/>
        <v>0</v>
      </c>
      <c r="CC158" s="14">
        <f t="shared" si="99"/>
        <v>10</v>
      </c>
      <c r="CD158" s="14" t="e">
        <f>IF(CC158=" "," ",LOOKUP(CA158,'Talents-Skills'!$A$2:$A$496,'Talents-Skills'!$C$2:$C$496))</f>
        <v>#N/A</v>
      </c>
      <c r="CE158" s="14" t="e">
        <f t="shared" si="107"/>
        <v>#N/A</v>
      </c>
      <c r="CF158" s="14" t="e">
        <f t="shared" si="100"/>
        <v>#N/A</v>
      </c>
      <c r="CG158" s="14" t="e">
        <f t="shared" si="101"/>
        <v>#N/A</v>
      </c>
      <c r="CH158" s="14" t="e">
        <f>IF(CC158=" "," ",LOOKUP(CA158,'Talents-Skills'!$A$2:$A$496,'Talents-Skills'!$E$2:$E$496))</f>
        <v>#N/A</v>
      </c>
      <c r="CI158" s="14">
        <f t="shared" si="102"/>
        <v>0</v>
      </c>
      <c r="CJ158" s="14" t="e">
        <f>IF(CI158="Yes","May",IF(CC158=" "," ",LOOKUP(CA158,'Talents-Skills'!$A$2:$A$496,'Talents-Skills'!$F$2:$F$496)))</f>
        <v>#N/A</v>
      </c>
      <c r="CK158" s="140" t="e">
        <f>IF(CC158=" "," ",LOOKUP(CA158,'Talents-Skills'!$A$2:$A$496,'Talents-Skills'!$G$2:$G$496))</f>
        <v>#N/A</v>
      </c>
      <c r="CL158" s="89">
        <f t="shared" si="103"/>
        <v>23100</v>
      </c>
    </row>
    <row r="159" spans="1:90" s="89" customFormat="1">
      <c r="A159" s="238" t="str">
        <f t="shared" si="109"/>
        <v>Endure Cold</v>
      </c>
      <c r="B159" s="240">
        <f t="shared" si="109"/>
        <v>10</v>
      </c>
      <c r="C159" s="240">
        <v>1</v>
      </c>
      <c r="D159" s="240" t="str">
        <f>IF(C159=" "," ",LOOKUP(A159,'Talents-Skills'!$A$2:$A$496,'Talents-Skills'!$C$2:$C$496))</f>
        <v>Toughness</v>
      </c>
      <c r="E159" s="240">
        <f t="shared" si="110"/>
        <v>8</v>
      </c>
      <c r="F159" s="240">
        <f t="shared" si="105"/>
        <v>9</v>
      </c>
      <c r="G159" s="240" t="str">
        <f t="shared" si="106"/>
        <v>D8+D6</v>
      </c>
      <c r="H159" s="240" t="str">
        <f>IF(C159=" "," ",LOOKUP(A159,'Talents-Skills'!$A$2:$A$496,'Talents-Skills'!$E$2:$E$496))</f>
        <v>No</v>
      </c>
      <c r="I159" s="240" t="str">
        <f t="shared" si="96"/>
        <v>Yes</v>
      </c>
      <c r="J159" s="240" t="str">
        <f>IF(I159="Yes","May",IF(C159=" "," ",LOOKUP(A159,'Talents-Skills'!$A$2:$A$496,'Talents-Skills'!$F$2:$F$496)))</f>
        <v>May</v>
      </c>
      <c r="K159" s="242" t="str">
        <f>IF(C159=" "," ",LOOKUP(A159,'Talents-Skills'!$A$2:$A$496,'Talents-Skills'!$G$2:$G$496))</f>
        <v>No</v>
      </c>
      <c r="L159" s="89">
        <f t="shared" si="97"/>
        <v>300</v>
      </c>
      <c r="M159" s="9"/>
      <c r="N159" s="9"/>
      <c r="O159" s="9"/>
      <c r="P159" s="9"/>
      <c r="Z159" s="90"/>
      <c r="BB159" s="193">
        <f>LOOKUP(CharGenMain!A159,'Talents-Skills'!$A$2:$A$496,'Talents-Skills'!$D$2:$D$496)</f>
        <v>0</v>
      </c>
      <c r="BW159" s="89" t="str">
        <f>IF(D159="Rank",CharGenMain!BB159," ")</f>
        <v xml:space="preserve"> </v>
      </c>
      <c r="CA159" s="238">
        <f t="shared" si="108"/>
        <v>0</v>
      </c>
      <c r="CB159" s="240">
        <f t="shared" si="108"/>
        <v>0</v>
      </c>
      <c r="CC159" s="240">
        <f t="shared" si="99"/>
        <v>10</v>
      </c>
      <c r="CD159" s="240" t="e">
        <f>IF(CC159=" "," ",LOOKUP(CA159,'Talents-Skills'!$A$2:$A$496,'Talents-Skills'!$C$2:$C$496))</f>
        <v>#N/A</v>
      </c>
      <c r="CE159" s="240" t="e">
        <f t="shared" si="107"/>
        <v>#N/A</v>
      </c>
      <c r="CF159" s="240" t="e">
        <f t="shared" si="100"/>
        <v>#N/A</v>
      </c>
      <c r="CG159" s="240" t="e">
        <f t="shared" si="101"/>
        <v>#N/A</v>
      </c>
      <c r="CH159" s="240" t="e">
        <f>IF(CC159=" "," ",LOOKUP(CA159,'Talents-Skills'!$A$2:$A$496,'Talents-Skills'!$E$2:$E$496))</f>
        <v>#N/A</v>
      </c>
      <c r="CI159" s="240">
        <f t="shared" si="102"/>
        <v>0</v>
      </c>
      <c r="CJ159" s="240" t="e">
        <f>IF(CI159="Yes","May",IF(CC159=" "," ",LOOKUP(CA159,'Talents-Skills'!$A$2:$A$496,'Talents-Skills'!$F$2:$F$496)))</f>
        <v>#N/A</v>
      </c>
      <c r="CK159" s="242" t="e">
        <f>IF(CC159=" "," ",LOOKUP(CA159,'Talents-Skills'!$A$2:$A$496,'Talents-Skills'!$G$2:$G$496))</f>
        <v>#N/A</v>
      </c>
      <c r="CL159" s="89">
        <f t="shared" si="103"/>
        <v>23100</v>
      </c>
    </row>
    <row r="160" spans="1:90" s="89" customFormat="1">
      <c r="A160" s="126" t="str">
        <f t="shared" si="109"/>
        <v>Shield Beater</v>
      </c>
      <c r="B160" s="14">
        <f t="shared" si="109"/>
        <v>10</v>
      </c>
      <c r="C160" s="14">
        <v>1</v>
      </c>
      <c r="D160" s="14" t="str">
        <f>IF(C160=" "," ",LOOKUP(A160,'Talents-Skills'!$A$2:$A$496,'Talents-Skills'!$C$2:$C$496))</f>
        <v>Dexterity</v>
      </c>
      <c r="E160" s="14">
        <f t="shared" si="110"/>
        <v>7</v>
      </c>
      <c r="F160" s="14">
        <f t="shared" si="105"/>
        <v>8</v>
      </c>
      <c r="G160" s="14" t="str">
        <f t="shared" si="106"/>
        <v>2D6</v>
      </c>
      <c r="H160" s="14" t="str">
        <f>IF(C160=" "," ",LOOKUP(A160,'Talents-Skills'!$A$2:$A$496,'Talents-Skills'!$E$2:$E$496))</f>
        <v>No</v>
      </c>
      <c r="I160" s="14" t="str">
        <f t="shared" si="96"/>
        <v>No</v>
      </c>
      <c r="J160" s="14" t="str">
        <f>IF(I160="Yes","May",IF(C160=" "," ",LOOKUP(A160,'Talents-Skills'!$A$2:$A$496,'Talents-Skills'!$F$2:$F$496)))</f>
        <v>No</v>
      </c>
      <c r="K160" s="140">
        <f>IF(C160=" "," ",LOOKUP(A160,'Talents-Skills'!$A$2:$A$496,'Talents-Skills'!$G$2:$G$496))</f>
        <v>1</v>
      </c>
      <c r="L160" s="89">
        <f t="shared" si="97"/>
        <v>300</v>
      </c>
      <c r="M160" s="9"/>
      <c r="N160" s="9"/>
      <c r="O160" s="9"/>
      <c r="P160" s="9"/>
      <c r="Z160" s="90"/>
      <c r="BB160" s="193">
        <f>LOOKUP(CharGenMain!A160,'Talents-Skills'!$A$2:$A$496,'Talents-Skills'!$D$2:$D$496)</f>
        <v>0</v>
      </c>
      <c r="BW160" s="89" t="str">
        <f>IF(D160="Rank",CharGenMain!BB160," ")</f>
        <v xml:space="preserve"> </v>
      </c>
      <c r="CA160" s="126">
        <f t="shared" si="108"/>
        <v>0</v>
      </c>
      <c r="CB160" s="14">
        <f t="shared" si="108"/>
        <v>0</v>
      </c>
      <c r="CC160" s="14">
        <f t="shared" si="99"/>
        <v>10</v>
      </c>
      <c r="CD160" s="14" t="e">
        <f>IF(CC160=" "," ",LOOKUP(CA160,'Talents-Skills'!$A$2:$A$496,'Talents-Skills'!$C$2:$C$496))</f>
        <v>#N/A</v>
      </c>
      <c r="CE160" s="14" t="e">
        <f t="shared" si="107"/>
        <v>#N/A</v>
      </c>
      <c r="CF160" s="14" t="e">
        <f t="shared" si="100"/>
        <v>#N/A</v>
      </c>
      <c r="CG160" s="14" t="e">
        <f t="shared" si="101"/>
        <v>#N/A</v>
      </c>
      <c r="CH160" s="14" t="e">
        <f>IF(CC160=" "," ",LOOKUP(CA160,'Talents-Skills'!$A$2:$A$496,'Talents-Skills'!$E$2:$E$496))</f>
        <v>#N/A</v>
      </c>
      <c r="CI160" s="14">
        <f t="shared" si="102"/>
        <v>0</v>
      </c>
      <c r="CJ160" s="14" t="e">
        <f>IF(CI160="Yes","May",IF(CC160=" "," ",LOOKUP(CA160,'Talents-Skills'!$A$2:$A$496,'Talents-Skills'!$F$2:$F$496)))</f>
        <v>#N/A</v>
      </c>
      <c r="CK160" s="140" t="e">
        <f>IF(CC160=" "," ",LOOKUP(CA160,'Talents-Skills'!$A$2:$A$496,'Talents-Skills'!$G$2:$G$496))</f>
        <v>#N/A</v>
      </c>
      <c r="CL160" s="89">
        <f t="shared" si="103"/>
        <v>23100</v>
      </c>
    </row>
    <row r="161" spans="1:90" s="89" customFormat="1">
      <c r="A161" s="238" t="str">
        <f t="shared" si="109"/>
        <v>Defense</v>
      </c>
      <c r="B161" s="240">
        <f t="shared" si="109"/>
        <v>11</v>
      </c>
      <c r="C161" s="240" t="str">
        <f t="shared" ref="C161:C170" si="111">IF(B161&lt;=$E$134,$E$134," ")</f>
        <v xml:space="preserve"> </v>
      </c>
      <c r="D161" s="240" t="str">
        <f>IF(C161=" "," ",LOOKUP(A161,'Talents-Skills'!$A$2:$A$496,'Talents-Skills'!$C$2:$C$496))</f>
        <v xml:space="preserve"> </v>
      </c>
      <c r="E161" s="240" t="str">
        <f t="shared" si="110"/>
        <v xml:space="preserve"> </v>
      </c>
      <c r="F161" s="240" t="str">
        <f t="shared" si="105"/>
        <v xml:space="preserve"> </v>
      </c>
      <c r="G161" s="240" t="str">
        <f t="shared" si="106"/>
        <v xml:space="preserve"> </v>
      </c>
      <c r="H161" s="240" t="str">
        <f>IF(C161=" "," ",LOOKUP(A161,'Talents-Skills'!$A$2:$A$496,'Talents-Skills'!$E$2:$E$496))</f>
        <v xml:space="preserve"> </v>
      </c>
      <c r="I161" s="240" t="str">
        <f t="shared" si="96"/>
        <v xml:space="preserve"> </v>
      </c>
      <c r="J161" s="240" t="str">
        <f>IF(I161="Yes","May",IF(C161=" "," ",LOOKUP(A161,'Talents-Skills'!$A$2:$A$496,'Talents-Skills'!$F$2:$F$496)))</f>
        <v xml:space="preserve"> </v>
      </c>
      <c r="K161" s="242" t="str">
        <f>IF(C161=" "," ",LOOKUP(A161,'Talents-Skills'!$A$2:$A$496,'Talents-Skills'!$G$2:$G$496))</f>
        <v xml:space="preserve"> </v>
      </c>
      <c r="L161" s="89" t="str">
        <f t="shared" si="97"/>
        <v xml:space="preserve"> </v>
      </c>
      <c r="M161" s="9"/>
      <c r="N161" s="9"/>
      <c r="O161" s="9"/>
      <c r="P161" s="9"/>
      <c r="Z161" s="90"/>
      <c r="BB161" s="193">
        <f>LOOKUP(CharGenMain!A161,'Talents-Skills'!$A$2:$A$496,'Talents-Skills'!$D$2:$D$496)</f>
        <v>0</v>
      </c>
      <c r="BW161" s="89" t="str">
        <f>IF(D161="Rank",CharGenMain!BB161," ")</f>
        <v xml:space="preserve"> </v>
      </c>
      <c r="CA161" s="238">
        <f t="shared" si="108"/>
        <v>0</v>
      </c>
      <c r="CB161" s="240">
        <f t="shared" si="108"/>
        <v>0</v>
      </c>
      <c r="CC161" s="240">
        <f t="shared" si="99"/>
        <v>10</v>
      </c>
      <c r="CD161" s="240" t="e">
        <f>IF(CC161=" "," ",LOOKUP(CA161,'Talents-Skills'!$A$2:$A$496,'Talents-Skills'!$C$2:$C$496))</f>
        <v>#N/A</v>
      </c>
      <c r="CE161" s="240" t="e">
        <f t="shared" si="107"/>
        <v>#N/A</v>
      </c>
      <c r="CF161" s="240" t="e">
        <f t="shared" si="100"/>
        <v>#N/A</v>
      </c>
      <c r="CG161" s="240" t="e">
        <f t="shared" si="101"/>
        <v>#N/A</v>
      </c>
      <c r="CH161" s="240" t="e">
        <f>IF(CC161=" "," ",LOOKUP(CA161,'Talents-Skills'!$A$2:$A$496,'Talents-Skills'!$E$2:$E$496))</f>
        <v>#N/A</v>
      </c>
      <c r="CI161" s="240">
        <f t="shared" si="102"/>
        <v>0</v>
      </c>
      <c r="CJ161" s="240" t="e">
        <f>IF(CI161="Yes","May",IF(CC161=" "," ",LOOKUP(CA161,'Talents-Skills'!$A$2:$A$496,'Talents-Skills'!$F$2:$F$496)))</f>
        <v>#N/A</v>
      </c>
      <c r="CK161" s="242" t="e">
        <f>IF(CC161=" "," ",LOOKUP(CA161,'Talents-Skills'!$A$2:$A$496,'Talents-Skills'!$G$2:$G$496))</f>
        <v>#N/A</v>
      </c>
      <c r="CL161" s="89">
        <f t="shared" si="103"/>
        <v>23100</v>
      </c>
    </row>
    <row r="162" spans="1:90" s="89" customFormat="1">
      <c r="A162" s="126" t="str">
        <f t="shared" si="109"/>
        <v>Weapon Breaker</v>
      </c>
      <c r="B162" s="14">
        <f t="shared" si="109"/>
        <v>11</v>
      </c>
      <c r="C162" s="14" t="str">
        <f t="shared" si="111"/>
        <v xml:space="preserve"> </v>
      </c>
      <c r="D162" s="14" t="str">
        <f>IF(C162=" "," ",LOOKUP(A162,'Talents-Skills'!$A$2:$A$496,'Talents-Skills'!$C$2:$C$496))</f>
        <v xml:space="preserve"> </v>
      </c>
      <c r="E162" s="14" t="str">
        <f t="shared" si="110"/>
        <v xml:space="preserve"> </v>
      </c>
      <c r="F162" s="14" t="str">
        <f t="shared" si="105"/>
        <v xml:space="preserve"> </v>
      </c>
      <c r="G162" s="14" t="str">
        <f t="shared" si="106"/>
        <v xml:space="preserve"> </v>
      </c>
      <c r="H162" s="14" t="str">
        <f>IF(C162=" "," ",LOOKUP(A162,'Talents-Skills'!$A$2:$A$496,'Talents-Skills'!$E$2:$E$496))</f>
        <v xml:space="preserve"> </v>
      </c>
      <c r="I162" s="14" t="str">
        <f t="shared" si="96"/>
        <v xml:space="preserve"> </v>
      </c>
      <c r="J162" s="14" t="str">
        <f>IF(I162="Yes","May",IF(C162=" "," ",LOOKUP(A162,'Talents-Skills'!$A$2:$A$496,'Talents-Skills'!$F$2:$F$496)))</f>
        <v xml:space="preserve"> </v>
      </c>
      <c r="K162" s="140" t="str">
        <f>IF(C162=" "," ",LOOKUP(A162,'Talents-Skills'!$A$2:$A$496,'Talents-Skills'!$G$2:$G$496))</f>
        <v xml:space="preserve"> </v>
      </c>
      <c r="L162" s="89" t="str">
        <f t="shared" si="97"/>
        <v xml:space="preserve"> </v>
      </c>
      <c r="M162" s="9"/>
      <c r="N162" s="9"/>
      <c r="O162" s="9"/>
      <c r="P162" s="9"/>
      <c r="Z162" s="90"/>
      <c r="BB162" s="193">
        <f>LOOKUP(CharGenMain!A162,'Talents-Skills'!$A$2:$A$496,'Talents-Skills'!$D$2:$D$496)</f>
        <v>10</v>
      </c>
      <c r="BW162" s="89" t="str">
        <f>IF(D162="Rank",CharGenMain!BB162," ")</f>
        <v xml:space="preserve"> </v>
      </c>
      <c r="CA162" s="126">
        <f t="shared" si="108"/>
        <v>0</v>
      </c>
      <c r="CB162" s="14">
        <f t="shared" si="108"/>
        <v>0</v>
      </c>
      <c r="CC162" s="14">
        <f t="shared" si="99"/>
        <v>10</v>
      </c>
      <c r="CD162" s="14" t="e">
        <f>IF(CC162=" "," ",LOOKUP(CA162,'Talents-Skills'!$A$2:$A$496,'Talents-Skills'!$C$2:$C$496))</f>
        <v>#N/A</v>
      </c>
      <c r="CE162" s="14" t="e">
        <f t="shared" si="107"/>
        <v>#N/A</v>
      </c>
      <c r="CF162" s="14" t="e">
        <f t="shared" si="100"/>
        <v>#N/A</v>
      </c>
      <c r="CG162" s="14" t="e">
        <f t="shared" si="101"/>
        <v>#N/A</v>
      </c>
      <c r="CH162" s="14" t="e">
        <f>IF(CC162=" "," ",LOOKUP(CA162,'Talents-Skills'!$A$2:$A$496,'Talents-Skills'!$E$2:$E$496))</f>
        <v>#N/A</v>
      </c>
      <c r="CI162" s="14">
        <f t="shared" si="102"/>
        <v>0</v>
      </c>
      <c r="CJ162" s="14" t="e">
        <f>IF(CI162="Yes","May",IF(CC162=" "," ",LOOKUP(CA162,'Talents-Skills'!$A$2:$A$496,'Talents-Skills'!$F$2:$F$496)))</f>
        <v>#N/A</v>
      </c>
      <c r="CK162" s="140" t="e">
        <f>IF(CC162=" "," ",LOOKUP(CA162,'Talents-Skills'!$A$2:$A$496,'Talents-Skills'!$G$2:$G$496))</f>
        <v>#N/A</v>
      </c>
      <c r="CL162" s="89">
        <f t="shared" si="103"/>
        <v>23100</v>
      </c>
    </row>
    <row r="163" spans="1:90" s="89" customFormat="1">
      <c r="A163" s="238" t="str">
        <f t="shared" si="109"/>
        <v>Resist Taunt</v>
      </c>
      <c r="B163" s="240">
        <f t="shared" si="109"/>
        <v>12</v>
      </c>
      <c r="C163" s="240" t="str">
        <f t="shared" si="111"/>
        <v xml:space="preserve"> </v>
      </c>
      <c r="D163" s="240" t="str">
        <f>IF(C163=" "," ",LOOKUP(A163,'Talents-Skills'!$A$2:$A$496,'Talents-Skills'!$C$2:$C$496))</f>
        <v xml:space="preserve"> </v>
      </c>
      <c r="E163" s="240" t="str">
        <f t="shared" si="110"/>
        <v xml:space="preserve"> </v>
      </c>
      <c r="F163" s="240" t="str">
        <f t="shared" si="105"/>
        <v xml:space="preserve"> </v>
      </c>
      <c r="G163" s="240" t="str">
        <f t="shared" si="106"/>
        <v xml:space="preserve"> </v>
      </c>
      <c r="H163" s="240" t="str">
        <f>IF(C163=" "," ",LOOKUP(A163,'Talents-Skills'!$A$2:$A$496,'Talents-Skills'!$E$2:$E$496))</f>
        <v xml:space="preserve"> </v>
      </c>
      <c r="I163" s="240" t="str">
        <f t="shared" si="96"/>
        <v xml:space="preserve"> </v>
      </c>
      <c r="J163" s="240" t="str">
        <f>IF(I163="Yes","May",IF(C163=" "," ",LOOKUP(A163,'Talents-Skills'!$A$2:$A$496,'Talents-Skills'!$F$2:$F$496)))</f>
        <v xml:space="preserve"> </v>
      </c>
      <c r="K163" s="242" t="str">
        <f>IF(C163=" "," ",LOOKUP(A163,'Talents-Skills'!$A$2:$A$496,'Talents-Skills'!$G$2:$G$496))</f>
        <v xml:space="preserve"> </v>
      </c>
      <c r="L163" s="89" t="str">
        <f t="shared" si="97"/>
        <v xml:space="preserve"> </v>
      </c>
      <c r="M163" s="9"/>
      <c r="N163" s="9"/>
      <c r="O163" s="9"/>
      <c r="P163" s="9"/>
      <c r="Z163" s="90"/>
      <c r="BB163" s="193">
        <f>LOOKUP(CharGenMain!A163,'Talents-Skills'!$A$2:$A$496,'Talents-Skills'!$D$2:$D$496)</f>
        <v>0</v>
      </c>
      <c r="BW163" s="89" t="str">
        <f>IF(D163="Rank",CharGenMain!BB163," ")</f>
        <v xml:space="preserve"> </v>
      </c>
      <c r="CA163" s="238">
        <f t="shared" si="108"/>
        <v>0</v>
      </c>
      <c r="CB163" s="240">
        <f t="shared" si="108"/>
        <v>0</v>
      </c>
      <c r="CC163" s="240">
        <f t="shared" si="99"/>
        <v>10</v>
      </c>
      <c r="CD163" s="240" t="e">
        <f>IF(CC163=" "," ",LOOKUP(CA163,'Talents-Skills'!$A$2:$A$496,'Talents-Skills'!$C$2:$C$496))</f>
        <v>#N/A</v>
      </c>
      <c r="CE163" s="240" t="e">
        <f t="shared" si="107"/>
        <v>#N/A</v>
      </c>
      <c r="CF163" s="240" t="e">
        <f t="shared" si="100"/>
        <v>#N/A</v>
      </c>
      <c r="CG163" s="240" t="e">
        <f t="shared" si="101"/>
        <v>#N/A</v>
      </c>
      <c r="CH163" s="240" t="e">
        <f>IF(CC163=" "," ",LOOKUP(CA163,'Talents-Skills'!$A$2:$A$496,'Talents-Skills'!$E$2:$E$496))</f>
        <v>#N/A</v>
      </c>
      <c r="CI163" s="240">
        <f t="shared" si="102"/>
        <v>0</v>
      </c>
      <c r="CJ163" s="240" t="e">
        <f>IF(CI163="Yes","May",IF(CC163=" "," ",LOOKUP(CA163,'Talents-Skills'!$A$2:$A$496,'Talents-Skills'!$F$2:$F$496)))</f>
        <v>#N/A</v>
      </c>
      <c r="CK163" s="242" t="e">
        <f>IF(CC163=" "," ",LOOKUP(CA163,'Talents-Skills'!$A$2:$A$496,'Talents-Skills'!$G$2:$G$496))</f>
        <v>#N/A</v>
      </c>
      <c r="CL163" s="89">
        <f t="shared" si="103"/>
        <v>23100</v>
      </c>
    </row>
    <row r="164" spans="1:90" s="89" customFormat="1">
      <c r="A164" s="141" t="str">
        <f t="shared" si="109"/>
        <v>Vitality</v>
      </c>
      <c r="B164" s="23">
        <f t="shared" si="109"/>
        <v>12</v>
      </c>
      <c r="C164" s="23" t="str">
        <f t="shared" si="111"/>
        <v xml:space="preserve"> </v>
      </c>
      <c r="D164" s="23" t="str">
        <f>IF(C164=" "," ",LOOKUP(A164,'Talents-Skills'!$A$2:$A$496,'Talents-Skills'!$C$2:$C$496))</f>
        <v xml:space="preserve"> </v>
      </c>
      <c r="E164" s="23" t="str">
        <f t="shared" si="110"/>
        <v xml:space="preserve"> </v>
      </c>
      <c r="F164" s="23" t="str">
        <f t="shared" si="105"/>
        <v xml:space="preserve"> </v>
      </c>
      <c r="G164" s="23" t="str">
        <f t="shared" si="106"/>
        <v xml:space="preserve"> </v>
      </c>
      <c r="H164" s="23" t="str">
        <f>IF(C164=" "," ",LOOKUP(A164,'Talents-Skills'!$A$2:$A$496,'Talents-Skills'!$E$2:$E$496))</f>
        <v xml:space="preserve"> </v>
      </c>
      <c r="I164" s="23" t="str">
        <f t="shared" si="96"/>
        <v xml:space="preserve"> </v>
      </c>
      <c r="J164" s="23" t="str">
        <f>IF(I164="Yes","May",IF(C164=" "," ",LOOKUP(A164,'Talents-Skills'!$A$2:$A$496,'Talents-Skills'!$F$2:$F$496)))</f>
        <v xml:space="preserve"> </v>
      </c>
      <c r="K164" s="142" t="str">
        <f>IF(C164=" "," ",LOOKUP(A164,'Talents-Skills'!$A$2:$A$496,'Talents-Skills'!$G$2:$G$496))</f>
        <v xml:space="preserve"> </v>
      </c>
      <c r="L164" s="89" t="str">
        <f t="shared" si="97"/>
        <v xml:space="preserve"> </v>
      </c>
      <c r="M164" s="9"/>
      <c r="N164" s="9"/>
      <c r="O164" s="9"/>
      <c r="P164" s="9"/>
      <c r="Z164" s="90"/>
      <c r="BB164" s="193">
        <f>LOOKUP(CharGenMain!A164,'Talents-Skills'!$A$2:$A$496,'Talents-Skills'!$D$2:$D$496)</f>
        <v>0</v>
      </c>
      <c r="BW164" s="89" t="str">
        <f>IF(D164="Rank",CharGenMain!BB164," ")</f>
        <v xml:space="preserve"> </v>
      </c>
      <c r="CA164" s="126">
        <f t="shared" si="108"/>
        <v>0</v>
      </c>
      <c r="CB164" s="14">
        <f t="shared" si="108"/>
        <v>0</v>
      </c>
      <c r="CC164" s="14">
        <f t="shared" si="99"/>
        <v>10</v>
      </c>
      <c r="CD164" s="14" t="e">
        <f>IF(CC164=" "," ",LOOKUP(CA164,'Talents-Skills'!$A$2:$A$496,'Talents-Skills'!$C$2:$C$496))</f>
        <v>#N/A</v>
      </c>
      <c r="CE164" s="14" t="e">
        <f t="shared" si="107"/>
        <v>#N/A</v>
      </c>
      <c r="CF164" s="14" t="e">
        <f t="shared" si="100"/>
        <v>#N/A</v>
      </c>
      <c r="CG164" s="14" t="e">
        <f t="shared" si="101"/>
        <v>#N/A</v>
      </c>
      <c r="CH164" s="14" t="e">
        <f>IF(CC164=" "," ",LOOKUP(CA164,'Talents-Skills'!$A$2:$A$496,'Talents-Skills'!$E$2:$E$496))</f>
        <v>#N/A</v>
      </c>
      <c r="CI164" s="14">
        <f t="shared" si="102"/>
        <v>0</v>
      </c>
      <c r="CJ164" s="14" t="e">
        <f>IF(CI164="Yes","May",IF(CC164=" "," ",LOOKUP(CA164,'Talents-Skills'!$A$2:$A$496,'Talents-Skills'!$F$2:$F$496)))</f>
        <v>#N/A</v>
      </c>
      <c r="CK164" s="140" t="e">
        <f>IF(CC164=" "," ",LOOKUP(CA164,'Talents-Skills'!$A$2:$A$496,'Talents-Skills'!$G$2:$G$496))</f>
        <v>#N/A</v>
      </c>
      <c r="CL164" s="89">
        <f t="shared" si="103"/>
        <v>23100</v>
      </c>
    </row>
    <row r="165" spans="1:90" s="89" customFormat="1">
      <c r="A165" s="238" t="str">
        <f t="shared" si="109"/>
        <v>Matrix Strike</v>
      </c>
      <c r="B165" s="240">
        <f t="shared" si="109"/>
        <v>13</v>
      </c>
      <c r="C165" s="240" t="str">
        <f t="shared" si="111"/>
        <v xml:space="preserve"> </v>
      </c>
      <c r="D165" s="240" t="str">
        <f>IF(C165=" "," ",LOOKUP(A165,'Talents-Skills'!$A$2:$A$496,'Talents-Skills'!$C$2:$C$496))</f>
        <v xml:space="preserve"> </v>
      </c>
      <c r="E165" s="240" t="str">
        <f t="shared" si="110"/>
        <v xml:space="preserve"> </v>
      </c>
      <c r="F165" s="240" t="str">
        <f t="shared" si="105"/>
        <v xml:space="preserve"> </v>
      </c>
      <c r="G165" s="240" t="str">
        <f t="shared" si="106"/>
        <v xml:space="preserve"> </v>
      </c>
      <c r="H165" s="240" t="str">
        <f>IF(C165=" "," ",LOOKUP(A165,'Talents-Skills'!$A$2:$A$496,'Talents-Skills'!$E$2:$E$496))</f>
        <v xml:space="preserve"> </v>
      </c>
      <c r="I165" s="240" t="str">
        <f t="shared" si="96"/>
        <v xml:space="preserve"> </v>
      </c>
      <c r="J165" s="240" t="str">
        <f>IF(I165="Yes","May",IF(C165=" "," ",LOOKUP(A165,'Talents-Skills'!$A$2:$A$496,'Talents-Skills'!$F$2:$F$496)))</f>
        <v xml:space="preserve"> </v>
      </c>
      <c r="K165" s="242" t="str">
        <f>IF(C165=" "," ",LOOKUP(A165,'Talents-Skills'!$A$2:$A$496,'Talents-Skills'!$G$2:$G$496))</f>
        <v xml:space="preserve"> </v>
      </c>
      <c r="L165" s="89" t="str">
        <f t="shared" si="97"/>
        <v xml:space="preserve"> </v>
      </c>
      <c r="M165" s="9"/>
      <c r="N165" s="9"/>
      <c r="O165" s="9"/>
      <c r="P165" s="9"/>
      <c r="Z165" s="90"/>
      <c r="BB165" s="193">
        <f>LOOKUP(CharGenMain!A165,'Talents-Skills'!$A$2:$A$496,'Talents-Skills'!$D$2:$D$496)</f>
        <v>0</v>
      </c>
      <c r="BW165" s="89" t="str">
        <f>IF(D165="Rank",CharGenMain!BB165," ")</f>
        <v xml:space="preserve"> </v>
      </c>
      <c r="CA165" s="238">
        <f t="shared" si="108"/>
        <v>0</v>
      </c>
      <c r="CB165" s="240">
        <f t="shared" si="108"/>
        <v>0</v>
      </c>
      <c r="CC165" s="240">
        <f t="shared" si="99"/>
        <v>10</v>
      </c>
      <c r="CD165" s="240" t="e">
        <f>IF(CC165=" "," ",LOOKUP(CA165,'Talents-Skills'!$A$2:$A$496,'Talents-Skills'!$C$2:$C$496))</f>
        <v>#N/A</v>
      </c>
      <c r="CE165" s="240" t="e">
        <f t="shared" si="107"/>
        <v>#N/A</v>
      </c>
      <c r="CF165" s="240" t="e">
        <f t="shared" si="100"/>
        <v>#N/A</v>
      </c>
      <c r="CG165" s="240" t="e">
        <f t="shared" si="101"/>
        <v>#N/A</v>
      </c>
      <c r="CH165" s="240" t="e">
        <f>IF(CC165=" "," ",LOOKUP(CA165,'Talents-Skills'!$A$2:$A$496,'Talents-Skills'!$E$2:$E$496))</f>
        <v>#N/A</v>
      </c>
      <c r="CI165" s="240">
        <f t="shared" si="102"/>
        <v>0</v>
      </c>
      <c r="CJ165" s="240" t="e">
        <f>IF(CI165="Yes","May",IF(CC165=" "," ",LOOKUP(CA165,'Talents-Skills'!$A$2:$A$496,'Talents-Skills'!$F$2:$F$496)))</f>
        <v>#N/A</v>
      </c>
      <c r="CK165" s="242" t="e">
        <f>IF(CC165=" "," ",LOOKUP(CA165,'Talents-Skills'!$A$2:$A$496,'Talents-Skills'!$G$2:$G$496))</f>
        <v>#N/A</v>
      </c>
      <c r="CL165" s="89">
        <f t="shared" si="103"/>
        <v>23100</v>
      </c>
    </row>
    <row r="166" spans="1:90" s="89" customFormat="1">
      <c r="A166" s="126" t="str">
        <f t="shared" si="109"/>
        <v>Second Chance</v>
      </c>
      <c r="B166" s="14">
        <f t="shared" si="109"/>
        <v>13</v>
      </c>
      <c r="C166" s="14" t="str">
        <f t="shared" si="111"/>
        <v xml:space="preserve"> </v>
      </c>
      <c r="D166" s="14" t="str">
        <f>IF(C166=" "," ",LOOKUP(A166,'Talents-Skills'!$A$2:$A$496,'Talents-Skills'!$C$2:$C$496))</f>
        <v xml:space="preserve"> </v>
      </c>
      <c r="E166" s="14" t="str">
        <f t="shared" si="110"/>
        <v xml:space="preserve"> </v>
      </c>
      <c r="F166" s="14" t="str">
        <f t="shared" si="105"/>
        <v xml:space="preserve"> </v>
      </c>
      <c r="G166" s="14" t="str">
        <f t="shared" si="106"/>
        <v xml:space="preserve"> </v>
      </c>
      <c r="H166" s="14" t="str">
        <f>IF(C166=" "," ",LOOKUP(A166,'Talents-Skills'!$A$2:$A$496,'Talents-Skills'!$E$2:$E$496))</f>
        <v xml:space="preserve"> </v>
      </c>
      <c r="I166" s="14" t="str">
        <f t="shared" si="96"/>
        <v xml:space="preserve"> </v>
      </c>
      <c r="J166" s="14" t="str">
        <f>IF(I166="Yes","May",IF(C166=" "," ",LOOKUP(A166,'Talents-Skills'!$A$2:$A$496,'Talents-Skills'!$F$2:$F$496)))</f>
        <v xml:space="preserve"> </v>
      </c>
      <c r="K166" s="140" t="str">
        <f>IF(C166=" "," ",LOOKUP(A166,'Talents-Skills'!$A$2:$A$496,'Talents-Skills'!$G$2:$G$496))</f>
        <v xml:space="preserve"> </v>
      </c>
      <c r="L166" s="89" t="str">
        <f t="shared" si="97"/>
        <v xml:space="preserve"> </v>
      </c>
      <c r="M166" s="9"/>
      <c r="N166" s="9"/>
      <c r="O166" s="9"/>
      <c r="P166" s="9"/>
      <c r="Z166" s="90"/>
      <c r="BB166" s="193">
        <f>LOOKUP(CharGenMain!A166,'Talents-Skills'!$A$2:$A$496,'Talents-Skills'!$D$2:$D$496)</f>
        <v>0</v>
      </c>
      <c r="BW166" s="89" t="str">
        <f>IF(D166="Rank",CharGenMain!BB166," ")</f>
        <v xml:space="preserve"> </v>
      </c>
      <c r="CA166" s="126">
        <f t="shared" si="108"/>
        <v>0</v>
      </c>
      <c r="CB166" s="14">
        <f t="shared" si="108"/>
        <v>0</v>
      </c>
      <c r="CC166" s="14">
        <f t="shared" si="99"/>
        <v>10</v>
      </c>
      <c r="CD166" s="14" t="e">
        <f>IF(CC166=" "," ",LOOKUP(CA166,'Talents-Skills'!$A$2:$A$496,'Talents-Skills'!$C$2:$C$496))</f>
        <v>#N/A</v>
      </c>
      <c r="CE166" s="14" t="e">
        <f t="shared" si="107"/>
        <v>#N/A</v>
      </c>
      <c r="CF166" s="14" t="e">
        <f t="shared" si="100"/>
        <v>#N/A</v>
      </c>
      <c r="CG166" s="14" t="e">
        <f t="shared" si="101"/>
        <v>#N/A</v>
      </c>
      <c r="CH166" s="14" t="e">
        <f>IF(CC166=" "," ",LOOKUP(CA166,'Talents-Skills'!$A$2:$A$496,'Talents-Skills'!$E$2:$E$496))</f>
        <v>#N/A</v>
      </c>
      <c r="CI166" s="14">
        <f t="shared" si="102"/>
        <v>0</v>
      </c>
      <c r="CJ166" s="14" t="e">
        <f>IF(CI166="Yes","May",IF(CC166=" "," ",LOOKUP(CA166,'Talents-Skills'!$A$2:$A$496,'Talents-Skills'!$F$2:$F$496)))</f>
        <v>#N/A</v>
      </c>
      <c r="CK166" s="140" t="e">
        <f>IF(CC166=" "," ",LOOKUP(CA166,'Talents-Skills'!$A$2:$A$496,'Talents-Skills'!$G$2:$G$496))</f>
        <v>#N/A</v>
      </c>
      <c r="CL166" s="89">
        <f t="shared" si="103"/>
        <v>23100</v>
      </c>
    </row>
    <row r="167" spans="1:90" s="89" customFormat="1">
      <c r="A167" s="243" t="str">
        <f t="shared" si="109"/>
        <v>Quickblade</v>
      </c>
      <c r="B167" s="244">
        <f t="shared" si="109"/>
        <v>14</v>
      </c>
      <c r="C167" s="244" t="str">
        <f t="shared" si="111"/>
        <v xml:space="preserve"> </v>
      </c>
      <c r="D167" s="244" t="str">
        <f>IF(C167=" "," ",LOOKUP(A167,'Talents-Skills'!$A$2:$A$496,'Talents-Skills'!$C$2:$C$496))</f>
        <v xml:space="preserve"> </v>
      </c>
      <c r="E167" s="244" t="str">
        <f t="shared" si="110"/>
        <v xml:space="preserve"> </v>
      </c>
      <c r="F167" s="244" t="str">
        <f>IF($C$167=(" "),(" "),($C$167+$E$167+$B$132))</f>
        <v xml:space="preserve"> </v>
      </c>
      <c r="G167" s="244" t="str">
        <f t="shared" si="106"/>
        <v xml:space="preserve"> </v>
      </c>
      <c r="H167" s="244" t="str">
        <f>IF(C167=" "," ",LOOKUP(A167,'Talents-Skills'!$A$2:$A$496,'Talents-Skills'!$E$2:$E$496))</f>
        <v xml:space="preserve"> </v>
      </c>
      <c r="I167" s="244" t="str">
        <f t="shared" si="96"/>
        <v xml:space="preserve"> </v>
      </c>
      <c r="J167" s="244" t="str">
        <f>IF(I167="Yes","May",IF(C167=" "," ",LOOKUP(A167,'Talents-Skills'!$A$2:$A$496,'Talents-Skills'!$F$2:$F$496)))</f>
        <v xml:space="preserve"> </v>
      </c>
      <c r="K167" s="245" t="str">
        <f>IF(C167=" "," ",LOOKUP(A167,'Talents-Skills'!$A$2:$A$496,'Talents-Skills'!$G$2:$G$496))</f>
        <v xml:space="preserve"> </v>
      </c>
      <c r="L167" s="89" t="str">
        <f t="shared" si="97"/>
        <v xml:space="preserve"> </v>
      </c>
      <c r="M167" s="9"/>
      <c r="N167" s="9"/>
      <c r="O167" s="9"/>
      <c r="P167" s="9"/>
      <c r="Z167" s="90"/>
      <c r="BB167" s="193">
        <f>LOOKUP(CharGenMain!A167,'Talents-Skills'!$A$2:$A$496,'Talents-Skills'!$D$2:$D$496)</f>
        <v>0</v>
      </c>
      <c r="BW167" s="89" t="str">
        <f>IF(D167="Rank",CharGenMain!BB167," ")</f>
        <v xml:space="preserve"> </v>
      </c>
      <c r="CA167" s="238">
        <f t="shared" si="108"/>
        <v>0</v>
      </c>
      <c r="CB167" s="240">
        <f t="shared" si="108"/>
        <v>0</v>
      </c>
      <c r="CC167" s="240">
        <f t="shared" si="99"/>
        <v>10</v>
      </c>
      <c r="CD167" s="240" t="e">
        <f>IF(CC167=" "," ",LOOKUP(CA167,'Talents-Skills'!$A$2:$A$496,'Talents-Skills'!$C$2:$C$496))</f>
        <v>#N/A</v>
      </c>
      <c r="CE167" s="240" t="e">
        <f t="shared" si="107"/>
        <v>#N/A</v>
      </c>
      <c r="CF167" s="240" t="e">
        <f t="shared" si="100"/>
        <v>#N/A</v>
      </c>
      <c r="CG167" s="240" t="e">
        <f t="shared" si="101"/>
        <v>#N/A</v>
      </c>
      <c r="CH167" s="240" t="e">
        <f>IF(CC167=" "," ",LOOKUP(CA167,'Talents-Skills'!$A$2:$A$496,'Talents-Skills'!$E$2:$E$496))</f>
        <v>#N/A</v>
      </c>
      <c r="CI167" s="240">
        <f t="shared" si="102"/>
        <v>0</v>
      </c>
      <c r="CJ167" s="240" t="e">
        <f>IF(CI167="Yes","May",IF(CC167=" "," ",LOOKUP(CA167,'Talents-Skills'!$A$2:$A$496,'Talents-Skills'!$F$2:$F$496)))</f>
        <v>#N/A</v>
      </c>
      <c r="CK167" s="242" t="e">
        <f>IF(CC167=" "," ",LOOKUP(CA167,'Talents-Skills'!$A$2:$A$496,'Talents-Skills'!$G$2:$G$496))</f>
        <v>#N/A</v>
      </c>
      <c r="CL167" s="89">
        <f t="shared" si="103"/>
        <v>23100</v>
      </c>
    </row>
    <row r="168" spans="1:90" s="89" customFormat="1">
      <c r="A168" s="126" t="str">
        <f t="shared" si="109"/>
        <v>Second Attack</v>
      </c>
      <c r="B168" s="14">
        <f t="shared" si="109"/>
        <v>14</v>
      </c>
      <c r="C168" s="14" t="str">
        <f t="shared" si="111"/>
        <v xml:space="preserve"> </v>
      </c>
      <c r="D168" s="14" t="str">
        <f>IF(C168=" "," ",LOOKUP(A168,'Talents-Skills'!$A$2:$A$496,'Talents-Skills'!$C$2:$C$496))</f>
        <v xml:space="preserve"> </v>
      </c>
      <c r="E168" s="14" t="str">
        <f t="shared" si="110"/>
        <v xml:space="preserve"> </v>
      </c>
      <c r="F168" s="14" t="str">
        <f t="shared" si="105"/>
        <v xml:space="preserve"> </v>
      </c>
      <c r="G168" s="14" t="str">
        <f t="shared" si="106"/>
        <v xml:space="preserve"> </v>
      </c>
      <c r="H168" s="14" t="str">
        <f>IF(C168=" "," ",LOOKUP(A168,'Talents-Skills'!$A$2:$A$496,'Talents-Skills'!$E$2:$E$496))</f>
        <v xml:space="preserve"> </v>
      </c>
      <c r="I168" s="14" t="str">
        <f t="shared" si="96"/>
        <v xml:space="preserve"> </v>
      </c>
      <c r="J168" s="14" t="str">
        <f>IF(I168="Yes","May",IF(C168=" "," ",LOOKUP(A168,'Talents-Skills'!$A$2:$A$496,'Talents-Skills'!$F$2:$F$496)))</f>
        <v xml:space="preserve"> </v>
      </c>
      <c r="K168" s="140" t="str">
        <f>IF(C168=" "," ",LOOKUP(A168,'Talents-Skills'!$A$2:$A$496,'Talents-Skills'!$G$2:$G$496))</f>
        <v xml:space="preserve"> </v>
      </c>
      <c r="L168" s="89" t="str">
        <f t="shared" si="97"/>
        <v xml:space="preserve"> </v>
      </c>
      <c r="M168" s="9"/>
      <c r="N168" s="9"/>
      <c r="O168" s="9"/>
      <c r="P168" s="9"/>
      <c r="Z168" s="90"/>
      <c r="BB168" s="193">
        <f>LOOKUP(CharGenMain!A168,'Talents-Skills'!$A$2:$A$496,'Talents-Skills'!$D$2:$D$496)</f>
        <v>0</v>
      </c>
      <c r="BW168" s="89" t="str">
        <f>IF(D168="Rank",CharGenMain!BB168," ")</f>
        <v xml:space="preserve"> </v>
      </c>
      <c r="CA168" s="126">
        <f t="shared" ref="CA168:CB171" si="112">IF($E$134&gt;0,CA1234," ")</f>
        <v>0</v>
      </c>
      <c r="CB168" s="14">
        <f t="shared" si="112"/>
        <v>0</v>
      </c>
      <c r="CC168" s="14">
        <f t="shared" si="99"/>
        <v>10</v>
      </c>
      <c r="CD168" s="14" t="e">
        <f>IF(CC168=" "," ",LOOKUP(CA168,'Talents-Skills'!$A$2:$A$496,'Talents-Skills'!$C$2:$C$496))</f>
        <v>#N/A</v>
      </c>
      <c r="CE168" s="14" t="e">
        <f t="shared" si="107"/>
        <v>#N/A</v>
      </c>
      <c r="CF168" s="14" t="e">
        <f t="shared" si="100"/>
        <v>#N/A</v>
      </c>
      <c r="CG168" s="14" t="e">
        <f t="shared" si="101"/>
        <v>#N/A</v>
      </c>
      <c r="CH168" s="14" t="e">
        <f>IF(CC168=" "," ",LOOKUP(CA168,'Talents-Skills'!$A$2:$A$496,'Talents-Skills'!$E$2:$E$496))</f>
        <v>#N/A</v>
      </c>
      <c r="CI168" s="14">
        <f t="shared" si="102"/>
        <v>0</v>
      </c>
      <c r="CJ168" s="14" t="e">
        <f>IF(CI168="Yes","May",IF(CC168=" "," ",LOOKUP(CA168,'Talents-Skills'!$A$2:$A$496,'Talents-Skills'!$F$2:$F$496)))</f>
        <v>#N/A</v>
      </c>
      <c r="CK168" s="140" t="e">
        <f>IF(CC168=" "," ",LOOKUP(CA168,'Talents-Skills'!$A$2:$A$496,'Talents-Skills'!$G$2:$G$496))</f>
        <v>#N/A</v>
      </c>
      <c r="CL168" s="89">
        <f t="shared" si="103"/>
        <v>23100</v>
      </c>
    </row>
    <row r="169" spans="1:90" s="89" customFormat="1">
      <c r="A169" s="238" t="str">
        <f t="shared" si="109"/>
        <v>Life Check</v>
      </c>
      <c r="B169" s="240">
        <f t="shared" si="109"/>
        <v>15</v>
      </c>
      <c r="C169" s="240" t="str">
        <f t="shared" si="111"/>
        <v xml:space="preserve"> </v>
      </c>
      <c r="D169" s="240" t="str">
        <f>IF(C169=" "," ",LOOKUP(A169,'Talents-Skills'!$A$2:$A$496,'Talents-Skills'!$C$2:$C$496))</f>
        <v xml:space="preserve"> </v>
      </c>
      <c r="E169" s="240" t="str">
        <f t="shared" si="110"/>
        <v xml:space="preserve"> </v>
      </c>
      <c r="F169" s="240" t="str">
        <f t="shared" si="105"/>
        <v xml:space="preserve"> </v>
      </c>
      <c r="G169" s="240" t="str">
        <f t="shared" si="106"/>
        <v xml:space="preserve"> </v>
      </c>
      <c r="H169" s="240" t="str">
        <f>IF(C169=" "," ",LOOKUP(A169,'Talents-Skills'!$A$2:$A$496,'Talents-Skills'!$E$2:$E$496))</f>
        <v xml:space="preserve"> </v>
      </c>
      <c r="I169" s="240" t="str">
        <f t="shared" si="96"/>
        <v xml:space="preserve"> </v>
      </c>
      <c r="J169" s="240" t="str">
        <f>IF(I169="Yes","May",IF(C169=" "," ",LOOKUP(A169,'Talents-Skills'!$A$2:$A$496,'Talents-Skills'!$F$2:$F$496)))</f>
        <v xml:space="preserve"> </v>
      </c>
      <c r="K169" s="242" t="str">
        <f>IF(C169=" "," ",LOOKUP(A169,'Talents-Skills'!$A$2:$A$496,'Talents-Skills'!$G$2:$G$496))</f>
        <v xml:space="preserve"> </v>
      </c>
      <c r="L169" s="89" t="str">
        <f t="shared" si="97"/>
        <v xml:space="preserve"> </v>
      </c>
      <c r="M169" s="9"/>
      <c r="N169" s="9"/>
      <c r="O169" s="9"/>
      <c r="P169" s="9"/>
      <c r="V169" s="9"/>
      <c r="W169" s="10"/>
      <c r="X169" s="10"/>
      <c r="Y169" s="10"/>
      <c r="Z169" s="90"/>
      <c r="BB169" s="193">
        <f>LOOKUP(CharGenMain!A169,'Talents-Skills'!$A$2:$A$496,'Talents-Skills'!$D$2:$D$496)</f>
        <v>0</v>
      </c>
      <c r="BW169" s="89" t="str">
        <f>IF(D169="Rank",CharGenMain!BB169," ")</f>
        <v xml:space="preserve"> </v>
      </c>
      <c r="CA169" s="238">
        <f t="shared" si="112"/>
        <v>0</v>
      </c>
      <c r="CB169" s="240">
        <f t="shared" si="112"/>
        <v>0</v>
      </c>
      <c r="CC169" s="240">
        <f t="shared" si="99"/>
        <v>10</v>
      </c>
      <c r="CD169" s="240" t="e">
        <f>IF(CC169=" "," ",LOOKUP(CA169,'Talents-Skills'!$A$2:$A$496,'Talents-Skills'!$C$2:$C$496))</f>
        <v>#N/A</v>
      </c>
      <c r="CE169" s="240" t="e">
        <f t="shared" si="107"/>
        <v>#N/A</v>
      </c>
      <c r="CF169" s="240" t="e">
        <f t="shared" si="100"/>
        <v>#N/A</v>
      </c>
      <c r="CG169" s="240" t="e">
        <f t="shared" si="101"/>
        <v>#N/A</v>
      </c>
      <c r="CH169" s="240" t="e">
        <f>IF(CC169=" "," ",LOOKUP(CA169,'Talents-Skills'!$A$2:$A$496,'Talents-Skills'!$E$2:$E$496))</f>
        <v>#N/A</v>
      </c>
      <c r="CI169" s="240">
        <f t="shared" si="102"/>
        <v>0</v>
      </c>
      <c r="CJ169" s="240" t="e">
        <f>IF(CI169="Yes","May",IF(CC169=" "," ",LOOKUP(CA169,'Talents-Skills'!$A$2:$A$496,'Talents-Skills'!$F$2:$F$496)))</f>
        <v>#N/A</v>
      </c>
      <c r="CK169" s="242" t="e">
        <f>IF(CC169=" "," ",LOOKUP(CA169,'Talents-Skills'!$A$2:$A$496,'Talents-Skills'!$G$2:$G$496))</f>
        <v>#N/A</v>
      </c>
      <c r="CL169" s="89">
        <f t="shared" si="103"/>
        <v>23100</v>
      </c>
    </row>
    <row r="170" spans="1:90" s="89" customFormat="1">
      <c r="A170" s="126" t="str">
        <f t="shared" si="109"/>
        <v>True Shot</v>
      </c>
      <c r="B170" s="14">
        <f t="shared" si="109"/>
        <v>15</v>
      </c>
      <c r="C170" s="14" t="str">
        <f t="shared" si="111"/>
        <v xml:space="preserve"> </v>
      </c>
      <c r="D170" s="14" t="str">
        <f>IF(C170=" "," ",LOOKUP(A170,'Talents-Skills'!$A$2:$A$496,'Talents-Skills'!$C$2:$C$496))</f>
        <v xml:space="preserve"> </v>
      </c>
      <c r="E170" s="14" t="str">
        <f t="shared" si="110"/>
        <v xml:space="preserve"> </v>
      </c>
      <c r="F170" s="14" t="str">
        <f t="shared" si="105"/>
        <v xml:space="preserve"> </v>
      </c>
      <c r="G170" s="14" t="str">
        <f t="shared" si="106"/>
        <v xml:space="preserve"> </v>
      </c>
      <c r="H170" s="14" t="str">
        <f>IF(C170=" "," ",LOOKUP(A170,'Talents-Skills'!$A$2:$A$496,'Talents-Skills'!$E$2:$E$496))</f>
        <v xml:space="preserve"> </v>
      </c>
      <c r="I170" s="14" t="str">
        <f t="shared" si="96"/>
        <v xml:space="preserve"> </v>
      </c>
      <c r="J170" s="14" t="str">
        <f>IF(I170="Yes","May",IF(C170=" "," ",LOOKUP(A170,'Talents-Skills'!$A$2:$A$496,'Talents-Skills'!$F$2:$F$496)))</f>
        <v xml:space="preserve"> </v>
      </c>
      <c r="K170" s="140" t="str">
        <f>IF(C170=" "," ",LOOKUP(A170,'Talents-Skills'!$A$2:$A$496,'Talents-Skills'!$G$2:$G$496))</f>
        <v xml:space="preserve"> </v>
      </c>
      <c r="L170" s="89" t="str">
        <f t="shared" si="97"/>
        <v xml:space="preserve"> </v>
      </c>
      <c r="M170" s="9"/>
      <c r="N170" s="9"/>
      <c r="O170" s="9"/>
      <c r="P170" s="9"/>
      <c r="Z170" s="90"/>
      <c r="BB170" s="193">
        <f>LOOKUP(CharGenMain!A170,'Talents-Skills'!$A$2:$A$496,'Talents-Skills'!$D$2:$D$496)</f>
        <v>0</v>
      </c>
      <c r="BW170" s="89" t="str">
        <f>IF(D170="Rank",CharGenMain!BB170," ")</f>
        <v xml:space="preserve"> </v>
      </c>
      <c r="CA170" s="126">
        <f t="shared" si="112"/>
        <v>0</v>
      </c>
      <c r="CB170" s="14">
        <f t="shared" si="112"/>
        <v>0</v>
      </c>
      <c r="CC170" s="14">
        <f t="shared" si="99"/>
        <v>10</v>
      </c>
      <c r="CD170" s="14" t="e">
        <f>IF(CC170=" "," ",LOOKUP(CA170,'Talents-Skills'!$A$2:$A$496,'Talents-Skills'!$C$2:$C$496))</f>
        <v>#N/A</v>
      </c>
      <c r="CE170" s="14" t="e">
        <f t="shared" si="107"/>
        <v>#N/A</v>
      </c>
      <c r="CF170" s="14" t="e">
        <f t="shared" si="100"/>
        <v>#N/A</v>
      </c>
      <c r="CG170" s="14" t="e">
        <f t="shared" si="101"/>
        <v>#N/A</v>
      </c>
      <c r="CH170" s="14" t="e">
        <f>IF(CC170=" "," ",LOOKUP(CA170,'Talents-Skills'!$A$2:$A$496,'Talents-Skills'!$E$2:$E$496))</f>
        <v>#N/A</v>
      </c>
      <c r="CI170" s="14">
        <f t="shared" si="102"/>
        <v>0</v>
      </c>
      <c r="CJ170" s="14" t="e">
        <f>IF(CI170="Yes","May",IF(CC170=" "," ",LOOKUP(CA170,'Talents-Skills'!$A$2:$A$496,'Talents-Skills'!$F$2:$F$496)))</f>
        <v>#N/A</v>
      </c>
      <c r="CK170" s="140" t="e">
        <f>IF(CC170=" "," ",LOOKUP(CA170,'Talents-Skills'!$A$2:$A$496,'Talents-Skills'!$G$2:$G$496))</f>
        <v>#N/A</v>
      </c>
      <c r="CL170" s="89">
        <f t="shared" si="103"/>
        <v>23100</v>
      </c>
    </row>
    <row r="171" spans="1:90" s="89" customFormat="1" ht="14" thickBot="1">
      <c r="A171" s="261"/>
      <c r="B171" s="262"/>
      <c r="C171" s="262"/>
      <c r="D171" s="262"/>
      <c r="E171" s="262" t="str">
        <f>IF(D171=$A$6,$F$6,IF(D171=$A$7,$F$7,IF(D171=$A$8,$F$8,IF(D171=$A$9,$F$9,IF(D171=$A$10,$F$10,IF(D171=$A$11,$F$11,BW171))))))</f>
        <v xml:space="preserve"> </v>
      </c>
      <c r="F171" s="262"/>
      <c r="G171" s="262"/>
      <c r="H171" s="262"/>
      <c r="I171" s="262"/>
      <c r="J171" s="262"/>
      <c r="K171" s="263"/>
      <c r="L171" s="89">
        <f t="shared" si="97"/>
        <v>0</v>
      </c>
      <c r="M171" s="9"/>
      <c r="N171" s="9"/>
      <c r="O171" s="9"/>
      <c r="P171" s="9"/>
      <c r="Z171" s="90"/>
      <c r="BB171" s="194" t="e">
        <f>LOOKUP(CharGenMain!A171,'Talents-Skills'!$A$2:$A$496,'Talents-Skills'!$D$2:$D$496)</f>
        <v>#N/A</v>
      </c>
      <c r="BW171" s="89" t="str">
        <f>IF(D171="Rank",CharGenMain!BB171," ")</f>
        <v xml:space="preserve"> </v>
      </c>
      <c r="CA171" s="261">
        <f t="shared" si="112"/>
        <v>0</v>
      </c>
      <c r="CB171" s="262">
        <f t="shared" si="112"/>
        <v>0</v>
      </c>
      <c r="CC171" s="262">
        <f t="shared" si="99"/>
        <v>10</v>
      </c>
      <c r="CD171" s="262" t="e">
        <f>IF(CC171=" "," ",LOOKUP(CA171,'Talents-Skills'!$A$2:$A$496,'Talents-Skills'!$C$2:$C$496))</f>
        <v>#N/A</v>
      </c>
      <c r="CE171" s="262" t="e">
        <f t="shared" si="107"/>
        <v>#N/A</v>
      </c>
      <c r="CF171" s="262" t="e">
        <f t="shared" si="100"/>
        <v>#N/A</v>
      </c>
      <c r="CG171" s="262" t="e">
        <f t="shared" si="101"/>
        <v>#N/A</v>
      </c>
      <c r="CH171" s="262" t="e">
        <f>IF(CC171=" "," ",LOOKUP(CA171,'Talents-Skills'!$A$2:$A$496,'Talents-Skills'!$E$2:$E$496))</f>
        <v>#N/A</v>
      </c>
      <c r="CI171" s="262">
        <f t="shared" si="102"/>
        <v>0</v>
      </c>
      <c r="CJ171" s="262" t="e">
        <f>IF(CI171="Yes","May",IF(CC171=" "," ",LOOKUP(CA171,'Talents-Skills'!$A$2:$A$496,'Talents-Skills'!$F$2:$F$496)))</f>
        <v>#N/A</v>
      </c>
      <c r="CK171" s="263" t="e">
        <f>IF(CC171=" "," ",LOOKUP(CA171,'Talents-Skills'!$A$2:$A$496,'Talents-Skills'!$G$2:$G$496))</f>
        <v>#N/A</v>
      </c>
      <c r="CL171" s="89">
        <f t="shared" si="103"/>
        <v>23100</v>
      </c>
    </row>
    <row r="172" spans="1:90" ht="14" thickBot="1">
      <c r="A172" s="4" t="s">
        <v>4750</v>
      </c>
      <c r="B172" s="1" t="s">
        <v>4751</v>
      </c>
      <c r="C172" s="1" t="s">
        <v>4752</v>
      </c>
      <c r="D172" s="1" t="s">
        <v>4753</v>
      </c>
      <c r="E172" s="1" t="s">
        <v>4754</v>
      </c>
      <c r="F172" s="1" t="s">
        <v>5087</v>
      </c>
      <c r="G172" s="1" t="s">
        <v>5354</v>
      </c>
      <c r="H172" s="1" t="s">
        <v>4914</v>
      </c>
      <c r="J172" s="4" t="s">
        <v>4915</v>
      </c>
      <c r="M172" s="4" t="s">
        <v>4916</v>
      </c>
      <c r="Z172" s="54"/>
      <c r="BW172" s="89"/>
      <c r="BX172" s="89"/>
      <c r="BY172" s="89"/>
      <c r="BZ172" s="89"/>
      <c r="CA172" s="4" t="s">
        <v>4750</v>
      </c>
      <c r="CB172" s="1" t="s">
        <v>4751</v>
      </c>
      <c r="CC172" s="1" t="s">
        <v>4752</v>
      </c>
      <c r="CD172" s="1" t="s">
        <v>4753</v>
      </c>
      <c r="CE172" s="1" t="s">
        <v>4754</v>
      </c>
      <c r="CF172" s="1" t="s">
        <v>5087</v>
      </c>
      <c r="CG172" s="1" t="s">
        <v>5354</v>
      </c>
      <c r="CH172" s="1" t="s">
        <v>4914</v>
      </c>
      <c r="CJ172" s="4" t="s">
        <v>4915</v>
      </c>
    </row>
    <row r="173" spans="1:90" s="89" customFormat="1" ht="15" thickTop="1" thickBot="1">
      <c r="A173" s="10">
        <v>4</v>
      </c>
      <c r="B173" s="9">
        <f t="shared" ref="B173:B184" si="113">IF($D$2&gt;=A173,B940,0)</f>
        <v>0</v>
      </c>
      <c r="C173" s="9">
        <f t="shared" ref="C173:C184" si="114">IF($D$2&gt;=A173,C940,0)</f>
        <v>0</v>
      </c>
      <c r="D173" s="9">
        <f t="shared" ref="D173:D184" si="115">IF($D$2&gt;=A173,D940,0)</f>
        <v>0</v>
      </c>
      <c r="E173" s="9">
        <f t="shared" ref="E173:E184" si="116">IF($D$2&gt;=A173,E940,0)</f>
        <v>0</v>
      </c>
      <c r="F173" s="9">
        <f t="shared" ref="F173:F184" si="117">IF($D$2&gt;=A173,F940,0)</f>
        <v>0</v>
      </c>
      <c r="G173" s="9">
        <f t="shared" ref="G173:G184" si="118">IF($D$2&gt;=A173,G940,0)</f>
        <v>0</v>
      </c>
      <c r="H173" s="9" t="str">
        <f t="shared" ref="H173:H184" si="119">IF($D$2&gt;=A173,H940,0)</f>
        <v>Karma on a recovery test</v>
      </c>
      <c r="I173" s="9"/>
      <c r="J173" s="62">
        <f>IF($D$2&gt;6,$C$39,1)</f>
        <v>9</v>
      </c>
      <c r="K173" s="68" t="s">
        <v>4917</v>
      </c>
      <c r="M173" s="62">
        <f t="shared" ref="M173:M178" si="120">IF(J173&gt;=J188,J173,J188)</f>
        <v>9</v>
      </c>
      <c r="N173" s="68" t="s">
        <v>4917</v>
      </c>
      <c r="O173" s="9"/>
      <c r="P173" s="9"/>
      <c r="V173" s="9"/>
      <c r="W173" s="9"/>
      <c r="X173" s="9"/>
      <c r="Y173" s="9"/>
      <c r="Z173" s="54"/>
      <c r="AA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CA173" s="10">
        <v>4</v>
      </c>
      <c r="CB173" s="9">
        <f t="shared" ref="CB173:CB184" si="121">IF($D$2&gt;=CA173,CB940,0)</f>
        <v>0</v>
      </c>
      <c r="CC173" s="9">
        <f t="shared" ref="CC173:CC184" si="122">IF($D$2&gt;=CA173,CC940,0)</f>
        <v>0</v>
      </c>
      <c r="CD173" s="9">
        <f t="shared" ref="CD173:CD184" si="123">IF($D$2&gt;=CA173,CD940,0)</f>
        <v>0</v>
      </c>
      <c r="CE173" s="9">
        <f t="shared" ref="CE173:CE184" si="124">IF($D$2&gt;=CA173,CE940,0)</f>
        <v>0</v>
      </c>
      <c r="CF173" s="9">
        <f t="shared" ref="CF173:CF184" si="125">IF($D$2&gt;=CA173,CF940,0)</f>
        <v>0</v>
      </c>
      <c r="CG173" s="9">
        <f t="shared" ref="CG173:CG184" si="126">IF($D$2&gt;=CA173,CG940,0)</f>
        <v>0</v>
      </c>
      <c r="CH173" s="9">
        <f t="shared" ref="CH173:CH184" si="127">IF($D$2&gt;=CA173,CH940,0)</f>
        <v>0</v>
      </c>
      <c r="CI173" s="9"/>
      <c r="CJ173" s="62">
        <v>1</v>
      </c>
      <c r="CK173" s="68" t="s">
        <v>4917</v>
      </c>
    </row>
    <row r="174" spans="1:90" s="89" customFormat="1" ht="15" thickTop="1" thickBot="1">
      <c r="A174" s="10">
        <v>5</v>
      </c>
      <c r="B174" s="9">
        <f t="shared" si="113"/>
        <v>0</v>
      </c>
      <c r="C174" s="9">
        <f t="shared" si="114"/>
        <v>0</v>
      </c>
      <c r="D174" s="9">
        <f t="shared" si="115"/>
        <v>1</v>
      </c>
      <c r="E174" s="9">
        <f t="shared" si="116"/>
        <v>0</v>
      </c>
      <c r="F174" s="9">
        <f t="shared" si="117"/>
        <v>0</v>
      </c>
      <c r="G174" s="9">
        <f t="shared" si="118"/>
        <v>0</v>
      </c>
      <c r="H174" s="9" t="str">
        <f t="shared" si="119"/>
        <v xml:space="preserve">  </v>
      </c>
      <c r="I174" s="9"/>
      <c r="J174" s="62">
        <f>$F$27</f>
        <v>17</v>
      </c>
      <c r="K174" s="49" t="s">
        <v>4918</v>
      </c>
      <c r="M174" s="62">
        <f t="shared" si="120"/>
        <v>17</v>
      </c>
      <c r="N174" s="49" t="s">
        <v>4918</v>
      </c>
      <c r="O174" s="9"/>
      <c r="P174" s="9"/>
      <c r="Z174" s="90"/>
      <c r="CA174" s="10">
        <v>5</v>
      </c>
      <c r="CB174" s="9">
        <f t="shared" si="121"/>
        <v>0</v>
      </c>
      <c r="CC174" s="9">
        <f t="shared" si="122"/>
        <v>0</v>
      </c>
      <c r="CD174" s="9">
        <f t="shared" si="123"/>
        <v>0</v>
      </c>
      <c r="CE174" s="9">
        <f t="shared" si="124"/>
        <v>0</v>
      </c>
      <c r="CF174" s="9">
        <f t="shared" si="125"/>
        <v>0</v>
      </c>
      <c r="CG174" s="9">
        <f t="shared" si="126"/>
        <v>0</v>
      </c>
      <c r="CH174" s="9">
        <f t="shared" si="127"/>
        <v>0</v>
      </c>
      <c r="CI174" s="9"/>
      <c r="CJ174" s="62">
        <f>CF6+CC73</f>
        <v>0</v>
      </c>
      <c r="CK174" s="49" t="s">
        <v>4918</v>
      </c>
    </row>
    <row r="175" spans="1:90" s="89" customFormat="1" ht="15" thickTop="1" thickBot="1">
      <c r="A175" s="10">
        <v>6</v>
      </c>
      <c r="B175" s="9">
        <f t="shared" si="113"/>
        <v>0</v>
      </c>
      <c r="C175" s="9">
        <f t="shared" si="114"/>
        <v>0</v>
      </c>
      <c r="D175" s="9">
        <f t="shared" si="115"/>
        <v>0</v>
      </c>
      <c r="E175" s="9">
        <f t="shared" si="116"/>
        <v>0</v>
      </c>
      <c r="F175" s="9">
        <f t="shared" si="117"/>
        <v>0</v>
      </c>
      <c r="G175" s="9">
        <f t="shared" si="118"/>
        <v>0</v>
      </c>
      <c r="H175" s="9" t="str">
        <f t="shared" si="119"/>
        <v>Karma on strength tests</v>
      </c>
      <c r="I175" s="9"/>
      <c r="J175" s="62">
        <f>MAX(K60:K65)</f>
        <v>23</v>
      </c>
      <c r="K175" s="49" t="s">
        <v>4919</v>
      </c>
      <c r="M175" s="62">
        <f t="shared" si="120"/>
        <v>33</v>
      </c>
      <c r="N175" s="49" t="s">
        <v>4919</v>
      </c>
      <c r="O175" s="9"/>
      <c r="P175" s="9"/>
      <c r="Z175" s="90"/>
      <c r="CA175" s="10">
        <v>6</v>
      </c>
      <c r="CB175" s="9">
        <f t="shared" si="121"/>
        <v>0</v>
      </c>
      <c r="CC175" s="9">
        <f t="shared" si="122"/>
        <v>0</v>
      </c>
      <c r="CD175" s="9">
        <f t="shared" si="123"/>
        <v>0</v>
      </c>
      <c r="CE175" s="9">
        <f t="shared" si="124"/>
        <v>0</v>
      </c>
      <c r="CF175" s="9">
        <f t="shared" si="125"/>
        <v>0</v>
      </c>
      <c r="CG175" s="9">
        <f t="shared" si="126"/>
        <v>0</v>
      </c>
      <c r="CH175" s="9">
        <f t="shared" si="127"/>
        <v>0</v>
      </c>
      <c r="CI175" s="9"/>
      <c r="CJ175" s="62">
        <f>MAX(CK60:CK65)</f>
        <v>0</v>
      </c>
      <c r="CK175" s="49" t="s">
        <v>4919</v>
      </c>
    </row>
    <row r="176" spans="1:90" s="89" customFormat="1" ht="15" thickTop="1" thickBot="1">
      <c r="A176" s="10">
        <v>7</v>
      </c>
      <c r="B176" s="9">
        <f t="shared" si="113"/>
        <v>0</v>
      </c>
      <c r="C176" s="9">
        <f t="shared" si="114"/>
        <v>1</v>
      </c>
      <c r="D176" s="9">
        <f t="shared" si="115"/>
        <v>0</v>
      </c>
      <c r="E176" s="9">
        <f t="shared" si="116"/>
        <v>0</v>
      </c>
      <c r="F176" s="9">
        <f t="shared" si="117"/>
        <v>0</v>
      </c>
      <c r="G176" s="9">
        <f t="shared" si="118"/>
        <v>0</v>
      </c>
      <c r="H176" s="9" t="str">
        <f t="shared" si="119"/>
        <v xml:space="preserve">  </v>
      </c>
      <c r="I176" s="9"/>
      <c r="J176" s="62">
        <v>0</v>
      </c>
      <c r="K176" s="49" t="s">
        <v>4920</v>
      </c>
      <c r="M176" s="62">
        <f t="shared" si="120"/>
        <v>0</v>
      </c>
      <c r="N176" s="49" t="s">
        <v>4920</v>
      </c>
      <c r="O176" s="9"/>
      <c r="P176" s="9"/>
      <c r="Z176" s="90"/>
      <c r="CA176" s="10">
        <v>7</v>
      </c>
      <c r="CB176" s="9">
        <f t="shared" si="121"/>
        <v>0</v>
      </c>
      <c r="CC176" s="9">
        <f t="shared" si="122"/>
        <v>0</v>
      </c>
      <c r="CD176" s="9">
        <f t="shared" si="123"/>
        <v>0</v>
      </c>
      <c r="CE176" s="9">
        <f t="shared" si="124"/>
        <v>0</v>
      </c>
      <c r="CF176" s="9">
        <f t="shared" si="125"/>
        <v>0</v>
      </c>
      <c r="CG176" s="9">
        <f t="shared" si="126"/>
        <v>0</v>
      </c>
      <c r="CH176" s="9">
        <f t="shared" si="127"/>
        <v>0</v>
      </c>
      <c r="CI176" s="9"/>
      <c r="CJ176" s="62">
        <v>0</v>
      </c>
      <c r="CK176" s="49" t="s">
        <v>4920</v>
      </c>
    </row>
    <row r="177" spans="1:89" s="89" customFormat="1" ht="15" thickTop="1" thickBot="1">
      <c r="A177" s="10">
        <v>8</v>
      </c>
      <c r="B177" s="9">
        <f t="shared" si="113"/>
        <v>0</v>
      </c>
      <c r="C177" s="9">
        <f t="shared" si="114"/>
        <v>0</v>
      </c>
      <c r="D177" s="9">
        <f t="shared" si="115"/>
        <v>0</v>
      </c>
      <c r="E177" s="9">
        <f t="shared" si="116"/>
        <v>0</v>
      </c>
      <c r="F177" s="9">
        <f t="shared" si="117"/>
        <v>0</v>
      </c>
      <c r="G177" s="9">
        <f t="shared" si="118"/>
        <v>0</v>
      </c>
      <c r="H177" s="9" t="str">
        <f t="shared" si="119"/>
        <v>Karma on willpower tests</v>
      </c>
      <c r="I177" s="9"/>
      <c r="J177" s="62">
        <v>0</v>
      </c>
      <c r="K177" s="49" t="s">
        <v>4921</v>
      </c>
      <c r="M177" s="62">
        <f t="shared" si="120"/>
        <v>0</v>
      </c>
      <c r="N177" s="49" t="s">
        <v>4921</v>
      </c>
      <c r="O177" s="9"/>
      <c r="P177" s="9"/>
      <c r="Z177" s="90"/>
      <c r="CA177" s="10">
        <v>8</v>
      </c>
      <c r="CB177" s="9">
        <f t="shared" si="121"/>
        <v>0</v>
      </c>
      <c r="CC177" s="9">
        <f t="shared" si="122"/>
        <v>0</v>
      </c>
      <c r="CD177" s="9">
        <f t="shared" si="123"/>
        <v>0</v>
      </c>
      <c r="CE177" s="9">
        <f t="shared" si="124"/>
        <v>0</v>
      </c>
      <c r="CF177" s="9">
        <f t="shared" si="125"/>
        <v>0</v>
      </c>
      <c r="CG177" s="9">
        <f t="shared" si="126"/>
        <v>0</v>
      </c>
      <c r="CH177" s="9">
        <f t="shared" si="127"/>
        <v>0</v>
      </c>
      <c r="CI177" s="9"/>
      <c r="CJ177" s="62">
        <v>0</v>
      </c>
      <c r="CK177" s="49" t="s">
        <v>4921</v>
      </c>
    </row>
    <row r="178" spans="1:89" s="89" customFormat="1" ht="15" thickTop="1" thickBot="1">
      <c r="A178" s="10">
        <v>9</v>
      </c>
      <c r="B178" s="9">
        <f t="shared" si="113"/>
        <v>0</v>
      </c>
      <c r="C178" s="9">
        <f t="shared" si="114"/>
        <v>0</v>
      </c>
      <c r="D178" s="9">
        <f t="shared" si="115"/>
        <v>0</v>
      </c>
      <c r="E178" s="9">
        <f t="shared" si="116"/>
        <v>0</v>
      </c>
      <c r="F178" s="9">
        <f t="shared" si="117"/>
        <v>2</v>
      </c>
      <c r="G178" s="9">
        <f t="shared" si="118"/>
        <v>0</v>
      </c>
      <c r="H178" s="9" t="str">
        <f t="shared" si="119"/>
        <v xml:space="preserve">  </v>
      </c>
      <c r="I178" s="9"/>
      <c r="J178" s="62">
        <v>0</v>
      </c>
      <c r="K178" s="49" t="s">
        <v>4919</v>
      </c>
      <c r="M178" s="62">
        <f t="shared" si="120"/>
        <v>0</v>
      </c>
      <c r="N178" s="49" t="s">
        <v>4919</v>
      </c>
      <c r="O178" s="9"/>
      <c r="P178" s="9"/>
      <c r="Z178" s="90"/>
      <c r="CA178" s="10">
        <v>9</v>
      </c>
      <c r="CB178" s="9">
        <f t="shared" si="121"/>
        <v>0</v>
      </c>
      <c r="CC178" s="9">
        <f t="shared" si="122"/>
        <v>0</v>
      </c>
      <c r="CD178" s="9">
        <f t="shared" si="123"/>
        <v>0</v>
      </c>
      <c r="CE178" s="9">
        <f t="shared" si="124"/>
        <v>0</v>
      </c>
      <c r="CF178" s="9">
        <f t="shared" si="125"/>
        <v>0</v>
      </c>
      <c r="CG178" s="9">
        <f t="shared" si="126"/>
        <v>0</v>
      </c>
      <c r="CH178" s="9">
        <f t="shared" si="127"/>
        <v>0</v>
      </c>
      <c r="CI178" s="9"/>
      <c r="CJ178" s="62">
        <v>0</v>
      </c>
      <c r="CK178" s="49" t="s">
        <v>4919</v>
      </c>
    </row>
    <row r="179" spans="1:89" s="89" customFormat="1">
      <c r="A179" s="10">
        <v>10</v>
      </c>
      <c r="B179" s="9">
        <f t="shared" si="113"/>
        <v>0</v>
      </c>
      <c r="C179" s="9">
        <f t="shared" si="114"/>
        <v>0</v>
      </c>
      <c r="D179" s="9">
        <f t="shared" si="115"/>
        <v>0</v>
      </c>
      <c r="E179" s="9">
        <f t="shared" si="116"/>
        <v>0</v>
      </c>
      <c r="F179" s="9">
        <f t="shared" si="117"/>
        <v>0</v>
      </c>
      <c r="G179" s="9">
        <f t="shared" si="118"/>
        <v>0</v>
      </c>
      <c r="H179" s="9">
        <f t="shared" si="119"/>
        <v>0</v>
      </c>
      <c r="I179" s="9"/>
      <c r="J179" s="51" t="s">
        <v>5698</v>
      </c>
      <c r="K179" s="52" t="e">
        <f>LOOKUP(J179,Q143:Q178,R143:R178)</f>
        <v>#N/A</v>
      </c>
      <c r="M179" s="9"/>
      <c r="N179" s="9"/>
      <c r="O179" s="9"/>
      <c r="P179" s="9"/>
      <c r="V179" s="9"/>
      <c r="W179" s="9"/>
      <c r="X179" s="9"/>
      <c r="Y179" s="9"/>
      <c r="Z179" s="54"/>
      <c r="AA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CA179" s="10">
        <v>10</v>
      </c>
      <c r="CB179" s="9">
        <f t="shared" si="121"/>
        <v>0</v>
      </c>
      <c r="CC179" s="9">
        <f t="shared" si="122"/>
        <v>0</v>
      </c>
      <c r="CD179" s="9">
        <f t="shared" si="123"/>
        <v>0</v>
      </c>
      <c r="CE179" s="9">
        <f t="shared" si="124"/>
        <v>0</v>
      </c>
      <c r="CF179" s="9">
        <f t="shared" si="125"/>
        <v>0</v>
      </c>
      <c r="CG179" s="9">
        <f t="shared" si="126"/>
        <v>0</v>
      </c>
      <c r="CH179" s="9">
        <f t="shared" si="127"/>
        <v>0</v>
      </c>
      <c r="CI179" s="9"/>
      <c r="CJ179" s="51" t="s">
        <v>5698</v>
      </c>
      <c r="CK179" s="52" t="e">
        <f>LOOKUP(CJ179,CQ143:CQ178,CR143:CR178)</f>
        <v>#N/A</v>
      </c>
    </row>
    <row r="180" spans="1:89" s="89" customFormat="1">
      <c r="A180" s="10">
        <v>11</v>
      </c>
      <c r="B180" s="9">
        <f t="shared" si="113"/>
        <v>0</v>
      </c>
      <c r="C180" s="9">
        <f t="shared" si="114"/>
        <v>0</v>
      </c>
      <c r="D180" s="9">
        <f t="shared" si="115"/>
        <v>0</v>
      </c>
      <c r="E180" s="9">
        <f t="shared" si="116"/>
        <v>0</v>
      </c>
      <c r="F180" s="9">
        <f t="shared" si="117"/>
        <v>0</v>
      </c>
      <c r="G180" s="9">
        <f t="shared" si="118"/>
        <v>0</v>
      </c>
      <c r="H180" s="9">
        <f t="shared" si="119"/>
        <v>0</v>
      </c>
      <c r="I180" s="9"/>
      <c r="J180" s="51" t="s">
        <v>4922</v>
      </c>
      <c r="K180" s="52">
        <f>$C$24+3</f>
        <v>12</v>
      </c>
      <c r="M180" s="9"/>
      <c r="N180" s="9"/>
      <c r="O180" s="9"/>
      <c r="P180" s="9"/>
      <c r="Z180" s="90"/>
      <c r="CA180" s="10">
        <v>11</v>
      </c>
      <c r="CB180" s="9">
        <f t="shared" si="121"/>
        <v>0</v>
      </c>
      <c r="CC180" s="9">
        <f t="shared" si="122"/>
        <v>0</v>
      </c>
      <c r="CD180" s="9">
        <f t="shared" si="123"/>
        <v>0</v>
      </c>
      <c r="CE180" s="9">
        <f t="shared" si="124"/>
        <v>0</v>
      </c>
      <c r="CF180" s="9">
        <f t="shared" si="125"/>
        <v>0</v>
      </c>
      <c r="CG180" s="9">
        <f t="shared" si="126"/>
        <v>0</v>
      </c>
      <c r="CH180" s="9">
        <f t="shared" si="127"/>
        <v>0</v>
      </c>
      <c r="CI180" s="9"/>
      <c r="CJ180" s="51" t="s">
        <v>4922</v>
      </c>
      <c r="CK180" s="52">
        <v>0</v>
      </c>
    </row>
    <row r="181" spans="1:89" s="89" customFormat="1">
      <c r="A181" s="10">
        <v>12</v>
      </c>
      <c r="B181" s="9">
        <f t="shared" si="113"/>
        <v>0</v>
      </c>
      <c r="C181" s="9">
        <f t="shared" si="114"/>
        <v>0</v>
      </c>
      <c r="D181" s="9">
        <f t="shared" si="115"/>
        <v>0</v>
      </c>
      <c r="E181" s="9">
        <f t="shared" si="116"/>
        <v>0</v>
      </c>
      <c r="F181" s="9">
        <f t="shared" si="117"/>
        <v>0</v>
      </c>
      <c r="G181" s="9">
        <f t="shared" si="118"/>
        <v>0</v>
      </c>
      <c r="H181" s="9">
        <f t="shared" si="119"/>
        <v>0</v>
      </c>
      <c r="I181" s="9"/>
      <c r="J181" s="52">
        <f>IF($D$2&gt;6,1,0)</f>
        <v>1</v>
      </c>
      <c r="K181" s="9" t="s">
        <v>4923</v>
      </c>
      <c r="M181" s="52">
        <f>IF(J181&gt;=J196,J181,J196)</f>
        <v>1</v>
      </c>
      <c r="N181" s="9" t="s">
        <v>4923</v>
      </c>
      <c r="O181" s="9"/>
      <c r="P181" s="9"/>
      <c r="Z181" s="90"/>
      <c r="CA181" s="10">
        <v>12</v>
      </c>
      <c r="CB181" s="9">
        <f t="shared" si="121"/>
        <v>0</v>
      </c>
      <c r="CC181" s="9">
        <f t="shared" si="122"/>
        <v>0</v>
      </c>
      <c r="CD181" s="9">
        <f t="shared" si="123"/>
        <v>0</v>
      </c>
      <c r="CE181" s="9">
        <f t="shared" si="124"/>
        <v>0</v>
      </c>
      <c r="CF181" s="9">
        <f t="shared" si="125"/>
        <v>0</v>
      </c>
      <c r="CG181" s="9">
        <f t="shared" si="126"/>
        <v>0</v>
      </c>
      <c r="CH181" s="9">
        <f t="shared" si="127"/>
        <v>0</v>
      </c>
      <c r="CI181" s="9"/>
      <c r="CJ181" s="52">
        <v>0</v>
      </c>
      <c r="CK181" s="9" t="s">
        <v>4923</v>
      </c>
    </row>
    <row r="182" spans="1:89" s="89" customFormat="1">
      <c r="A182" s="10">
        <v>13</v>
      </c>
      <c r="B182" s="9">
        <f t="shared" si="113"/>
        <v>0</v>
      </c>
      <c r="C182" s="9">
        <f t="shared" si="114"/>
        <v>0</v>
      </c>
      <c r="D182" s="9">
        <f t="shared" si="115"/>
        <v>0</v>
      </c>
      <c r="E182" s="9">
        <f t="shared" si="116"/>
        <v>0</v>
      </c>
      <c r="F182" s="9">
        <f t="shared" si="117"/>
        <v>0</v>
      </c>
      <c r="G182" s="9">
        <f t="shared" si="118"/>
        <v>0</v>
      </c>
      <c r="H182" s="9">
        <f t="shared" si="119"/>
        <v>0</v>
      </c>
      <c r="I182" s="9"/>
      <c r="J182" s="52">
        <v>0</v>
      </c>
      <c r="K182" s="49" t="s">
        <v>5102</v>
      </c>
      <c r="M182" s="52">
        <f>IF(J182&gt;=J197,J182,J197)</f>
        <v>0</v>
      </c>
      <c r="N182" s="49" t="s">
        <v>5102</v>
      </c>
      <c r="O182" s="9"/>
      <c r="P182" s="9"/>
      <c r="Z182" s="90"/>
      <c r="CA182" s="10">
        <v>13</v>
      </c>
      <c r="CB182" s="9">
        <f t="shared" si="121"/>
        <v>0</v>
      </c>
      <c r="CC182" s="9">
        <f t="shared" si="122"/>
        <v>0</v>
      </c>
      <c r="CD182" s="9">
        <f t="shared" si="123"/>
        <v>0</v>
      </c>
      <c r="CE182" s="9">
        <f t="shared" si="124"/>
        <v>0</v>
      </c>
      <c r="CF182" s="9">
        <f t="shared" si="125"/>
        <v>0</v>
      </c>
      <c r="CG182" s="9">
        <f t="shared" si="126"/>
        <v>0</v>
      </c>
      <c r="CH182" s="9">
        <f t="shared" si="127"/>
        <v>0</v>
      </c>
      <c r="CI182" s="9"/>
      <c r="CJ182" s="52">
        <v>0</v>
      </c>
      <c r="CK182" s="49" t="s">
        <v>5102</v>
      </c>
    </row>
    <row r="183" spans="1:89" s="89" customFormat="1" ht="14" thickBot="1">
      <c r="A183" s="10">
        <v>14</v>
      </c>
      <c r="B183" s="9">
        <f t="shared" si="113"/>
        <v>0</v>
      </c>
      <c r="C183" s="9">
        <f t="shared" si="114"/>
        <v>0</v>
      </c>
      <c r="D183" s="9">
        <f t="shared" si="115"/>
        <v>0</v>
      </c>
      <c r="E183" s="9">
        <f t="shared" si="116"/>
        <v>0</v>
      </c>
      <c r="F183" s="9">
        <f t="shared" si="117"/>
        <v>0</v>
      </c>
      <c r="G183" s="9">
        <f t="shared" si="118"/>
        <v>0</v>
      </c>
      <c r="H183" s="9">
        <f t="shared" si="119"/>
        <v>0</v>
      </c>
      <c r="I183" s="9"/>
      <c r="J183" s="52">
        <f>1</f>
        <v>1</v>
      </c>
      <c r="K183" s="9" t="s">
        <v>5099</v>
      </c>
      <c r="M183" s="52">
        <f>IF(J183&gt;=J198,J183,J198)</f>
        <v>1</v>
      </c>
      <c r="N183" s="9" t="s">
        <v>5099</v>
      </c>
      <c r="O183" s="9"/>
      <c r="P183" s="9"/>
      <c r="Z183" s="90"/>
      <c r="CA183" s="10">
        <v>14</v>
      </c>
      <c r="CB183" s="9">
        <f t="shared" si="121"/>
        <v>0</v>
      </c>
      <c r="CC183" s="9">
        <f t="shared" si="122"/>
        <v>0</v>
      </c>
      <c r="CD183" s="9">
        <f t="shared" si="123"/>
        <v>0</v>
      </c>
      <c r="CE183" s="9">
        <f t="shared" si="124"/>
        <v>0</v>
      </c>
      <c r="CF183" s="9">
        <f t="shared" si="125"/>
        <v>0</v>
      </c>
      <c r="CG183" s="9">
        <f t="shared" si="126"/>
        <v>0</v>
      </c>
      <c r="CH183" s="9">
        <f t="shared" si="127"/>
        <v>0</v>
      </c>
      <c r="CI183" s="9"/>
      <c r="CJ183" s="52">
        <v>0</v>
      </c>
      <c r="CK183" s="9" t="s">
        <v>5099</v>
      </c>
    </row>
    <row r="184" spans="1:89" s="89" customFormat="1" ht="15" thickTop="1" thickBot="1">
      <c r="A184" s="10">
        <v>15</v>
      </c>
      <c r="B184" s="9">
        <f t="shared" si="113"/>
        <v>0</v>
      </c>
      <c r="C184" s="9">
        <f t="shared" si="114"/>
        <v>0</v>
      </c>
      <c r="D184" s="9">
        <f t="shared" si="115"/>
        <v>0</v>
      </c>
      <c r="E184" s="9">
        <f t="shared" si="116"/>
        <v>0</v>
      </c>
      <c r="F184" s="9">
        <f t="shared" si="117"/>
        <v>0</v>
      </c>
      <c r="G184" s="9">
        <f t="shared" si="118"/>
        <v>0</v>
      </c>
      <c r="H184" s="9">
        <f t="shared" si="119"/>
        <v>0</v>
      </c>
      <c r="I184" s="9"/>
      <c r="J184" s="52">
        <f>F6+G60+G61+B132</f>
        <v>8</v>
      </c>
      <c r="K184" s="49" t="s">
        <v>5717</v>
      </c>
      <c r="M184" s="62">
        <f>IF(J184&gt;=J199,J184,J199)</f>
        <v>8</v>
      </c>
      <c r="N184" s="49" t="s">
        <v>5717</v>
      </c>
      <c r="O184" s="9"/>
      <c r="P184" s="9"/>
      <c r="Z184" s="90"/>
      <c r="CA184" s="10">
        <v>15</v>
      </c>
      <c r="CB184" s="9">
        <f t="shared" si="121"/>
        <v>0</v>
      </c>
      <c r="CC184" s="9">
        <f t="shared" si="122"/>
        <v>0</v>
      </c>
      <c r="CD184" s="9">
        <f t="shared" si="123"/>
        <v>0</v>
      </c>
      <c r="CE184" s="9">
        <f t="shared" si="124"/>
        <v>0</v>
      </c>
      <c r="CF184" s="9">
        <f t="shared" si="125"/>
        <v>0</v>
      </c>
      <c r="CG184" s="9">
        <f t="shared" si="126"/>
        <v>0</v>
      </c>
      <c r="CH184" s="9">
        <f t="shared" si="127"/>
        <v>0</v>
      </c>
      <c r="CI184" s="9"/>
      <c r="CJ184" s="52">
        <f>CF6+CG60+CG61+CB132</f>
        <v>1</v>
      </c>
      <c r="CK184" s="49" t="s">
        <v>5717</v>
      </c>
    </row>
    <row r="185" spans="1:89" s="89" customFormat="1">
      <c r="A185" s="10" t="s">
        <v>5347</v>
      </c>
      <c r="B185" s="9">
        <f t="shared" ref="B185:G185" si="128">SUM(B173:B184)</f>
        <v>0</v>
      </c>
      <c r="C185" s="9">
        <f t="shared" si="128"/>
        <v>1</v>
      </c>
      <c r="D185" s="9">
        <f t="shared" si="128"/>
        <v>1</v>
      </c>
      <c r="E185" s="9">
        <f t="shared" si="128"/>
        <v>0</v>
      </c>
      <c r="F185" s="9">
        <f t="shared" si="128"/>
        <v>2</v>
      </c>
      <c r="G185" s="9">
        <f t="shared" si="128"/>
        <v>0</v>
      </c>
      <c r="H185" s="9"/>
      <c r="I185" s="9"/>
      <c r="J185" s="9"/>
      <c r="K185" s="9"/>
      <c r="M185" s="9"/>
      <c r="N185" s="9"/>
      <c r="O185" s="9"/>
      <c r="P185" s="9"/>
      <c r="Z185" s="90"/>
      <c r="CA185" s="10" t="s">
        <v>5347</v>
      </c>
      <c r="CB185" s="9">
        <f t="shared" ref="CB185:CG185" si="129">SUM(CB173:CB184)</f>
        <v>0</v>
      </c>
      <c r="CC185" s="9">
        <f t="shared" si="129"/>
        <v>0</v>
      </c>
      <c r="CD185" s="9">
        <f t="shared" si="129"/>
        <v>0</v>
      </c>
      <c r="CE185" s="9">
        <f t="shared" si="129"/>
        <v>0</v>
      </c>
      <c r="CF185" s="9">
        <f t="shared" si="129"/>
        <v>0</v>
      </c>
      <c r="CG185" s="9">
        <f t="shared" si="129"/>
        <v>0</v>
      </c>
      <c r="CH185" s="9"/>
      <c r="CI185" s="9"/>
      <c r="CJ185" s="9"/>
      <c r="CK185" s="9"/>
    </row>
    <row r="186" spans="1:89">
      <c r="A186" s="4" t="s">
        <v>5240</v>
      </c>
      <c r="Z186" s="54"/>
      <c r="BW186" s="89"/>
      <c r="BX186" s="89"/>
      <c r="BY186" s="89"/>
      <c r="BZ186" s="89"/>
      <c r="CA186" s="4" t="s">
        <v>5240</v>
      </c>
    </row>
    <row r="187" spans="1:89" ht="14" thickBot="1">
      <c r="A187" s="4" t="s">
        <v>4750</v>
      </c>
      <c r="B187" s="1" t="s">
        <v>4751</v>
      </c>
      <c r="C187" s="1" t="s">
        <v>4752</v>
      </c>
      <c r="D187" s="1" t="s">
        <v>4753</v>
      </c>
      <c r="E187" s="1" t="s">
        <v>4754</v>
      </c>
      <c r="F187" s="1" t="s">
        <v>5087</v>
      </c>
      <c r="G187" s="1" t="s">
        <v>5354</v>
      </c>
      <c r="H187" s="1" t="s">
        <v>4914</v>
      </c>
      <c r="J187" s="4" t="s">
        <v>5100</v>
      </c>
      <c r="M187" s="89"/>
      <c r="Z187" s="54"/>
      <c r="BW187" s="89"/>
      <c r="BX187" s="89"/>
      <c r="BY187" s="89"/>
      <c r="BZ187" s="89"/>
      <c r="CA187" s="4" t="s">
        <v>4750</v>
      </c>
      <c r="CB187" s="1" t="s">
        <v>4751</v>
      </c>
      <c r="CC187" s="1" t="s">
        <v>4752</v>
      </c>
      <c r="CD187" s="1" t="s">
        <v>4753</v>
      </c>
      <c r="CE187" s="1" t="s">
        <v>4754</v>
      </c>
      <c r="CF187" s="1" t="s">
        <v>5087</v>
      </c>
      <c r="CG187" s="1" t="s">
        <v>5354</v>
      </c>
      <c r="CH187" s="1" t="s">
        <v>4914</v>
      </c>
      <c r="CJ187" s="4" t="s">
        <v>5100</v>
      </c>
    </row>
    <row r="188" spans="1:89" s="89" customFormat="1" ht="15" thickTop="1" thickBot="1">
      <c r="A188" s="10">
        <v>4</v>
      </c>
      <c r="B188" s="9">
        <f t="shared" ref="B188:H188" si="130">IF($E$134&gt;=$A$188,B1240,0)</f>
        <v>0</v>
      </c>
      <c r="C188" s="9">
        <f t="shared" si="130"/>
        <v>0</v>
      </c>
      <c r="D188" s="9">
        <f t="shared" si="130"/>
        <v>0</v>
      </c>
      <c r="E188" s="9">
        <f t="shared" si="130"/>
        <v>0</v>
      </c>
      <c r="F188" s="9">
        <f t="shared" si="130"/>
        <v>0</v>
      </c>
      <c r="G188" s="9">
        <f t="shared" si="130"/>
        <v>0</v>
      </c>
      <c r="H188" s="9" t="str">
        <f t="shared" si="130"/>
        <v>Karma on dexterity only actions</v>
      </c>
      <c r="I188" s="9"/>
      <c r="J188" s="62">
        <f>IF($E$134&gt;4,2,1)</f>
        <v>2</v>
      </c>
      <c r="K188" s="68" t="s">
        <v>4917</v>
      </c>
      <c r="M188" s="9"/>
      <c r="N188" s="9"/>
      <c r="O188" s="9"/>
      <c r="P188" s="9"/>
      <c r="U188" s="9"/>
      <c r="V188" s="9"/>
      <c r="W188" s="9"/>
      <c r="X188" s="9"/>
      <c r="Y188" s="9"/>
      <c r="Z188" s="54"/>
      <c r="AA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CA188" s="10">
        <v>4</v>
      </c>
      <c r="CB188" s="9">
        <f t="shared" ref="CB188:CH188" si="131">IF($E$134&gt;=$A$188,CB1240,0)</f>
        <v>0</v>
      </c>
      <c r="CC188" s="9">
        <f t="shared" si="131"/>
        <v>0</v>
      </c>
      <c r="CD188" s="9">
        <f t="shared" si="131"/>
        <v>0</v>
      </c>
      <c r="CE188" s="9">
        <f t="shared" si="131"/>
        <v>0</v>
      </c>
      <c r="CF188" s="9">
        <f t="shared" si="131"/>
        <v>0</v>
      </c>
      <c r="CG188" s="9">
        <f t="shared" si="131"/>
        <v>0</v>
      </c>
      <c r="CH188" s="9">
        <f t="shared" si="131"/>
        <v>0</v>
      </c>
      <c r="CI188" s="9"/>
      <c r="CJ188" s="62">
        <v>1</v>
      </c>
      <c r="CK188" s="68" t="s">
        <v>4917</v>
      </c>
    </row>
    <row r="189" spans="1:89" s="89" customFormat="1" ht="15" thickTop="1" thickBot="1">
      <c r="A189" s="10">
        <v>5</v>
      </c>
      <c r="B189" s="9">
        <f t="shared" ref="B189:H189" si="132">IF($E$134&gt;=$A$189,B1241,0)</f>
        <v>0</v>
      </c>
      <c r="C189" s="9">
        <f t="shared" si="132"/>
        <v>0</v>
      </c>
      <c r="D189" s="9">
        <f t="shared" si="132"/>
        <v>1</v>
      </c>
      <c r="E189" s="9">
        <f t="shared" si="132"/>
        <v>0</v>
      </c>
      <c r="F189" s="9">
        <f t="shared" si="132"/>
        <v>0</v>
      </c>
      <c r="G189" s="9">
        <f t="shared" si="132"/>
        <v>0</v>
      </c>
      <c r="H189" s="9" t="str">
        <f t="shared" si="132"/>
        <v xml:space="preserve">  </v>
      </c>
      <c r="I189" s="9"/>
      <c r="J189" s="62">
        <f>$F$140</f>
        <v>17</v>
      </c>
      <c r="K189" s="49" t="s">
        <v>4918</v>
      </c>
      <c r="M189" s="9"/>
      <c r="N189" s="9"/>
      <c r="O189" s="9"/>
      <c r="P189" s="9"/>
      <c r="Z189" s="90"/>
      <c r="CA189" s="10">
        <v>5</v>
      </c>
      <c r="CB189" s="9">
        <f t="shared" ref="CB189:CH189" si="133">IF($E$134&gt;=$A$189,CB1241,0)</f>
        <v>0</v>
      </c>
      <c r="CC189" s="9">
        <f t="shared" si="133"/>
        <v>0</v>
      </c>
      <c r="CD189" s="9">
        <f t="shared" si="133"/>
        <v>0</v>
      </c>
      <c r="CE189" s="9">
        <f t="shared" si="133"/>
        <v>0</v>
      </c>
      <c r="CF189" s="9">
        <f t="shared" si="133"/>
        <v>0</v>
      </c>
      <c r="CG189" s="9">
        <f t="shared" si="133"/>
        <v>0</v>
      </c>
      <c r="CH189" s="9">
        <f t="shared" si="133"/>
        <v>0</v>
      </c>
      <c r="CI189" s="9"/>
      <c r="CJ189" s="62">
        <f>CF6+CC73</f>
        <v>0</v>
      </c>
      <c r="CK189" s="49" t="s">
        <v>4918</v>
      </c>
    </row>
    <row r="190" spans="1:89" s="89" customFormat="1" ht="15" thickTop="1" thickBot="1">
      <c r="A190" s="10">
        <v>6</v>
      </c>
      <c r="B190" s="9">
        <f t="shared" ref="B190:H190" si="134">IF($E$134&gt;=$A$190,B1242,0)</f>
        <v>0</v>
      </c>
      <c r="C190" s="9">
        <f t="shared" si="134"/>
        <v>0</v>
      </c>
      <c r="D190" s="9">
        <f t="shared" si="134"/>
        <v>0</v>
      </c>
      <c r="E190" s="9">
        <f t="shared" si="134"/>
        <v>1</v>
      </c>
      <c r="F190" s="9">
        <f t="shared" si="134"/>
        <v>0</v>
      </c>
      <c r="G190" s="9">
        <f t="shared" si="134"/>
        <v>0</v>
      </c>
      <c r="H190" s="9" t="str">
        <f t="shared" si="134"/>
        <v xml:space="preserve">  </v>
      </c>
      <c r="I190" s="9"/>
      <c r="J190" s="62">
        <f>IF($E$134&gt;7,(MAX($K$60:$K$65)+$C$155),(MAX($K$60:$K$65)))</f>
        <v>33</v>
      </c>
      <c r="K190" s="49" t="s">
        <v>4919</v>
      </c>
      <c r="M190" s="9"/>
      <c r="N190" s="9"/>
      <c r="O190" s="9"/>
      <c r="P190" s="9"/>
      <c r="Z190" s="90"/>
      <c r="CA190" s="10">
        <v>6</v>
      </c>
      <c r="CB190" s="9">
        <f t="shared" ref="CB190:CH190" si="135">IF($E$134&gt;=$A$190,CB1242,0)</f>
        <v>0</v>
      </c>
      <c r="CC190" s="9">
        <f t="shared" si="135"/>
        <v>0</v>
      </c>
      <c r="CD190" s="9">
        <f t="shared" si="135"/>
        <v>0</v>
      </c>
      <c r="CE190" s="9">
        <f t="shared" si="135"/>
        <v>0</v>
      </c>
      <c r="CF190" s="9">
        <f t="shared" si="135"/>
        <v>0</v>
      </c>
      <c r="CG190" s="9">
        <f t="shared" si="135"/>
        <v>0</v>
      </c>
      <c r="CH190" s="9">
        <f t="shared" si="135"/>
        <v>0</v>
      </c>
      <c r="CI190" s="9"/>
      <c r="CJ190" s="62">
        <f>MAX(CK60:CK65)</f>
        <v>0</v>
      </c>
      <c r="CK190" s="49" t="s">
        <v>4919</v>
      </c>
    </row>
    <row r="191" spans="1:89" s="89" customFormat="1" ht="15" thickTop="1" thickBot="1">
      <c r="A191" s="10">
        <v>7</v>
      </c>
      <c r="B191" s="9">
        <f t="shared" ref="B191:H191" si="136">IF($E$134&gt;=$A$191,B1243,0)</f>
        <v>0</v>
      </c>
      <c r="C191" s="9">
        <f t="shared" si="136"/>
        <v>0</v>
      </c>
      <c r="D191" s="9">
        <f t="shared" si="136"/>
        <v>0</v>
      </c>
      <c r="E191" s="9">
        <f t="shared" si="136"/>
        <v>0</v>
      </c>
      <c r="F191" s="9">
        <f t="shared" si="136"/>
        <v>0</v>
      </c>
      <c r="G191" s="9">
        <f t="shared" si="136"/>
        <v>0</v>
      </c>
      <c r="H191" s="9" t="str">
        <f t="shared" si="136"/>
        <v>Karma on melee weapon damage</v>
      </c>
      <c r="I191" s="9"/>
      <c r="J191" s="62">
        <v>0</v>
      </c>
      <c r="K191" s="49" t="s">
        <v>4920</v>
      </c>
      <c r="M191" s="9"/>
      <c r="N191" s="9"/>
      <c r="O191" s="9"/>
      <c r="P191" s="9"/>
      <c r="Z191" s="90"/>
      <c r="CA191" s="10">
        <v>7</v>
      </c>
      <c r="CB191" s="9">
        <f t="shared" ref="CB191:CH191" si="137">IF($E$134&gt;=$A$191,CB1243,0)</f>
        <v>0</v>
      </c>
      <c r="CC191" s="9">
        <f t="shared" si="137"/>
        <v>0</v>
      </c>
      <c r="CD191" s="9">
        <f t="shared" si="137"/>
        <v>0</v>
      </c>
      <c r="CE191" s="9">
        <f t="shared" si="137"/>
        <v>0</v>
      </c>
      <c r="CF191" s="9">
        <f t="shared" si="137"/>
        <v>0</v>
      </c>
      <c r="CG191" s="9">
        <f t="shared" si="137"/>
        <v>0</v>
      </c>
      <c r="CH191" s="9">
        <f t="shared" si="137"/>
        <v>0</v>
      </c>
      <c r="CI191" s="9"/>
      <c r="CJ191" s="62">
        <v>0</v>
      </c>
      <c r="CK191" s="49" t="s">
        <v>4920</v>
      </c>
    </row>
    <row r="192" spans="1:89" s="89" customFormat="1" ht="15" thickTop="1" thickBot="1">
      <c r="A192" s="10">
        <v>8</v>
      </c>
      <c r="B192" s="9">
        <f t="shared" ref="B192:H192" si="138">IF($E$134&gt;=$A$192,B1244,0)</f>
        <v>0</v>
      </c>
      <c r="C192" s="9">
        <f t="shared" si="138"/>
        <v>0</v>
      </c>
      <c r="D192" s="9">
        <f t="shared" si="138"/>
        <v>0</v>
      </c>
      <c r="E192" s="9">
        <f t="shared" si="138"/>
        <v>0</v>
      </c>
      <c r="F192" s="9">
        <f t="shared" si="138"/>
        <v>1</v>
      </c>
      <c r="G192" s="9">
        <f t="shared" si="138"/>
        <v>0</v>
      </c>
      <c r="H192" s="9" t="str">
        <f t="shared" si="138"/>
        <v xml:space="preserve">  </v>
      </c>
      <c r="I192" s="9"/>
      <c r="J192" s="62">
        <v>0</v>
      </c>
      <c r="K192" s="49" t="s">
        <v>4921</v>
      </c>
      <c r="M192" s="9"/>
      <c r="N192" s="9"/>
      <c r="O192" s="9"/>
      <c r="P192" s="9"/>
      <c r="Z192" s="90"/>
      <c r="CA192" s="10">
        <v>8</v>
      </c>
      <c r="CB192" s="9">
        <f t="shared" ref="CB192:CH192" si="139">IF($E$134&gt;=$A$192,CB1244,0)</f>
        <v>0</v>
      </c>
      <c r="CC192" s="9">
        <f t="shared" si="139"/>
        <v>0</v>
      </c>
      <c r="CD192" s="9">
        <f t="shared" si="139"/>
        <v>0</v>
      </c>
      <c r="CE192" s="9">
        <f t="shared" si="139"/>
        <v>0</v>
      </c>
      <c r="CF192" s="9">
        <f t="shared" si="139"/>
        <v>0</v>
      </c>
      <c r="CG192" s="9">
        <f t="shared" si="139"/>
        <v>0</v>
      </c>
      <c r="CH192" s="9">
        <f t="shared" si="139"/>
        <v>0</v>
      </c>
      <c r="CI192" s="9"/>
      <c r="CJ192" s="62">
        <v>0</v>
      </c>
      <c r="CK192" s="49" t="s">
        <v>4921</v>
      </c>
    </row>
    <row r="193" spans="1:90" s="89" customFormat="1" ht="15" thickTop="1" thickBot="1">
      <c r="A193" s="10">
        <v>9</v>
      </c>
      <c r="B193" s="9">
        <f t="shared" ref="B193:H193" si="140">IF($E$134&gt;=$A$193,B1245,0)</f>
        <v>0</v>
      </c>
      <c r="C193" s="9">
        <f t="shared" si="140"/>
        <v>0</v>
      </c>
      <c r="D193" s="9">
        <f t="shared" si="140"/>
        <v>0</v>
      </c>
      <c r="E193" s="9">
        <f t="shared" si="140"/>
        <v>0</v>
      </c>
      <c r="F193" s="9">
        <f t="shared" si="140"/>
        <v>0</v>
      </c>
      <c r="G193" s="9">
        <f t="shared" si="140"/>
        <v>0</v>
      </c>
      <c r="H193" s="9" t="str">
        <f t="shared" si="140"/>
        <v>Karma on charisma or willpower only actions</v>
      </c>
      <c r="I193" s="9"/>
      <c r="J193" s="62">
        <v>0</v>
      </c>
      <c r="K193" s="49" t="s">
        <v>4919</v>
      </c>
      <c r="M193" s="9"/>
      <c r="N193" s="9"/>
      <c r="O193" s="9"/>
      <c r="P193" s="9"/>
      <c r="Z193" s="90"/>
      <c r="CA193" s="10">
        <v>9</v>
      </c>
      <c r="CB193" s="9">
        <f t="shared" ref="CB193:CH193" si="141">IF($E$134&gt;=$A$193,CB1245,0)</f>
        <v>0</v>
      </c>
      <c r="CC193" s="9">
        <f t="shared" si="141"/>
        <v>0</v>
      </c>
      <c r="CD193" s="9">
        <f t="shared" si="141"/>
        <v>0</v>
      </c>
      <c r="CE193" s="9">
        <f t="shared" si="141"/>
        <v>0</v>
      </c>
      <c r="CF193" s="9">
        <f t="shared" si="141"/>
        <v>0</v>
      </c>
      <c r="CG193" s="9">
        <f t="shared" si="141"/>
        <v>0</v>
      </c>
      <c r="CH193" s="9">
        <f t="shared" si="141"/>
        <v>0</v>
      </c>
      <c r="CI193" s="9"/>
      <c r="CJ193" s="62">
        <v>0</v>
      </c>
      <c r="CK193" s="49" t="s">
        <v>4919</v>
      </c>
    </row>
    <row r="194" spans="1:90" s="89" customFormat="1">
      <c r="A194" s="10">
        <v>10</v>
      </c>
      <c r="B194" s="9">
        <f t="shared" ref="B194:H194" si="142">IF($E$134&gt;=$A$194,B1246,0)</f>
        <v>0</v>
      </c>
      <c r="C194" s="9">
        <f t="shared" si="142"/>
        <v>1</v>
      </c>
      <c r="D194" s="9">
        <f t="shared" si="142"/>
        <v>0</v>
      </c>
      <c r="E194" s="9">
        <f t="shared" si="142"/>
        <v>0</v>
      </c>
      <c r="F194" s="9">
        <f t="shared" si="142"/>
        <v>0</v>
      </c>
      <c r="G194" s="9">
        <f t="shared" si="142"/>
        <v>0</v>
      </c>
      <c r="H194" s="9" t="str">
        <f t="shared" si="142"/>
        <v>Karma on a recovery test</v>
      </c>
      <c r="I194" s="9"/>
      <c r="J194" s="51" t="s">
        <v>5698</v>
      </c>
      <c r="K194" s="52" t="e">
        <f>LOOKUP(J194,Q143:Q178,R143:R178)</f>
        <v>#N/A</v>
      </c>
      <c r="M194" s="9"/>
      <c r="N194" s="9"/>
      <c r="O194" s="9"/>
      <c r="P194" s="9"/>
      <c r="Z194" s="90"/>
      <c r="CA194" s="10">
        <v>10</v>
      </c>
      <c r="CB194" s="9">
        <f t="shared" ref="CB194:CH194" si="143">IF($E$134&gt;=$A$194,CB1246,0)</f>
        <v>0</v>
      </c>
      <c r="CC194" s="9">
        <f t="shared" si="143"/>
        <v>0</v>
      </c>
      <c r="CD194" s="9">
        <f t="shared" si="143"/>
        <v>0</v>
      </c>
      <c r="CE194" s="9">
        <f t="shared" si="143"/>
        <v>0</v>
      </c>
      <c r="CF194" s="9">
        <f t="shared" si="143"/>
        <v>0</v>
      </c>
      <c r="CG194" s="9">
        <f t="shared" si="143"/>
        <v>0</v>
      </c>
      <c r="CH194" s="9">
        <f t="shared" si="143"/>
        <v>0</v>
      </c>
      <c r="CI194" s="9"/>
      <c r="CJ194" s="51" t="s">
        <v>5698</v>
      </c>
      <c r="CK194" s="52" t="e">
        <f>LOOKUP(CJ194,CQ143:CQ178,CR143:CR178)</f>
        <v>#N/A</v>
      </c>
    </row>
    <row r="195" spans="1:90" s="89" customFormat="1">
      <c r="A195" s="10">
        <v>11</v>
      </c>
      <c r="B195" s="9">
        <f t="shared" ref="B195:H195" si="144">IF($E$134&gt;=$A$195,B1247,0)</f>
        <v>0</v>
      </c>
      <c r="C195" s="9">
        <f t="shared" si="144"/>
        <v>0</v>
      </c>
      <c r="D195" s="9">
        <f t="shared" si="144"/>
        <v>0</v>
      </c>
      <c r="E195" s="9">
        <f t="shared" si="144"/>
        <v>0</v>
      </c>
      <c r="F195" s="9">
        <f t="shared" si="144"/>
        <v>0</v>
      </c>
      <c r="G195" s="9">
        <f t="shared" si="144"/>
        <v>0</v>
      </c>
      <c r="H195" s="9">
        <f t="shared" si="144"/>
        <v>0</v>
      </c>
      <c r="I195" s="9"/>
      <c r="J195" s="51" t="s">
        <v>4922</v>
      </c>
      <c r="K195" s="52">
        <v>0</v>
      </c>
      <c r="M195" s="9"/>
      <c r="N195" s="9"/>
      <c r="O195" s="9"/>
      <c r="P195" s="9"/>
      <c r="Z195" s="90"/>
      <c r="CA195" s="10">
        <v>11</v>
      </c>
      <c r="CB195" s="9">
        <f t="shared" ref="CB195:CH195" si="145">IF($E$134&gt;=$A$195,CB1247,0)</f>
        <v>0</v>
      </c>
      <c r="CC195" s="9">
        <f t="shared" si="145"/>
        <v>0</v>
      </c>
      <c r="CD195" s="9">
        <f t="shared" si="145"/>
        <v>0</v>
      </c>
      <c r="CE195" s="9">
        <f t="shared" si="145"/>
        <v>0</v>
      </c>
      <c r="CF195" s="9">
        <f t="shared" si="145"/>
        <v>0</v>
      </c>
      <c r="CG195" s="9">
        <f t="shared" si="145"/>
        <v>0</v>
      </c>
      <c r="CH195" s="9">
        <f t="shared" si="145"/>
        <v>0</v>
      </c>
      <c r="CI195" s="9"/>
      <c r="CJ195" s="51" t="s">
        <v>4922</v>
      </c>
      <c r="CK195" s="52">
        <v>0</v>
      </c>
    </row>
    <row r="196" spans="1:90" s="89" customFormat="1">
      <c r="A196" s="10">
        <v>12</v>
      </c>
      <c r="B196" s="9">
        <f t="shared" ref="B196:H196" si="146">IF($E$134&gt;=$A$196,B1248,0)</f>
        <v>0</v>
      </c>
      <c r="C196" s="9">
        <f t="shared" si="146"/>
        <v>0</v>
      </c>
      <c r="D196" s="9">
        <f t="shared" si="146"/>
        <v>0</v>
      </c>
      <c r="E196" s="9">
        <f t="shared" si="146"/>
        <v>0</v>
      </c>
      <c r="F196" s="9">
        <f t="shared" si="146"/>
        <v>0</v>
      </c>
      <c r="G196" s="9">
        <f t="shared" si="146"/>
        <v>0</v>
      </c>
      <c r="H196" s="9">
        <f t="shared" si="146"/>
        <v>0</v>
      </c>
      <c r="I196" s="9"/>
      <c r="J196" s="52">
        <f>1</f>
        <v>1</v>
      </c>
      <c r="K196" s="9" t="s">
        <v>4923</v>
      </c>
      <c r="M196" s="9"/>
      <c r="N196" s="9"/>
      <c r="O196" s="9"/>
      <c r="P196" s="9"/>
      <c r="Z196" s="90"/>
      <c r="CA196" s="10">
        <v>12</v>
      </c>
      <c r="CB196" s="9">
        <f t="shared" ref="CB196:CH196" si="147">IF($E$134&gt;=$A$196,CB1248,0)</f>
        <v>0</v>
      </c>
      <c r="CC196" s="9">
        <f t="shared" si="147"/>
        <v>0</v>
      </c>
      <c r="CD196" s="9">
        <f t="shared" si="147"/>
        <v>0</v>
      </c>
      <c r="CE196" s="9">
        <f t="shared" si="147"/>
        <v>0</v>
      </c>
      <c r="CF196" s="9">
        <f t="shared" si="147"/>
        <v>0</v>
      </c>
      <c r="CG196" s="9">
        <f t="shared" si="147"/>
        <v>0</v>
      </c>
      <c r="CH196" s="9">
        <f t="shared" si="147"/>
        <v>0</v>
      </c>
      <c r="CI196" s="9"/>
      <c r="CJ196" s="52">
        <v>0</v>
      </c>
      <c r="CK196" s="9" t="s">
        <v>4923</v>
      </c>
    </row>
    <row r="197" spans="1:90" s="89" customFormat="1">
      <c r="A197" s="10">
        <v>13</v>
      </c>
      <c r="B197" s="9">
        <f t="shared" ref="B197:H197" si="148">IF($E$134&gt;=$A$197,B1249,0)</f>
        <v>0</v>
      </c>
      <c r="C197" s="9">
        <f t="shared" si="148"/>
        <v>0</v>
      </c>
      <c r="D197" s="9">
        <f t="shared" si="148"/>
        <v>0</v>
      </c>
      <c r="E197" s="9">
        <f t="shared" si="148"/>
        <v>0</v>
      </c>
      <c r="F197" s="9">
        <f t="shared" si="148"/>
        <v>0</v>
      </c>
      <c r="G197" s="9">
        <f t="shared" si="148"/>
        <v>0</v>
      </c>
      <c r="H197" s="9">
        <f t="shared" si="148"/>
        <v>0</v>
      </c>
      <c r="I197" s="9"/>
      <c r="J197" s="52">
        <v>0</v>
      </c>
      <c r="K197" s="49" t="s">
        <v>5102</v>
      </c>
      <c r="M197" s="9"/>
      <c r="N197" s="9"/>
      <c r="O197" s="9"/>
      <c r="P197" s="9"/>
      <c r="CA197" s="10">
        <v>13</v>
      </c>
      <c r="CB197" s="9">
        <f t="shared" ref="CB197:CH197" si="149">IF($E$134&gt;=$A$197,CB1249,0)</f>
        <v>0</v>
      </c>
      <c r="CC197" s="9">
        <f t="shared" si="149"/>
        <v>0</v>
      </c>
      <c r="CD197" s="9">
        <f t="shared" si="149"/>
        <v>0</v>
      </c>
      <c r="CE197" s="9">
        <f t="shared" si="149"/>
        <v>0</v>
      </c>
      <c r="CF197" s="9">
        <f t="shared" si="149"/>
        <v>0</v>
      </c>
      <c r="CG197" s="9">
        <f t="shared" si="149"/>
        <v>0</v>
      </c>
      <c r="CH197" s="9">
        <f t="shared" si="149"/>
        <v>0</v>
      </c>
      <c r="CI197" s="9"/>
      <c r="CJ197" s="52">
        <v>0</v>
      </c>
      <c r="CK197" s="49" t="s">
        <v>5102</v>
      </c>
    </row>
    <row r="198" spans="1:90" s="89" customFormat="1">
      <c r="A198" s="10">
        <v>14</v>
      </c>
      <c r="B198" s="9">
        <f t="shared" ref="B198:H198" si="150">IF($E$134&gt;=$A$198,B1250,0)</f>
        <v>0</v>
      </c>
      <c r="C198" s="9">
        <f t="shared" si="150"/>
        <v>0</v>
      </c>
      <c r="D198" s="9">
        <f t="shared" si="150"/>
        <v>0</v>
      </c>
      <c r="E198" s="9">
        <f t="shared" si="150"/>
        <v>0</v>
      </c>
      <c r="F198" s="9">
        <f t="shared" si="150"/>
        <v>0</v>
      </c>
      <c r="G198" s="9">
        <f t="shared" si="150"/>
        <v>0</v>
      </c>
      <c r="H198" s="9">
        <f t="shared" si="150"/>
        <v>0</v>
      </c>
      <c r="I198" s="9"/>
      <c r="J198" s="52">
        <f>IF($E$134&gt;6,1,0)</f>
        <v>1</v>
      </c>
      <c r="K198" s="9" t="s">
        <v>5099</v>
      </c>
      <c r="M198" s="9"/>
      <c r="N198" s="9"/>
      <c r="O198" s="9"/>
      <c r="P198" s="9"/>
      <c r="Z198" s="53"/>
      <c r="AA198" s="1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CA198" s="10">
        <v>14</v>
      </c>
      <c r="CB198" s="9">
        <f t="shared" ref="CB198:CH198" si="151">IF($E$134&gt;=$A$198,CB1250,0)</f>
        <v>0</v>
      </c>
      <c r="CC198" s="9">
        <f t="shared" si="151"/>
        <v>0</v>
      </c>
      <c r="CD198" s="9">
        <f t="shared" si="151"/>
        <v>0</v>
      </c>
      <c r="CE198" s="9">
        <f t="shared" si="151"/>
        <v>0</v>
      </c>
      <c r="CF198" s="9">
        <f t="shared" si="151"/>
        <v>0</v>
      </c>
      <c r="CG198" s="9">
        <f t="shared" si="151"/>
        <v>0</v>
      </c>
      <c r="CH198" s="9">
        <f t="shared" si="151"/>
        <v>0</v>
      </c>
      <c r="CI198" s="9"/>
      <c r="CJ198" s="52">
        <v>0</v>
      </c>
      <c r="CK198" s="9" t="s">
        <v>5099</v>
      </c>
    </row>
    <row r="199" spans="1:90" s="89" customFormat="1">
      <c r="A199" s="10">
        <v>15</v>
      </c>
      <c r="B199" s="9">
        <f t="shared" ref="B199:H199" si="152">IF($E$134&gt;=$A$199,B1251,0)</f>
        <v>0</v>
      </c>
      <c r="C199" s="9">
        <f t="shared" si="152"/>
        <v>0</v>
      </c>
      <c r="D199" s="9">
        <f t="shared" si="152"/>
        <v>0</v>
      </c>
      <c r="E199" s="9">
        <f t="shared" si="152"/>
        <v>0</v>
      </c>
      <c r="F199" s="9">
        <f t="shared" si="152"/>
        <v>0</v>
      </c>
      <c r="G199" s="9">
        <f t="shared" si="152"/>
        <v>0</v>
      </c>
      <c r="H199" s="9">
        <f t="shared" si="152"/>
        <v>0</v>
      </c>
      <c r="I199" s="9"/>
      <c r="J199" s="52">
        <f>IF($E$134&gt;13,$F$54+$G$60+$G$61+$B$132,$F$6+$G$60+$G$61+$B$132)</f>
        <v>8</v>
      </c>
      <c r="K199" s="49" t="s">
        <v>5717</v>
      </c>
      <c r="M199" s="9"/>
      <c r="N199" s="9"/>
      <c r="O199" s="9"/>
      <c r="P199" s="9"/>
      <c r="Z199" s="90"/>
      <c r="CA199" s="10">
        <v>15</v>
      </c>
      <c r="CB199" s="9">
        <f t="shared" ref="CB199:CH199" si="153">IF($E$134&gt;=$A$199,CB1251,0)</f>
        <v>0</v>
      </c>
      <c r="CC199" s="9">
        <f t="shared" si="153"/>
        <v>0</v>
      </c>
      <c r="CD199" s="9">
        <f t="shared" si="153"/>
        <v>0</v>
      </c>
      <c r="CE199" s="9">
        <f t="shared" si="153"/>
        <v>0</v>
      </c>
      <c r="CF199" s="9">
        <f t="shared" si="153"/>
        <v>0</v>
      </c>
      <c r="CG199" s="9">
        <f t="shared" si="153"/>
        <v>0</v>
      </c>
      <c r="CH199" s="9">
        <f t="shared" si="153"/>
        <v>0</v>
      </c>
      <c r="CI199" s="9"/>
      <c r="CJ199" s="52">
        <f>CF6+CG60+CG61+CB132</f>
        <v>1</v>
      </c>
      <c r="CK199" s="49" t="s">
        <v>5717</v>
      </c>
    </row>
    <row r="200" spans="1:90" s="89" customFormat="1" ht="14" thickBot="1">
      <c r="A200" s="10" t="s">
        <v>5347</v>
      </c>
      <c r="B200" s="9">
        <f t="shared" ref="B200:G200" si="154">SUM(B188:B199)</f>
        <v>0</v>
      </c>
      <c r="C200" s="9">
        <f t="shared" si="154"/>
        <v>1</v>
      </c>
      <c r="D200" s="9">
        <f t="shared" si="154"/>
        <v>1</v>
      </c>
      <c r="E200" s="9">
        <f t="shared" si="154"/>
        <v>1</v>
      </c>
      <c r="F200" s="9">
        <f t="shared" si="154"/>
        <v>1</v>
      </c>
      <c r="G200" s="9">
        <f t="shared" si="154"/>
        <v>0</v>
      </c>
      <c r="H200" s="9"/>
      <c r="I200" s="9"/>
      <c r="J200" s="9"/>
      <c r="K200" s="9"/>
      <c r="M200" s="9"/>
      <c r="N200" s="9"/>
      <c r="O200" s="9"/>
      <c r="P200" s="9"/>
      <c r="Z200" s="90"/>
      <c r="CA200" s="10" t="s">
        <v>5347</v>
      </c>
      <c r="CB200" s="9">
        <f t="shared" ref="CB200:CG200" si="155">SUM(CB188:CB199)</f>
        <v>0</v>
      </c>
      <c r="CC200" s="9">
        <f t="shared" si="155"/>
        <v>0</v>
      </c>
      <c r="CD200" s="9">
        <f t="shared" si="155"/>
        <v>0</v>
      </c>
      <c r="CE200" s="9">
        <f t="shared" si="155"/>
        <v>0</v>
      </c>
      <c r="CF200" s="9">
        <f t="shared" si="155"/>
        <v>0</v>
      </c>
      <c r="CG200" s="9">
        <f t="shared" si="155"/>
        <v>0</v>
      </c>
      <c r="CH200" s="9"/>
      <c r="CI200" s="9"/>
      <c r="CJ200" s="9"/>
      <c r="CK200" s="9"/>
    </row>
    <row r="201" spans="1:90">
      <c r="A201" s="152" t="s">
        <v>5103</v>
      </c>
      <c r="B201" s="153" t="s">
        <v>5104</v>
      </c>
      <c r="C201" s="153" t="s">
        <v>5105</v>
      </c>
      <c r="D201" s="153" t="s">
        <v>5109</v>
      </c>
      <c r="E201" s="153" t="s">
        <v>4754</v>
      </c>
      <c r="F201" s="153" t="s">
        <v>5110</v>
      </c>
      <c r="G201" s="153" t="s">
        <v>5111</v>
      </c>
      <c r="H201" s="153" t="s">
        <v>5112</v>
      </c>
      <c r="I201" s="153" t="s">
        <v>5299</v>
      </c>
      <c r="J201" s="161" t="s">
        <v>5113</v>
      </c>
      <c r="K201" s="162"/>
      <c r="Z201" s="54"/>
      <c r="BW201" s="89"/>
      <c r="BX201" s="89"/>
      <c r="BY201" s="89"/>
      <c r="BZ201" s="89"/>
      <c r="CA201" s="152" t="s">
        <v>5103</v>
      </c>
      <c r="CB201" s="153" t="s">
        <v>5104</v>
      </c>
      <c r="CC201" s="153" t="s">
        <v>5105</v>
      </c>
      <c r="CD201" s="153" t="s">
        <v>5109</v>
      </c>
      <c r="CE201" s="153" t="s">
        <v>4754</v>
      </c>
      <c r="CF201" s="153" t="s">
        <v>5110</v>
      </c>
      <c r="CG201" s="153" t="s">
        <v>5111</v>
      </c>
      <c r="CH201" s="153" t="s">
        <v>5112</v>
      </c>
      <c r="CI201" s="153" t="s">
        <v>5299</v>
      </c>
      <c r="CJ201" s="161" t="s">
        <v>5113</v>
      </c>
      <c r="CK201" s="162"/>
    </row>
    <row r="202" spans="1:90" s="89" customFormat="1">
      <c r="A202" s="141" t="s">
        <v>5114</v>
      </c>
      <c r="B202" s="23">
        <v>6</v>
      </c>
      <c r="C202" s="23">
        <f>IF($A$202=0," ",LOOKUP($A$202,'Magic Armor'!$A$2:$A$28,'Magic Armor'!$E$2:$E$28))</f>
        <v>6</v>
      </c>
      <c r="D202" s="23" t="str">
        <f>IF(A202=0," ",IF(B202&gt;=C202,"MAX",IF(M202=1,LOOKUP((B202+1),$AQ$23:$AQ$38,$AS$23:$AS$38),IF(M202=2,LOOKUP(($B$202+1),$AQ$23:$AQ$38,$AU$23:$AU$38),IF(M202=3,LOOKUP((B202+1),$AQ$23:$AQ$38,$AW$23:$AW$38),IF(M202=4,LOOKUP(($B$202+1),$AQ$23:$AQ$38,$AY$23:$AY$38),0))))))</f>
        <v>MAX</v>
      </c>
      <c r="E202" s="23">
        <f>IF($A$202=0," ",LOOKUP($A$202,'Magic Armor'!$A$2:$A$28,'Magic Armor'!$F$2:$F$28))</f>
        <v>13</v>
      </c>
      <c r="F202" s="23" t="str">
        <f>IF($A$202=0," ",LOOKUP($A$202,'Magic Armor'!$A$2:$A$28,'Magic Armor'!$B$2:$B$28))</f>
        <v>GM 40</v>
      </c>
      <c r="G202" s="219">
        <f>IF($A$202=0," ",LOOKUP($A$202,'Magic Armor'!$A$2:$A$28,'Magic Armor'!$BO$2:$BO$28))</f>
        <v>10</v>
      </c>
      <c r="H202" s="23">
        <f>IF($A$202=0," ",LOOKUP($A$202,'Magic Armor'!$A$2:$A$28,'Magic Armor'!$BP$2:$BP$28))</f>
        <v>3</v>
      </c>
      <c r="I202" s="23">
        <f>IF($A$202=0," ",LOOKUP($A$202,'Magic Armor'!$A$2:$A$28,'Magic Armor'!$BQ2:$BQ$28))</f>
        <v>1</v>
      </c>
      <c r="J202" s="30" t="str">
        <f>IF($A$202=0," ",LOOKUP($A$202,'Magic Armor'!$A$2:$A$28,'Magic Armor'!$BR$2:$BR$28))</f>
        <v>Extraordinary hit to defeat armor</v>
      </c>
      <c r="K202" s="142"/>
      <c r="L202" s="89">
        <f>IF(A202=0," ",IF(M202=1,LOOKUP((B202),$AQ$23:$AQ$38,$AS$23:$AS$38),IF(M202=2,LOOKUP((B202),$AQ$23:$AQ$38,$AU$23:$AU$38),IF(M202=3,LOOKUP((B202),$AQ$23:$AQ$38,$AW$23:$AW$38),IF(M202=4,LOOKUP((B202),$AQ$23:$AQ$38,$AY$23:$AY$38),0)))))</f>
        <v>5200</v>
      </c>
      <c r="M202" s="9">
        <f>IF(A202=0,0,LOOKUP(A202,'Magic Armor'!$A$2:$A$28,'Magic Armor'!$D$2:$D$28))</f>
        <v>2</v>
      </c>
      <c r="N202" s="9"/>
      <c r="O202" s="9"/>
      <c r="P202" s="9"/>
      <c r="U202" s="9"/>
      <c r="V202" s="9"/>
      <c r="W202" s="9"/>
      <c r="X202" s="9"/>
      <c r="Y202" s="9"/>
      <c r="Z202" s="54"/>
      <c r="AA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CA202" s="141"/>
      <c r="CB202" s="23"/>
      <c r="CC202" s="23">
        <f>IF($A$202=0," ",LOOKUP($A$202,'Magic Armor'!$A$2:$A$28,'Magic Armor'!$E$2:$E$28))</f>
        <v>6</v>
      </c>
      <c r="CD202" s="23" t="str">
        <f>IF(CA202=0," ",IF(CB202&gt;=CC202,"MAX",IF(CM202=1,LOOKUP((CB202+1),$AQ$23:$AQ$38,$AS$23:$AS$38),IF(CM202=2,LOOKUP(($B$202+1),$AQ$23:$AQ$38,$AU$23:$AU$38),IF(CM202=3,LOOKUP((CB202+1),$AQ$23:$AQ$38,$AW$23:$AW$38),IF(CM202=4,LOOKUP(($B$202+1),$AQ$23:$AQ$38,$AY$23:$AY$38),0))))))</f>
        <v xml:space="preserve"> </v>
      </c>
      <c r="CE202" s="23">
        <f>IF($A$202=0," ",LOOKUP($A$202,'Magic Armor'!$A$2:$A$28,'Magic Armor'!$F$2:$F$28))</f>
        <v>13</v>
      </c>
      <c r="CF202" s="23" t="str">
        <f>IF($A$202=0," ",LOOKUP($A$202,'Magic Armor'!$A$2:$A$28,'Magic Armor'!$B$2:$B$28))</f>
        <v>GM 40</v>
      </c>
      <c r="CG202" s="219">
        <f>IF($A$202=0," ",LOOKUP($A$202,'Magic Armor'!$A$2:$A$28,'Magic Armor'!$BO$2:$BO$28))</f>
        <v>10</v>
      </c>
      <c r="CH202" s="23">
        <f>IF($A$202=0," ",LOOKUP($A$202,'Magic Armor'!$A$2:$A$28,'Magic Armor'!$BP$2:$BP$28))</f>
        <v>3</v>
      </c>
      <c r="CI202" s="23">
        <f>IF($A$202=0," ",LOOKUP($A$202,'Magic Armor'!$A$2:$A$28,'Magic Armor'!$BQ2:$BQ$28))</f>
        <v>1</v>
      </c>
      <c r="CJ202" s="30" t="str">
        <f>IF($A$202=0," ",LOOKUP($A$202,'Magic Armor'!$A$2:$A$28,'Magic Armor'!$BR$2:$BR$28))</f>
        <v>Extraordinary hit to defeat armor</v>
      </c>
      <c r="CK202" s="142"/>
      <c r="CL202" s="89" t="str">
        <f>IF(CA202=0," ",IF(CM202=1,LOOKUP((CB202),$AQ$23:$AQ$38,$AS$23:$AS$38),IF(CM202=2,LOOKUP((CB202),$AQ$23:$AQ$38,$AU$23:$AU$38),IF(CM202=3,LOOKUP((CB202),$AQ$23:$AQ$38,$AW$23:$AW$38),IF(CM202=4,LOOKUP((CB202),$AQ$23:$AQ$38,$AY$23:$AY$38),0)))))</f>
        <v xml:space="preserve"> </v>
      </c>
    </row>
    <row r="203" spans="1:90">
      <c r="A203" s="138" t="s">
        <v>5115</v>
      </c>
      <c r="B203" s="57" t="s">
        <v>5104</v>
      </c>
      <c r="C203" s="18" t="s">
        <v>5105</v>
      </c>
      <c r="D203" s="18" t="s">
        <v>5109</v>
      </c>
      <c r="E203" s="18" t="s">
        <v>4754</v>
      </c>
      <c r="F203" s="18" t="s">
        <v>5110</v>
      </c>
      <c r="G203" s="18" t="s">
        <v>5111</v>
      </c>
      <c r="H203" s="18" t="s">
        <v>5112</v>
      </c>
      <c r="I203" s="18" t="s">
        <v>5299</v>
      </c>
      <c r="J203" s="58" t="s">
        <v>5113</v>
      </c>
      <c r="K203" s="145"/>
      <c r="Z203" s="54"/>
      <c r="BW203" s="89"/>
      <c r="BX203" s="89"/>
      <c r="BY203" s="89"/>
      <c r="BZ203" s="89"/>
      <c r="CA203" s="138" t="s">
        <v>5115</v>
      </c>
      <c r="CB203" s="57" t="s">
        <v>5104</v>
      </c>
      <c r="CC203" s="18" t="s">
        <v>5105</v>
      </c>
      <c r="CD203" s="18" t="s">
        <v>5109</v>
      </c>
      <c r="CE203" s="18" t="s">
        <v>4754</v>
      </c>
      <c r="CF203" s="18" t="s">
        <v>5110</v>
      </c>
      <c r="CG203" s="18" t="s">
        <v>5111</v>
      </c>
      <c r="CH203" s="18" t="s">
        <v>5112</v>
      </c>
      <c r="CI203" s="18" t="s">
        <v>5299</v>
      </c>
      <c r="CJ203" s="58" t="s">
        <v>5113</v>
      </c>
      <c r="CK203" s="145"/>
    </row>
    <row r="204" spans="1:90" s="89" customFormat="1">
      <c r="A204" s="141"/>
      <c r="B204" s="23"/>
      <c r="C204" s="23" t="str">
        <f>IF($A$204=0," ",LOOKUP($A$204,'Magic Armor'!$BT$2:$BT$18,'Magic Armor'!$BX$2:$BX$18))</f>
        <v xml:space="preserve"> </v>
      </c>
      <c r="D204" s="23" t="str">
        <f>IF(A204=0," ",IF(B204&gt;=C204,"MAX",IF(M204=1,LOOKUP((B204+1),$AQ$23:$AQ$38,$AS$23:$AS$38),IF(M204=2,LOOKUP(($B$202+1),$AQ$23:$AQ$38,$AU$23:$AU$38),IF(M204=3,LOOKUP((B204+1),$AQ$23:$AQ$38,$AW$23:$AW$38),IF(M204=4,LOOKUP(($B$202+1),$AQ$23:$AQ$38,$AY$23:$AY$38),0))))))</f>
        <v xml:space="preserve"> </v>
      </c>
      <c r="E204" s="23" t="str">
        <f>IF($A$204=0," ",LOOKUP($A$204,'Magic Armor'!$BT$2:$BT$18,'Magic Armor'!$BY$2:$BY$18))</f>
        <v xml:space="preserve"> </v>
      </c>
      <c r="F204" s="23" t="str">
        <f>IF($A$204=0," ",LOOKUP($A$204,'Magic Armor'!$BT$2:$BT$18,'Magic Armor'!$BU$2:$BU$18))</f>
        <v xml:space="preserve"> </v>
      </c>
      <c r="G204" s="23" t="str">
        <f>IF($A$204=0," ",LOOKUP($A$204,'Magic Armor'!$BT$2:$BT$18,'Magic Armor'!$EH$2:$EH$18))</f>
        <v xml:space="preserve"> </v>
      </c>
      <c r="H204" s="23" t="str">
        <f>IF($A$204=0," ",LOOKUP($A$204,'Magic Armor'!$BT$2:$BT$18,'Magic Armor'!$EI$2:$EI$18))</f>
        <v xml:space="preserve"> </v>
      </c>
      <c r="I204" s="23" t="str">
        <f>IF($A$204=0," ",LOOKUP($A$204,'Magic Armor'!$BT$2:$BT$18,'Magic Armor'!$EJ$2:$EJ$18))</f>
        <v xml:space="preserve"> </v>
      </c>
      <c r="J204" s="30" t="str">
        <f>IF($A$204=0," ",LOOKUP($A$204,'Magic Armor'!$BT$2:$BT$18,'Magic Armor'!$EK$2:$EK$18))</f>
        <v xml:space="preserve"> </v>
      </c>
      <c r="K204" s="155"/>
      <c r="L204" s="89" t="str">
        <f>IF(A204=0," ",IF(M204=1,LOOKUP((B204),$AQ$23:$AQ$38,$AS$23:$AS$38),IF(M204=2,LOOKUP((B204),$AQ$23:$AQ$38,$AU$23:$AU$38),IF(M204=3,LOOKUP((B204),$AQ$23:$AQ$38,$AW$23:$AW$38),IF(M204=4,LOOKUP((B204),$AQ$23:$AQ$38,$AY$23:$AY$38),0)))))</f>
        <v xml:space="preserve"> </v>
      </c>
      <c r="M204" s="9">
        <f>IF(A204=0,0,LOOKUP(A204,'Magic Armor'!$BT$2:$BT$18,'Magic Armor'!$BW$2:$BW$18))</f>
        <v>0</v>
      </c>
      <c r="N204" s="9"/>
      <c r="O204" s="9"/>
      <c r="P204" s="9"/>
      <c r="U204" s="9"/>
      <c r="V204" s="9"/>
      <c r="W204" s="9"/>
      <c r="X204" s="9"/>
      <c r="Y204" s="9"/>
      <c r="Z204" s="93"/>
      <c r="AA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CA204" s="141"/>
      <c r="CB204" s="23"/>
      <c r="CC204" s="23" t="str">
        <f>IF($A$204=0," ",LOOKUP($A$204,'Magic Armor'!$BT$2:$BT$18,'Magic Armor'!$BX$2:$BX$18))</f>
        <v xml:space="preserve"> </v>
      </c>
      <c r="CD204" s="23" t="str">
        <f>IF(CA204=0," ",IF(CB204&gt;=CC204,"MAX",IF(CM204=1,LOOKUP((CB204+1),$AQ$23:$AQ$38,$AS$23:$AS$38),IF(CM204=2,LOOKUP(($B$202+1),$AQ$23:$AQ$38,$AU$23:$AU$38),IF(CM204=3,LOOKUP((CB204+1),$AQ$23:$AQ$38,$AW$23:$AW$38),IF(CM204=4,LOOKUP(($B$202+1),$AQ$23:$AQ$38,$AY$23:$AY$38),0))))))</f>
        <v xml:space="preserve"> </v>
      </c>
      <c r="CE204" s="23" t="str">
        <f>IF($A$204=0," ",LOOKUP($A$204,'Magic Armor'!$BT$2:$BT$18,'Magic Armor'!$BY$2:$BY$18))</f>
        <v xml:space="preserve"> </v>
      </c>
      <c r="CF204" s="23" t="str">
        <f>IF($A$204=0," ",LOOKUP($A$204,'Magic Armor'!$BT$2:$BT$18,'Magic Armor'!$BU$2:$BU$18))</f>
        <v xml:space="preserve"> </v>
      </c>
      <c r="CG204" s="23" t="str">
        <f>IF($A$204=0," ",LOOKUP($A$204,'Magic Armor'!$BT$2:$BT$18,'Magic Armor'!$EH$2:$EH$18))</f>
        <v xml:space="preserve"> </v>
      </c>
      <c r="CH204" s="23" t="str">
        <f>IF($A$204=0," ",LOOKUP($A$204,'Magic Armor'!$BT$2:$BT$18,'Magic Armor'!$EI$2:$EI$18))</f>
        <v xml:space="preserve"> </v>
      </c>
      <c r="CI204" s="23" t="str">
        <f>IF($A$204=0," ",LOOKUP($A$204,'Magic Armor'!$BT$2:$BT$18,'Magic Armor'!$EJ$2:$EJ$18))</f>
        <v xml:space="preserve"> </v>
      </c>
      <c r="CJ204" s="30" t="str">
        <f>IF($A$204=0," ",LOOKUP($A$204,'Magic Armor'!$BT$2:$BT$18,'Magic Armor'!$EK$2:$EK$18))</f>
        <v xml:space="preserve"> </v>
      </c>
      <c r="CK204" s="155"/>
      <c r="CL204" s="89" t="str">
        <f>IF(CA204=0," ",IF(CM204=1,LOOKUP((CB204),$AQ$23:$AQ$38,$AS$23:$AS$38),IF(CM204=2,LOOKUP((CB204),$AQ$23:$AQ$38,$AU$23:$AU$38),IF(CM204=3,LOOKUP((CB204),$AQ$23:$AQ$38,$AW$23:$AW$38),IF(CM204=4,LOOKUP((CB204),$AQ$23:$AQ$38,$AY$23:$AY$38),0)))))</f>
        <v xml:space="preserve"> </v>
      </c>
    </row>
    <row r="205" spans="1:90">
      <c r="A205" s="138" t="s">
        <v>5116</v>
      </c>
      <c r="B205" s="18"/>
      <c r="C205" s="18" t="s">
        <v>5104</v>
      </c>
      <c r="D205" s="18" t="s">
        <v>5105</v>
      </c>
      <c r="E205" s="18" t="s">
        <v>5109</v>
      </c>
      <c r="F205" s="18" t="s">
        <v>4754</v>
      </c>
      <c r="G205" s="18" t="s">
        <v>5110</v>
      </c>
      <c r="H205" s="18" t="s">
        <v>5117</v>
      </c>
      <c r="I205" s="18" t="s">
        <v>5118</v>
      </c>
      <c r="J205" s="58" t="s">
        <v>5113</v>
      </c>
      <c r="K205" s="145"/>
      <c r="BW205" s="89"/>
      <c r="BX205" s="89"/>
      <c r="BY205" s="89"/>
      <c r="BZ205" s="89"/>
      <c r="CA205" s="138" t="s">
        <v>5116</v>
      </c>
      <c r="CB205" s="18"/>
      <c r="CC205" s="18" t="s">
        <v>5104</v>
      </c>
      <c r="CD205" s="18" t="s">
        <v>5105</v>
      </c>
      <c r="CE205" s="18" t="s">
        <v>5109</v>
      </c>
      <c r="CF205" s="18" t="s">
        <v>4754</v>
      </c>
      <c r="CG205" s="18" t="s">
        <v>5110</v>
      </c>
      <c r="CH205" s="18" t="s">
        <v>5117</v>
      </c>
      <c r="CI205" s="18" t="s">
        <v>5118</v>
      </c>
      <c r="CJ205" s="58" t="s">
        <v>5113</v>
      </c>
      <c r="CK205" s="145"/>
    </row>
    <row r="206" spans="1:90" s="89" customFormat="1">
      <c r="A206" s="126"/>
      <c r="B206" s="14"/>
      <c r="C206" s="14"/>
      <c r="D206" s="14" t="str">
        <f>IF($A$206=0," ",LOOKUP($A$206,'Magic Weapons'!$A$2:$A$102,'Magic Weapons'!$E$2:$E$102))</f>
        <v xml:space="preserve"> </v>
      </c>
      <c r="E206" s="14" t="str">
        <f>IF(A206=0," ",IF(C206&gt;=D206,"MAX",IF(M206=1,LOOKUP((C206+1),$AQ$23:$AQ$38,$AS$23:$AS$38),IF(M206=2,LOOKUP(($B$202+1),$AQ$23:$AQ$38,$AU$23:$AU$38),IF(M206=3,LOOKUP((C206+1),$AQ$23:$AQ$38,$AW$23:$AW$38),IF(M206=4,LOOKUP(($B$202+1),$AQ$23:$AQ$38,$AY$23:$AY$38),0))))))</f>
        <v xml:space="preserve"> </v>
      </c>
      <c r="F206" s="14" t="str">
        <f>IF($A$206=0," ",LOOKUP($A$206,'Magic Weapons'!$A$2:$A$102,'Magic Weapons'!$F$2:$F$102))</f>
        <v xml:space="preserve"> </v>
      </c>
      <c r="G206" s="14" t="str">
        <f>IF($A$206=0," ",LOOKUP($A$206,'Magic Weapons'!$A$2:$A$102,'Magic Weapons'!$B$2:$B$102))</f>
        <v xml:space="preserve"> </v>
      </c>
      <c r="H206" s="14" t="str">
        <f>IF($A$206=0," ",LOOKUP($A$206,'Magic Weapons'!$A$2:$A$102,'Magic Weapons'!$AZ$2:$AZ$102))</f>
        <v xml:space="preserve"> </v>
      </c>
      <c r="I206" s="14" t="str">
        <f>IF($A$206=0," ",LOOKUP($A$206,'Magic Weapons'!$A$2:$A$102,'Magic Weapons'!$BA$2:$BA$102))</f>
        <v xml:space="preserve"> </v>
      </c>
      <c r="J206" s="44" t="str">
        <f>IF($A$206=0," ",LOOKUP($A$206,'Magic Weapons'!$A$2:$A$102,'Magic Weapons'!$BB$2:$BB$102))</f>
        <v xml:space="preserve"> </v>
      </c>
      <c r="K206" s="135"/>
      <c r="L206" s="89" t="str">
        <f>IF(A206=0," ",IF(M206=1,LOOKUP((C206),$AQ$23:$AQ$38,$AS$23:$AS$38),IF(M206=2,LOOKUP((C206),$AQ$23:$AQ$38,$AU$23:$AU$38),IF(M206=3,LOOKUP((C206),$AQ$23:$AQ$38,$AW$23:$AW$38),IF(M206=4,LOOKUP((C206),$AQ$23:$AQ$38,$AY$23:$AY$38),0)))))</f>
        <v xml:space="preserve"> </v>
      </c>
      <c r="M206" s="9">
        <f>IF(A206=0,0,LOOKUP(A206,'Magic Weapons'!$A$2:$A$102,'Magic Weapons'!$D$2:$D$102))</f>
        <v>0</v>
      </c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3"/>
      <c r="AA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CA206" s="126"/>
      <c r="CB206" s="14"/>
      <c r="CC206" s="14"/>
      <c r="CD206" s="14" t="str">
        <f>IF($A$206=0," ",LOOKUP($A$206,'Magic Weapons'!$A$2:$A$102,'Magic Weapons'!$E$2:$E$102))</f>
        <v xml:space="preserve"> </v>
      </c>
      <c r="CE206" s="14" t="str">
        <f>IF(CA206=0," ",IF(CC206&gt;=CD206,"MAX",IF(CM206=1,LOOKUP((CC206+1),$AQ$23:$AQ$38,$AS$23:$AS$38),IF(CM206=2,LOOKUP(($B$202+1),$AQ$23:$AQ$38,$AU$23:$AU$38),IF(CM206=3,LOOKUP((CC206+1),$AQ$23:$AQ$38,$AW$23:$AW$38),IF(CM206=4,LOOKUP(($B$202+1),$AQ$23:$AQ$38,$AY$23:$AY$38),0))))))</f>
        <v xml:space="preserve"> </v>
      </c>
      <c r="CF206" s="14" t="str">
        <f>IF($A$206=0," ",LOOKUP($A$206,'Magic Weapons'!$A$2:$A$102,'Magic Weapons'!$F$2:$F$102))</f>
        <v xml:space="preserve"> </v>
      </c>
      <c r="CG206" s="14" t="str">
        <f>IF($A$206=0," ",LOOKUP($A$206,'Magic Weapons'!$A$2:$A$102,'Magic Weapons'!$B$2:$B$102))</f>
        <v xml:space="preserve"> </v>
      </c>
      <c r="CH206" s="14" t="str">
        <f>IF($A$206=0," ",LOOKUP($A$206,'Magic Weapons'!$A$2:$A$102,'Magic Weapons'!$AZ$2:$AZ$102))</f>
        <v xml:space="preserve"> </v>
      </c>
      <c r="CI206" s="14" t="str">
        <f>IF($A$206=0," ",LOOKUP($A$206,'Magic Weapons'!$A$2:$A$102,'Magic Weapons'!$BA$2:$BA$102))</f>
        <v xml:space="preserve"> </v>
      </c>
      <c r="CJ206" s="44" t="str">
        <f>IF($A$206=0," ",LOOKUP($A$206,'Magic Weapons'!$A$2:$A$102,'Magic Weapons'!$BB$2:$BB$102))</f>
        <v xml:space="preserve"> </v>
      </c>
      <c r="CK206" s="135"/>
      <c r="CL206" s="89" t="str">
        <f>IF(CA206=0," ",IF(CM206=1,LOOKUP((CC206),$AQ$23:$AQ$38,$AS$23:$AS$38),IF(CM206=2,LOOKUP((CC206),$AQ$23:$AQ$38,$AU$23:$AU$38),IF(CM206=3,LOOKUP((CC206),$AQ$23:$AQ$38,$AW$23:$AW$38),IF(CM206=4,LOOKUP((CC206),$AQ$23:$AQ$38,$AY$23:$AY$38),0)))))</f>
        <v xml:space="preserve"> </v>
      </c>
    </row>
    <row r="207" spans="1:90" s="89" customFormat="1">
      <c r="A207" s="141"/>
      <c r="B207" s="23"/>
      <c r="C207" s="23"/>
      <c r="D207" s="23" t="str">
        <f>IF($A$207=0," ",LOOKUP($A$207,'Magic Weapons'!$A$2:$A$102,'Magic Weapons'!$E$2:$E$102))</f>
        <v xml:space="preserve"> </v>
      </c>
      <c r="E207" s="23" t="str">
        <f>IF(A207=0," ",IF(C207&gt;=D207,"MAX",IF(M207=1,LOOKUP((C207+1),$AQ$23:$AQ$38,$AS$23:$AS$38),IF(M207=2,LOOKUP(($B$202+1),$AQ$23:$AQ$38,$AU$23:$AU$38),IF(M207=3,LOOKUP((C207+1),$AQ$23:$AQ$38,$AW$23:$AW$38),IF(M207=4,LOOKUP(($B$202+1),$AQ$23:$AQ$38,$AY$23:$AY$38),0))))))</f>
        <v xml:space="preserve"> </v>
      </c>
      <c r="F207" s="23" t="str">
        <f>IF($A$207=0," ",LOOKUP($A$207,'Magic Weapons'!$A$2:$A$102,'Magic Weapons'!$F$2:$F$102))</f>
        <v xml:space="preserve"> </v>
      </c>
      <c r="G207" s="23" t="str">
        <f>IF($A$207=0," ",LOOKUP($A$207,'Magic Weapons'!$A$2:$A$102,'Magic Weapons'!$B$2:$B$102))</f>
        <v xml:space="preserve"> </v>
      </c>
      <c r="H207" s="23" t="str">
        <f>IF($A$207=0," ",LOOKUP($A$207,'Magic Weapons'!$A$2:$A$102,'Magic Weapons'!$BC$2:$BC$102))</f>
        <v xml:space="preserve"> </v>
      </c>
      <c r="I207" s="23" t="str">
        <f>IF($A$207=0," ",LOOKUP($A$207,'Magic Weapons'!$A$2:$A$102,'Magic Weapons'!$BD$2:$BD$102))</f>
        <v xml:space="preserve"> </v>
      </c>
      <c r="J207" s="30" t="str">
        <f>IF($A$207=0," ",LOOKUP($A$207,'Magic Weapons'!$A$2:$A$102,'Magic Weapons'!$BE$2:$BE$102))</f>
        <v xml:space="preserve"> </v>
      </c>
      <c r="K207" s="155"/>
      <c r="L207" s="89" t="str">
        <f>IF(A207=0," ",IF(M207=1,LOOKUP((C207),$AQ$23:$AQ$38,$AS$23:$AS$38),IF(M207=2,LOOKUP((C207),$AQ$23:$AQ$38,$AU$23:$AU$38),IF(M207=3,LOOKUP((C207),$AQ$23:$AQ$38,$AW$23:$AW$38),IF(M207=4,LOOKUP((C207),$AQ$23:$AQ$38,$AY$23:$AY$38),0)))))</f>
        <v xml:space="preserve"> </v>
      </c>
      <c r="M207" s="89">
        <f>IF(A207=0,0,LOOKUP(A207,'Magic Weapons'!$A$2:$A$102,'Magic Weapons'!$D$2:$D$102))</f>
        <v>0</v>
      </c>
      <c r="Z207" s="94"/>
      <c r="CA207" s="141"/>
      <c r="CB207" s="23"/>
      <c r="CC207" s="23"/>
      <c r="CD207" s="23" t="str">
        <f>IF($A$207=0," ",LOOKUP($A$207,'Magic Weapons'!$A$2:$A$102,'Magic Weapons'!$E$2:$E$102))</f>
        <v xml:space="preserve"> </v>
      </c>
      <c r="CE207" s="23" t="str">
        <f>IF(CA207=0," ",IF(CC207&gt;=CD207,"MAX",IF(CM207=1,LOOKUP((CC207+1),$AQ$23:$AQ$38,$AS$23:$AS$38),IF(CM207=2,LOOKUP(($B$202+1),$AQ$23:$AQ$38,$AU$23:$AU$38),IF(CM207=3,LOOKUP((CC207+1),$AQ$23:$AQ$38,$AW$23:$AW$38),IF(CM207=4,LOOKUP(($B$202+1),$AQ$23:$AQ$38,$AY$23:$AY$38),0))))))</f>
        <v xml:space="preserve"> </v>
      </c>
      <c r="CF207" s="23" t="str">
        <f>IF($A$207=0," ",LOOKUP($A$207,'Magic Weapons'!$A$2:$A$102,'Magic Weapons'!$F$2:$F$102))</f>
        <v xml:space="preserve"> </v>
      </c>
      <c r="CG207" s="23" t="str">
        <f>IF($A$207=0," ",LOOKUP($A$207,'Magic Weapons'!$A$2:$A$102,'Magic Weapons'!$B$2:$B$102))</f>
        <v xml:space="preserve"> </v>
      </c>
      <c r="CH207" s="23" t="str">
        <f>IF($A$207=0," ",LOOKUP($A$207,'Magic Weapons'!$A$2:$A$102,'Magic Weapons'!$BC$2:$BC$102))</f>
        <v xml:space="preserve"> </v>
      </c>
      <c r="CI207" s="23" t="str">
        <f>IF($A$207=0," ",LOOKUP($A$207,'Magic Weapons'!$A$2:$A$102,'Magic Weapons'!$BD$2:$BD$102))</f>
        <v xml:space="preserve"> </v>
      </c>
      <c r="CJ207" s="30" t="str">
        <f>IF($A$207=0," ",LOOKUP($A$207,'Magic Weapons'!$A$2:$A$102,'Magic Weapons'!$BE$2:$BE$102))</f>
        <v xml:space="preserve"> </v>
      </c>
      <c r="CK207" s="155"/>
      <c r="CL207" s="89" t="str">
        <f>IF(CA207=0," ",IF(CM207=1,LOOKUP((CC207),$AQ$23:$AQ$38,$AS$23:$AS$38),IF(CM207=2,LOOKUP((CC207),$AQ$23:$AQ$38,$AU$23:$AU$38),IF(CM207=3,LOOKUP((CC207),$AQ$23:$AQ$38,$AW$23:$AW$38),IF(CM207=4,LOOKUP((CC207),$AQ$23:$AQ$38,$AY$23:$AY$38),0)))))</f>
        <v xml:space="preserve"> </v>
      </c>
    </row>
    <row r="208" spans="1:90">
      <c r="A208" s="138" t="s">
        <v>5119</v>
      </c>
      <c r="B208" s="95"/>
      <c r="C208" s="18" t="s">
        <v>5104</v>
      </c>
      <c r="D208" s="18" t="s">
        <v>5105</v>
      </c>
      <c r="E208" s="18" t="s">
        <v>5109</v>
      </c>
      <c r="F208" s="18" t="s">
        <v>4754</v>
      </c>
      <c r="G208" s="18" t="s">
        <v>5110</v>
      </c>
      <c r="H208" s="18" t="s">
        <v>5117</v>
      </c>
      <c r="I208" s="18" t="s">
        <v>5118</v>
      </c>
      <c r="J208" s="58" t="s">
        <v>5113</v>
      </c>
      <c r="K208" s="145"/>
      <c r="Z208" s="96"/>
      <c r="BW208" s="89"/>
      <c r="BX208" s="89"/>
      <c r="BY208" s="89"/>
      <c r="BZ208" s="89"/>
      <c r="CA208" s="138" t="s">
        <v>5119</v>
      </c>
      <c r="CB208" s="95"/>
      <c r="CC208" s="18" t="s">
        <v>5104</v>
      </c>
      <c r="CD208" s="18" t="s">
        <v>5105</v>
      </c>
      <c r="CE208" s="18" t="s">
        <v>5109</v>
      </c>
      <c r="CF208" s="18" t="s">
        <v>4754</v>
      </c>
      <c r="CG208" s="18" t="s">
        <v>5110</v>
      </c>
      <c r="CH208" s="18" t="s">
        <v>5117</v>
      </c>
      <c r="CI208" s="18" t="s">
        <v>5118</v>
      </c>
      <c r="CJ208" s="58" t="s">
        <v>5113</v>
      </c>
      <c r="CK208" s="145"/>
    </row>
    <row r="209" spans="1:90" s="89" customFormat="1">
      <c r="A209" s="126"/>
      <c r="B209" s="14"/>
      <c r="C209" s="14"/>
      <c r="D209" s="14" t="str">
        <f>IF($A$209=0," ",LOOKUP($A$209,'Magic Weapons'!$BG$2:$BG$23,'Magic Weapons'!$BK$2:$BK$23))</f>
        <v xml:space="preserve"> </v>
      </c>
      <c r="E209" s="14" t="str">
        <f>IF(A209=0," ",IF(C209&gt;=D209,"MAX",IF(M209=1,LOOKUP((C209+1),$AQ$23:$AQ$38,$AS$23:$AS$38),IF(M209=2,LOOKUP(($B$202+1),$AQ$23:$AQ$38,$AU$23:$AU$38),IF(M209=3,LOOKUP((C209+1),$AQ$23:$AQ$38,$AW$23:$AW$38),IF(M209=4,LOOKUP(($B$202+1),$AQ$23:$AQ$38,$AY$23:$AY$38),0))))))</f>
        <v xml:space="preserve"> </v>
      </c>
      <c r="F209" s="14" t="str">
        <f>IF($A$209=0," ",LOOKUP($A$209,'Magic Weapons'!$BG$2:$BG$23,'Magic Weapons'!$BL$2:$BL$23))</f>
        <v xml:space="preserve"> </v>
      </c>
      <c r="G209" s="14" t="str">
        <f>IF($A$209=0," ",LOOKUP($A$209,'Magic Weapons'!$BG$2:$BG$23,'Magic Weapons'!$BH$2:$BH$23))</f>
        <v xml:space="preserve"> </v>
      </c>
      <c r="H209" s="14" t="str">
        <f>IF($A$209=0," ",LOOKUP($A$209,'Magic Weapons'!$BG$2:$BG$23,'Magic Weapons'!$DF$2:$DF$23))</f>
        <v xml:space="preserve"> </v>
      </c>
      <c r="I209" s="14" t="str">
        <f>IF($A$209=0," ",LOOKUP($A$209,'Magic Weapons'!$BG$2:$BG$23,'Magic Weapons'!$DG$2:$DG$23))</f>
        <v xml:space="preserve"> </v>
      </c>
      <c r="J209" s="44" t="str">
        <f>IF($A$209=0," ",LOOKUP($A$209,'Magic Weapons'!$BG$2:$BG$23,'Magic Weapons'!$DH$2:$DH$23))</f>
        <v xml:space="preserve"> </v>
      </c>
      <c r="K209" s="135"/>
      <c r="L209" s="89" t="str">
        <f>IF(A209=0," ",IF(M209=1,LOOKUP((C209),$AQ$23:$AQ$38,$AS$23:$AS$38),IF(M209=2,LOOKUP((C209),$AQ$23:$AQ$38,$AU$23:$AU$38),IF(M209=3,LOOKUP((C209),$AQ$23:$AQ$38,$AW$23:$AW$38),IF(M209=4,LOOKUP((C209),$AQ$23:$AQ$38,$AY$23:$AY$38),0)))))</f>
        <v xml:space="preserve"> </v>
      </c>
      <c r="M209" s="9">
        <f>IF(A209=0,0,LOOKUP(A209,'Magic Weapons'!$BG$2:$BG$23,'Magic Weapons'!$BJ$2:$BJ$23))</f>
        <v>0</v>
      </c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6"/>
      <c r="AA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CA209" s="126"/>
      <c r="CB209" s="14"/>
      <c r="CC209" s="14"/>
      <c r="CD209" s="14" t="str">
        <f>IF($A$209=0," ",LOOKUP($A$209,'Magic Weapons'!$BG$2:$BG$23,'Magic Weapons'!$BK$2:$BK$23))</f>
        <v xml:space="preserve"> </v>
      </c>
      <c r="CE209" s="14" t="str">
        <f>IF(CA209=0," ",IF(CC209&gt;=CD209,"MAX",IF(CM209=1,LOOKUP((CC209+1),$AQ$23:$AQ$38,$AS$23:$AS$38),IF(CM209=2,LOOKUP(($B$202+1),$AQ$23:$AQ$38,$AU$23:$AU$38),IF(CM209=3,LOOKUP((CC209+1),$AQ$23:$AQ$38,$AW$23:$AW$38),IF(CM209=4,LOOKUP(($B$202+1),$AQ$23:$AQ$38,$AY$23:$AY$38),0))))))</f>
        <v xml:space="preserve"> </v>
      </c>
      <c r="CF209" s="14" t="str">
        <f>IF($A$209=0," ",LOOKUP($A$209,'Magic Weapons'!$BG$2:$BG$23,'Magic Weapons'!$BL$2:$BL$23))</f>
        <v xml:space="preserve"> </v>
      </c>
      <c r="CG209" s="14" t="str">
        <f>IF($A$209=0," ",LOOKUP($A$209,'Magic Weapons'!$BG$2:$BG$23,'Magic Weapons'!$BH$2:$BH$23))</f>
        <v xml:space="preserve"> </v>
      </c>
      <c r="CH209" s="14" t="str">
        <f>IF($A$209=0," ",LOOKUP($A$209,'Magic Weapons'!$BG$2:$BG$23,'Magic Weapons'!$DF$2:$DF$23))</f>
        <v xml:space="preserve"> </v>
      </c>
      <c r="CI209" s="14" t="str">
        <f>IF($A$209=0," ",LOOKUP($A$209,'Magic Weapons'!$BG$2:$BG$23,'Magic Weapons'!$DG$2:$DG$23))</f>
        <v xml:space="preserve"> </v>
      </c>
      <c r="CJ209" s="44" t="str">
        <f>IF($A$209=0," ",LOOKUP($A$209,'Magic Weapons'!$BG$2:$BG$23,'Magic Weapons'!$DH$2:$DH$23))</f>
        <v xml:space="preserve"> </v>
      </c>
      <c r="CK209" s="135"/>
      <c r="CL209" s="89" t="str">
        <f>IF(CA209=0," ",IF(CM209=1,LOOKUP((CC209),$AQ$23:$AQ$38,$AS$23:$AS$38),IF(CM209=2,LOOKUP((CC209),$AQ$23:$AQ$38,$AU$23:$AU$38),IF(CM209=3,LOOKUP((CC209),$AQ$23:$AQ$38,$AW$23:$AW$38),IF(CM209=4,LOOKUP((CC209),$AQ$23:$AQ$38,$AY$23:$AY$38),0)))))</f>
        <v xml:space="preserve"> </v>
      </c>
    </row>
    <row r="210" spans="1:90" s="89" customFormat="1">
      <c r="A210" s="141"/>
      <c r="B210" s="23"/>
      <c r="C210" s="23"/>
      <c r="D210" s="23" t="str">
        <f>IF($A$210=0," ",LOOKUP($A$210,'Magic Weapons'!$BG$2:$BG$23,'Magic Weapons'!$BK$2:$BK$23))</f>
        <v xml:space="preserve"> </v>
      </c>
      <c r="E210" s="23" t="str">
        <f>IF(A210=0," ",IF(C210&gt;=D210,"MAX",IF(M210=1,LOOKUP((C210+1),$AQ$23:$AQ$38,$AS$23:$AS$38),IF(M210=2,LOOKUP(($B$202+1),$AQ$23:$AQ$38,$AU$23:$AU$38),IF(M210=3,LOOKUP((C210+1),$AQ$23:$AQ$38,$AW$23:$AW$38),IF(M210=4,LOOKUP(($B$202+1),$AQ$23:$AQ$38,$AY$23:$AY$38),0))))))</f>
        <v xml:space="preserve"> </v>
      </c>
      <c r="F210" s="23" t="str">
        <f>IF($A$210=0," ",LOOKUP($A$210,'Magic Weapons'!$BG$2:$BG$23,'Magic Weapons'!$BL$2:$BL$23))</f>
        <v xml:space="preserve"> </v>
      </c>
      <c r="G210" s="23" t="str">
        <f>IF($A$210=0," ",LOOKUP($A$210,'Magic Weapons'!$BG$2:$BG$23,'Magic Weapons'!$BH$2:$BH$23))</f>
        <v xml:space="preserve"> </v>
      </c>
      <c r="H210" s="23" t="str">
        <f>IF($A$210=0," ",LOOKUP($A$210,'Magic Weapons'!$BG$2:$BG$23,'Magic Weapons'!$DI$2:$DI$23))</f>
        <v xml:space="preserve"> </v>
      </c>
      <c r="I210" s="23" t="str">
        <f>IF($A$210=0," ",LOOKUP($A$210,'Magic Weapons'!$BG$2:$BG$23,'Magic Weapons'!$DJ$2:$DJ$23))</f>
        <v xml:space="preserve"> </v>
      </c>
      <c r="J210" s="30" t="str">
        <f>IF($A$210=0," ",LOOKUP($A$210,'Magic Weapons'!$BG$2:$BG$23,'Magic Weapons'!$DK$2:$DK$23))</f>
        <v xml:space="preserve"> </v>
      </c>
      <c r="K210" s="155"/>
      <c r="L210" s="89" t="str">
        <f>IF(A210=0," ",IF(M210=1,LOOKUP((C210),$AQ$23:$AQ$38,$AS$23:$AS$38),IF(M210=2,LOOKUP((C210),$AQ$23:$AQ$38,$AU$23:$AU$38),IF(M210=3,LOOKUP((C210),$AQ$23:$AQ$38,$AW$23:$AW$38),IF(M210=4,LOOKUP((C210),$AQ$23:$AQ$38,$AY$23:$AY$38),0)))))</f>
        <v xml:space="preserve"> </v>
      </c>
      <c r="M210" s="89">
        <f>IF(A210=0,0,LOOKUP(A210,'Magic Weapons'!$BG$2:$BG$23,'Magic Weapons'!$BJ$2:$BJ$23))</f>
        <v>0</v>
      </c>
      <c r="Z210" s="97"/>
      <c r="CA210" s="141"/>
      <c r="CB210" s="23"/>
      <c r="CC210" s="23"/>
      <c r="CD210" s="23" t="str">
        <f>IF($A$210=0," ",LOOKUP($A$210,'Magic Weapons'!$BG$2:$BG$23,'Magic Weapons'!$BK$2:$BK$23))</f>
        <v xml:space="preserve"> </v>
      </c>
      <c r="CE210" s="23" t="str">
        <f>IF(CA210=0," ",IF(CC210&gt;=CD210,"MAX",IF(CM210=1,LOOKUP((CC210+1),$AQ$23:$AQ$38,$AS$23:$AS$38),IF(CM210=2,LOOKUP(($B$202+1),$AQ$23:$AQ$38,$AU$23:$AU$38),IF(CM210=3,LOOKUP((CC210+1),$AQ$23:$AQ$38,$AW$23:$AW$38),IF(CM210=4,LOOKUP(($B$202+1),$AQ$23:$AQ$38,$AY$23:$AY$38),0))))))</f>
        <v xml:space="preserve"> </v>
      </c>
      <c r="CF210" s="23" t="str">
        <f>IF($A$210=0," ",LOOKUP($A$210,'Magic Weapons'!$BG$2:$BG$23,'Magic Weapons'!$BL$2:$BL$23))</f>
        <v xml:space="preserve"> </v>
      </c>
      <c r="CG210" s="23" t="str">
        <f>IF($A$210=0," ",LOOKUP($A$210,'Magic Weapons'!$BG$2:$BG$23,'Magic Weapons'!$BH$2:$BH$23))</f>
        <v xml:space="preserve"> </v>
      </c>
      <c r="CH210" s="23" t="str">
        <f>IF($A$210=0," ",LOOKUP($A$210,'Magic Weapons'!$BG$2:$BG$23,'Magic Weapons'!$DI$2:$DI$23))</f>
        <v xml:space="preserve"> </v>
      </c>
      <c r="CI210" s="23" t="str">
        <f>IF($A$210=0," ",LOOKUP($A$210,'Magic Weapons'!$BG$2:$BG$23,'Magic Weapons'!$DJ$2:$DJ$23))</f>
        <v xml:space="preserve"> </v>
      </c>
      <c r="CJ210" s="30" t="str">
        <f>IF($A$210=0," ",LOOKUP($A$210,'Magic Weapons'!$BG$2:$BG$23,'Magic Weapons'!$DK$2:$DK$23))</f>
        <v xml:space="preserve"> </v>
      </c>
      <c r="CK210" s="155"/>
      <c r="CL210" s="89" t="str">
        <f>IF(CA210=0," ",IF(CM210=1,LOOKUP((CC210),$AQ$23:$AQ$38,$AS$23:$AS$38),IF(CM210=2,LOOKUP((CC210),$AQ$23:$AQ$38,$AU$23:$AU$38),IF(CM210=3,LOOKUP((CC210),$AQ$23:$AQ$38,$AW$23:$AW$38),IF(CM210=4,LOOKUP((CC210),$AQ$23:$AQ$38,$AY$23:$AY$38),0)))))</f>
        <v xml:space="preserve"> </v>
      </c>
    </row>
    <row r="211" spans="1:90">
      <c r="A211" s="138" t="s">
        <v>5308</v>
      </c>
      <c r="B211" s="95"/>
      <c r="C211" s="18" t="s">
        <v>5104</v>
      </c>
      <c r="D211" s="18" t="s">
        <v>5105</v>
      </c>
      <c r="E211" s="18" t="s">
        <v>5109</v>
      </c>
      <c r="F211" s="18" t="s">
        <v>4754</v>
      </c>
      <c r="G211" s="18" t="s">
        <v>5110</v>
      </c>
      <c r="H211" s="57" t="s">
        <v>5309</v>
      </c>
      <c r="I211" s="95"/>
      <c r="J211" s="47"/>
      <c r="K211" s="145"/>
      <c r="Z211" s="54"/>
      <c r="CA211" s="138" t="s">
        <v>5308</v>
      </c>
      <c r="CB211" s="95"/>
      <c r="CC211" s="18" t="s">
        <v>5104</v>
      </c>
      <c r="CD211" s="18" t="s">
        <v>5105</v>
      </c>
      <c r="CE211" s="18" t="s">
        <v>5109</v>
      </c>
      <c r="CF211" s="18" t="s">
        <v>4754</v>
      </c>
      <c r="CG211" s="18" t="s">
        <v>5110</v>
      </c>
      <c r="CH211" s="57" t="s">
        <v>5309</v>
      </c>
      <c r="CI211" s="95"/>
      <c r="CJ211" s="47"/>
      <c r="CK211" s="145"/>
    </row>
    <row r="212" spans="1:90" s="89" customFormat="1">
      <c r="A212" s="126" t="s">
        <v>5310</v>
      </c>
      <c r="B212" s="87"/>
      <c r="C212" s="14">
        <v>3</v>
      </c>
      <c r="D212" s="14">
        <f>IF($A$212=0," ",LOOKUP($A$212,'Magic Items'!$R$2:$R$151,'Magic Items'!$V$2:$V$151))</f>
        <v>5</v>
      </c>
      <c r="E212" s="14">
        <f>IF(A212=0," ",IF(C212=D212,"MAX",IF(M212=1,LOOKUP((C212+1),$AQ$23:$AQ$38,$AS$23:$AS$38),IF(M212=2,LOOKUP(($B$202+1),$AQ$23:$AQ$38,$AU$23:$AU$38),IF(M212=3,LOOKUP((C212+1),$AQ$23:$AQ$38,$AW$23:$AW$38),IF(M212=4,LOOKUP(($B$202+1),$AQ$23:$AQ$38,$AY$23:$AY$38),0))))))</f>
        <v>2900</v>
      </c>
      <c r="F212" s="14" t="str">
        <f>IF($A$212=0," ",LOOKUP($A$212,'Magic Items'!$R$2:$R$151,'Magic Items'!$W$2:$W$151))</f>
        <v>Varies</v>
      </c>
      <c r="G212" s="14" t="str">
        <f>IF($A$212=0," ",LOOKUP($A$212,'Magic Items'!$R$2:$R$151,'Magic Items'!$S$2:$S$151))</f>
        <v>EDC 46-54</v>
      </c>
      <c r="H212" s="44" t="str">
        <f>IF($A$212=0," ",LOOKUP($A$212,'Magic Items'!$R$2:$R$151,'Magic Items'!$AM$2:$AM$151))</f>
        <v>+3 to talent or attribute, see text</v>
      </c>
      <c r="I212" s="87"/>
      <c r="J212" s="44"/>
      <c r="K212" s="135"/>
      <c r="L212" s="9">
        <f t="shared" ref="L212:L226" si="156">IF(A212=0," ",IF(M212=1,LOOKUP((C212),$AQ$23:$AQ$38,$AS$23:$AS$38),IF(M212=2,LOOKUP((C212),$AQ$23:$AQ$38,$AU$23:$AU$38),IF(M212=3,LOOKUP((C212),$AQ$23:$AQ$38,$AW$23:$AW$38),IF(M212=4,LOOKUP((C212),$AQ$23:$AQ$38,$AY$23:$AY$38),0)))))</f>
        <v>1600</v>
      </c>
      <c r="M212" s="9">
        <f>IF(A212=0,0,LOOKUP(A212,'Magic Items'!$R$2:$R$151,'Magic Items'!$U$2:$U$151))</f>
        <v>3</v>
      </c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54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126"/>
      <c r="CB212" s="87"/>
      <c r="CC212" s="14"/>
      <c r="CD212" s="14">
        <f>IF($A$212=0," ",LOOKUP($A$212,'Magic Items'!$R$2:$R$151,'Magic Items'!$V$2:$V$151))</f>
        <v>5</v>
      </c>
      <c r="CE212" s="14" t="str">
        <f t="shared" ref="CE212:CE226" si="157">IF(CA212=0," ",IF(CC212=CD212,"MAX",IF(CM212=1,LOOKUP((CC212+1),$AQ$23:$AQ$38,$AS$23:$AS$38),IF(CM212=2,LOOKUP(($B$202+1),$AQ$23:$AQ$38,$AU$23:$AU$38),IF(CM212=3,LOOKUP((CC212+1),$AQ$23:$AQ$38,$AW$23:$AW$38),IF(CM212=4,LOOKUP(($B$202+1),$AQ$23:$AQ$38,$AY$23:$AY$38),0))))))</f>
        <v xml:space="preserve"> </v>
      </c>
      <c r="CF212" s="14" t="str">
        <f>IF($A$212=0," ",LOOKUP($A$212,'Magic Items'!$R$2:$R$151,'Magic Items'!$W$2:$W$151))</f>
        <v>Varies</v>
      </c>
      <c r="CG212" s="14" t="str">
        <f>IF($A$212=0," ",LOOKUP($A$212,'Magic Items'!$R$2:$R$151,'Magic Items'!$S$2:$S$151))</f>
        <v>EDC 46-54</v>
      </c>
      <c r="CH212" s="44" t="str">
        <f>IF($A$212=0," ",LOOKUP($A$212,'Magic Items'!$R$2:$R$151,'Magic Items'!$AM$2:$AM$151))</f>
        <v>+3 to talent or attribute, see text</v>
      </c>
      <c r="CI212" s="87"/>
      <c r="CJ212" s="44"/>
      <c r="CK212" s="135"/>
      <c r="CL212" s="89" t="str">
        <f t="shared" ref="CL212:CL226" si="158">IF(CA212=0," ",IF(CM212=1,LOOKUP((CC212),$AQ$23:$AQ$38,$AS$23:$AS$38),IF(CM212=2,LOOKUP((CC212),$AQ$23:$AQ$38,$AU$23:$AU$38),IF(CM212=3,LOOKUP((CC212),$AQ$23:$AQ$38,$AW$23:$AW$38),IF(CM212=4,LOOKUP((CC212),$AQ$23:$AQ$38,$AY$23:$AY$38),0)))))</f>
        <v xml:space="preserve"> </v>
      </c>
    </row>
    <row r="213" spans="1:90" s="89" customFormat="1">
      <c r="A213" s="238" t="s">
        <v>5311</v>
      </c>
      <c r="B213" s="251"/>
      <c r="C213" s="240">
        <v>1</v>
      </c>
      <c r="D213" s="240">
        <f>IF($A$213=0," ",LOOKUP($A$213,'Magic Items'!$R$2:$R$151,'Magic Items'!$V$2:$V$151))</f>
        <v>5</v>
      </c>
      <c r="E213" s="240">
        <f>IF(A213=0," ",IF(C213=D213,"MAX",IF(M213=1,LOOKUP((C213+1),$AQ$23:$AQ$38,$AS$23:$AS$38),IF(M213=2,LOOKUP(($B$202+1),$AQ$23:$AQ$38,$AU$23:$AU$38),IF(M213=3,LOOKUP((C213+1),$AQ$23:$AQ$38,$AW$23:$AW$38),IF(M213=4,LOOKUP(($B$202+1),$AQ$23:$AQ$38,$AY$23:$AY$38),0))))))</f>
        <v>800</v>
      </c>
      <c r="F213" s="240" t="str">
        <f>IF($A$213=0," ",LOOKUP($A$213,'Magic Items'!$R$2:$R$151,'Magic Items'!$W$2:$W$151))</f>
        <v>Varies</v>
      </c>
      <c r="G213" s="240" t="str">
        <f>IF($A$213=0," ",LOOKUP($A$213,'Magic Items'!$R$2:$R$151,'Magic Items'!$S$2:$S$151))</f>
        <v>EDC 46-54</v>
      </c>
      <c r="H213" s="252" t="str">
        <f>IF($A$213=0," ",LOOKUP($A$213,'Magic Items'!$R$2:$R$151,'Magic Items'!$AN$2:$AN$151))</f>
        <v>+1 to talent or attribute, see text</v>
      </c>
      <c r="I213" s="251"/>
      <c r="J213" s="252"/>
      <c r="K213" s="254"/>
      <c r="L213" s="9">
        <f t="shared" si="156"/>
        <v>300</v>
      </c>
      <c r="M213" s="9">
        <f>IF(A213=0,0,LOOKUP(A213,'Magic Items'!$R$2:$R$151,'Magic Items'!$U$2:$U$151))</f>
        <v>3</v>
      </c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54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238"/>
      <c r="CB213" s="251"/>
      <c r="CC213" s="240"/>
      <c r="CD213" s="240">
        <f>IF($A$213=0," ",LOOKUP($A$213,'Magic Items'!$R$2:$R$151,'Magic Items'!$V$2:$V$151))</f>
        <v>5</v>
      </c>
      <c r="CE213" s="240" t="str">
        <f t="shared" si="157"/>
        <v xml:space="preserve"> </v>
      </c>
      <c r="CF213" s="240" t="str">
        <f>IF($A$213=0," ",LOOKUP($A$213,'Magic Items'!$R$2:$R$151,'Magic Items'!$W$2:$W$151))</f>
        <v>Varies</v>
      </c>
      <c r="CG213" s="240" t="str">
        <f>IF($A$213=0," ",LOOKUP($A$213,'Magic Items'!$R$2:$R$151,'Magic Items'!$S$2:$S$151))</f>
        <v>EDC 46-54</v>
      </c>
      <c r="CH213" s="252" t="str">
        <f>IF($A$213=0," ",LOOKUP($A$213,'Magic Items'!$R$2:$R$151,'Magic Items'!$AN$2:$AN$151))</f>
        <v>+1 to talent or attribute, see text</v>
      </c>
      <c r="CI213" s="251"/>
      <c r="CJ213" s="252"/>
      <c r="CK213" s="254"/>
      <c r="CL213" s="89" t="str">
        <f t="shared" si="158"/>
        <v xml:space="preserve"> </v>
      </c>
    </row>
    <row r="214" spans="1:90" s="89" customFormat="1">
      <c r="A214" s="126" t="s">
        <v>5312</v>
      </c>
      <c r="B214" s="87"/>
      <c r="C214" s="14">
        <v>1</v>
      </c>
      <c r="D214" s="14">
        <f>IF($A$214=0," ",LOOKUP($A$214,'Magic Items'!$R$2:$R$151,'Magic Items'!$V$2:$V$151))</f>
        <v>5</v>
      </c>
      <c r="E214" s="14">
        <f>IF(A214=0," ",IF(C214=D214,"MAX",IF(M214=1,LOOKUP((C214+1),$AQ$23:$AQ$38,$AS$23:$AS$38),IF(M214=2,LOOKUP(($B$202+1),$AQ$23:$AQ$38,$AU$23:$AU$38),IF(M214=3,LOOKUP((C214+1),$AQ$23:$AQ$38,$AW$23:$AW$38),IF(M214=4,LOOKUP(($B$202+1),$AQ$23:$AQ$38,$AY$23:$AY$38),0))))))</f>
        <v>800</v>
      </c>
      <c r="F214" s="14" t="str">
        <f>IF($A$214=0," ",LOOKUP($A$214,'Magic Items'!$R$2:$R$151,'Magic Items'!$W$2:$W$151))</f>
        <v>Varies</v>
      </c>
      <c r="G214" s="14" t="str">
        <f>IF($A$214=0," ",LOOKUP($A$214,'Magic Items'!$R$2:$R$151,'Magic Items'!$S$2:$S$151))</f>
        <v>EDC 46-54</v>
      </c>
      <c r="H214" s="44" t="str">
        <f>IF($A$214=0," ",LOOKUP($A$214,'Magic Items'!$R$2:$R$151,'Magic Items'!$AO$2:$AO$151))</f>
        <v>+1 to talent or attribute, see text</v>
      </c>
      <c r="I214" s="87"/>
      <c r="J214" s="44"/>
      <c r="K214" s="135"/>
      <c r="L214" s="9">
        <f t="shared" si="156"/>
        <v>300</v>
      </c>
      <c r="M214" s="9">
        <f>IF(A214=0,0,LOOKUP(A214,'Magic Items'!$R$2:$R$151,'Magic Items'!$U$2:$U$151))</f>
        <v>3</v>
      </c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54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126"/>
      <c r="CB214" s="87"/>
      <c r="CC214" s="14"/>
      <c r="CD214" s="14">
        <f>IF($A$214=0," ",LOOKUP($A$214,'Magic Items'!$R$2:$R$151,'Magic Items'!$V$2:$V$151))</f>
        <v>5</v>
      </c>
      <c r="CE214" s="14" t="str">
        <f t="shared" si="157"/>
        <v xml:space="preserve"> </v>
      </c>
      <c r="CF214" s="14" t="str">
        <f>IF($A$214=0," ",LOOKUP($A$214,'Magic Items'!$R$2:$R$151,'Magic Items'!$W$2:$W$151))</f>
        <v>Varies</v>
      </c>
      <c r="CG214" s="14" t="str">
        <f>IF($A$214=0," ",LOOKUP($A$214,'Magic Items'!$R$2:$R$151,'Magic Items'!$S$2:$S$151))</f>
        <v>EDC 46-54</v>
      </c>
      <c r="CH214" s="44" t="str">
        <f>IF($A$214=0," ",LOOKUP($A$214,'Magic Items'!$R$2:$R$151,'Magic Items'!$AO$2:$AO$151))</f>
        <v>+1 to talent or attribute, see text</v>
      </c>
      <c r="CI214" s="87"/>
      <c r="CJ214" s="44"/>
      <c r="CK214" s="135"/>
      <c r="CL214" s="89" t="str">
        <f t="shared" si="158"/>
        <v xml:space="preserve"> </v>
      </c>
    </row>
    <row r="215" spans="1:90" s="89" customFormat="1">
      <c r="A215" s="238" t="s">
        <v>5526</v>
      </c>
      <c r="B215" s="251"/>
      <c r="C215" s="240">
        <v>2</v>
      </c>
      <c r="D215" s="240">
        <f>IF($A$215=0," ",LOOKUP($A$215,'Magic Items'!$R$2:$R$151,'Magic Items'!$V$2:$V$151))</f>
        <v>5</v>
      </c>
      <c r="E215" s="240">
        <f>IF(A215=0," ",IF(C215=D215,"MAX",IF(M215=1,LOOKUP((C215+1),$AQ$23:$AQ$38,$AS$23:$AS$38),IF(M215=2,LOOKUP(($B$202+1),$AQ$23:$AQ$38,$AU$23:$AU$38),IF(M215=3,LOOKUP((C215+1),$AQ$23:$AQ$38,$AW$23:$AW$38),IF(M215=4,LOOKUP(($B$202+1),$AQ$23:$AQ$38,$AY$23:$AY$38),0))))))</f>
        <v>1600</v>
      </c>
      <c r="F215" s="240" t="str">
        <f>IF($A$215=0," ",LOOKUP($A$215,'Magic Items'!$R$2:$R$151,'Magic Items'!$W$2:$W$151))</f>
        <v>Varies</v>
      </c>
      <c r="G215" s="240" t="str">
        <f>IF($A$215=0," ",LOOKUP($A$215,'Magic Items'!$R$2:$R$151,'Magic Items'!$S$2:$S$151))</f>
        <v>EDC 46-54</v>
      </c>
      <c r="H215" s="252" t="str">
        <f>IF($A$215=0," ",LOOKUP($A$215,'Magic Items'!$R$2:$R$151,'Magic Items'!$AP$2:$AP$151))</f>
        <v>+2 to talent or attribute, see text</v>
      </c>
      <c r="I215" s="251"/>
      <c r="J215" s="252"/>
      <c r="K215" s="254"/>
      <c r="L215" s="9">
        <f t="shared" si="156"/>
        <v>800</v>
      </c>
      <c r="M215" s="9">
        <f>IF(A215=0,0,LOOKUP(A215,'Magic Items'!$R$2:$R$151,'Magic Items'!$U$2:$U$151))</f>
        <v>3</v>
      </c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54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238"/>
      <c r="CB215" s="251"/>
      <c r="CC215" s="240"/>
      <c r="CD215" s="240">
        <f>IF($A$215=0," ",LOOKUP($A$215,'Magic Items'!$R$2:$R$151,'Magic Items'!$V$2:$V$151))</f>
        <v>5</v>
      </c>
      <c r="CE215" s="240" t="str">
        <f t="shared" si="157"/>
        <v xml:space="preserve"> </v>
      </c>
      <c r="CF215" s="240" t="str">
        <f>IF($A$215=0," ",LOOKUP($A$215,'Magic Items'!$R$2:$R$151,'Magic Items'!$W$2:$W$151))</f>
        <v>Varies</v>
      </c>
      <c r="CG215" s="240" t="str">
        <f>IF($A$215=0," ",LOOKUP($A$215,'Magic Items'!$R$2:$R$151,'Magic Items'!$S$2:$S$151))</f>
        <v>EDC 46-54</v>
      </c>
      <c r="CH215" s="252" t="str">
        <f>IF($A$215=0," ",LOOKUP($A$215,'Magic Items'!$R$2:$R$151,'Magic Items'!$AP$2:$AP$151))</f>
        <v>+2 to talent or attribute, see text</v>
      </c>
      <c r="CI215" s="251"/>
      <c r="CJ215" s="252"/>
      <c r="CK215" s="254"/>
      <c r="CL215" s="89" t="str">
        <f t="shared" si="158"/>
        <v xml:space="preserve"> </v>
      </c>
    </row>
    <row r="216" spans="1:90" s="89" customFormat="1">
      <c r="A216" s="126" t="s">
        <v>5149</v>
      </c>
      <c r="B216" s="87"/>
      <c r="C216" s="14">
        <v>4</v>
      </c>
      <c r="D216" s="14">
        <f>IF($A$216=0," ",LOOKUP($A$216,'Magic Items'!$R$2:$R$151,'Magic Items'!$V$2:$V$151))</f>
        <v>4</v>
      </c>
      <c r="E216" s="14" t="str">
        <f t="shared" ref="E216:E225" si="159">IF(A216=0," ",IF(C216=D216,"MAX",IF(M216=1,LOOKUP((C216+1),$AQ$23:$AQ$38,$AS$23:$AS$38),IF(M216=2,LOOKUP(($B$202+1),$AQ$23:$AQ$38,$AU$23:$AU$38),IF(M216=3,LOOKUP((C216+1),$AQ$23:$AQ$38,$AW$23:$AW$38),IF(M216=4,LOOKUP(($B$202+1),$AQ$23:$AQ$38,$AY$23:$AY$38),0))))))</f>
        <v>MAX</v>
      </c>
      <c r="F216" s="14">
        <f>IF($A$216=0," ",LOOKUP($A$216,'Magic Items'!$R$2:$R$151,'Magic Items'!$W$2:$W$151))</f>
        <v>18</v>
      </c>
      <c r="G216" s="14" t="str">
        <f>IF($A$216=0," ",LOOKUP($A$216,'Magic Items'!$R$2:$R$151,'Magic Items'!$S$2:$S$151))</f>
        <v>EDC 68</v>
      </c>
      <c r="H216" s="44" t="str">
        <f>IF($A$216=0," ",LOOKUP($A$216,'Magic Items'!$R$2:$R$151,'Magic Items'!$AQ$2:$AQ$151))</f>
        <v>+3 step to attacks, +2 steps to damage</v>
      </c>
      <c r="I216" s="87"/>
      <c r="J216" s="44"/>
      <c r="K216" s="135"/>
      <c r="L216" s="9">
        <f t="shared" si="156"/>
        <v>2900</v>
      </c>
      <c r="M216" s="9">
        <f>IF(A216=0,0,LOOKUP(A216,'Magic Items'!$R$2:$R$151,'Magic Items'!$U$2:$U$151))</f>
        <v>3</v>
      </c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54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126"/>
      <c r="CB216" s="87"/>
      <c r="CC216" s="14"/>
      <c r="CD216" s="14">
        <f>IF($A$216=0," ",LOOKUP($A$216,'Magic Items'!$R$2:$R$151,'Magic Items'!$V$2:$V$151))</f>
        <v>4</v>
      </c>
      <c r="CE216" s="14" t="str">
        <f t="shared" si="157"/>
        <v xml:space="preserve"> </v>
      </c>
      <c r="CF216" s="14">
        <f>IF($A$216=0," ",LOOKUP($A$216,'Magic Items'!$R$2:$R$151,'Magic Items'!$W$2:$W$151))</f>
        <v>18</v>
      </c>
      <c r="CG216" s="14" t="str">
        <f>IF($A$216=0," ",LOOKUP($A$216,'Magic Items'!$R$2:$R$151,'Magic Items'!$S$2:$S$151))</f>
        <v>EDC 68</v>
      </c>
      <c r="CH216" s="44" t="str">
        <f>IF($A$216=0," ",LOOKUP($A$216,'Magic Items'!$R$2:$R$151,'Magic Items'!$AQ$2:$AQ$151))</f>
        <v>+3 step to attacks, +2 steps to damage</v>
      </c>
      <c r="CI216" s="87"/>
      <c r="CJ216" s="44"/>
      <c r="CK216" s="135"/>
    </row>
    <row r="217" spans="1:90" s="89" customFormat="1">
      <c r="A217" s="238" t="s">
        <v>5527</v>
      </c>
      <c r="B217" s="251"/>
      <c r="C217" s="240">
        <v>5</v>
      </c>
      <c r="D217" s="240">
        <f>IF($A$217=0," ",LOOKUP($A$217,'Magic Items'!$R$2:$R$151,'Magic Items'!$V$2:$V$151))</f>
        <v>5</v>
      </c>
      <c r="E217" s="240" t="str">
        <f t="shared" si="159"/>
        <v>MAX</v>
      </c>
      <c r="F217" s="240">
        <f>IF($A$217=0," ",LOOKUP($A$217,'Magic Items'!$R$2:$R$151,'Magic Items'!$W$2:$W$151))</f>
        <v>14</v>
      </c>
      <c r="G217" s="240" t="str">
        <f>IF($A$217=0," ",LOOKUP($A$217,'Magic Items'!$R$2:$R$151,'Magic Items'!$S$2:$S$151))</f>
        <v>AMB 71</v>
      </c>
      <c r="H217" s="252" t="str">
        <f>IF($A$217=0," ",LOOKUP($A$217,'Magic Items'!$R$2:$R$151,'Magic Items'!$AR$2:$AR$151))</f>
        <v>+5 dexterity, +5 initiative, see text</v>
      </c>
      <c r="I217" s="251"/>
      <c r="J217" s="252" t="s">
        <v>5528</v>
      </c>
      <c r="K217" s="254"/>
      <c r="L217" s="9">
        <f t="shared" si="156"/>
        <v>3100</v>
      </c>
      <c r="M217" s="9">
        <f>IF(A217=0,0,LOOKUP(A217,'Magic Items'!$R$2:$R$151,'Magic Items'!$U$2:$U$151))</f>
        <v>2</v>
      </c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54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238"/>
      <c r="CB217" s="251"/>
      <c r="CC217" s="240"/>
      <c r="CD217" s="240">
        <f>IF($A$217=0," ",LOOKUP($A$217,'Magic Items'!$R$2:$R$151,'Magic Items'!$V$2:$V$151))</f>
        <v>5</v>
      </c>
      <c r="CE217" s="240" t="str">
        <f t="shared" si="157"/>
        <v xml:space="preserve"> </v>
      </c>
      <c r="CF217" s="240">
        <f>IF($A$217=0," ",LOOKUP($A$217,'Magic Items'!$R$2:$R$151,'Magic Items'!$W$2:$W$151))</f>
        <v>14</v>
      </c>
      <c r="CG217" s="240" t="str">
        <f>IF($A$217=0," ",LOOKUP($A$217,'Magic Items'!$R$2:$R$151,'Magic Items'!$S$2:$S$151))</f>
        <v>AMB 71</v>
      </c>
      <c r="CH217" s="252" t="str">
        <f>IF($A$217=0," ",LOOKUP($A$217,'Magic Items'!$R$2:$R$151,'Magic Items'!$AR$2:$AR$151))</f>
        <v>+5 dexterity, +5 initiative, see text</v>
      </c>
      <c r="CI217" s="251"/>
      <c r="CJ217" s="252"/>
      <c r="CK217" s="254"/>
    </row>
    <row r="218" spans="1:90" s="89" customFormat="1">
      <c r="A218" s="126"/>
      <c r="B218" s="87"/>
      <c r="C218" s="14"/>
      <c r="D218" s="14" t="str">
        <f>IF($A$218=0," ",LOOKUP($A$218,'Magic Items'!$R$2:$R$151,'Magic Items'!$V$2:$V$151))</f>
        <v xml:space="preserve"> </v>
      </c>
      <c r="E218" s="14" t="str">
        <f t="shared" si="159"/>
        <v xml:space="preserve"> </v>
      </c>
      <c r="F218" s="14" t="str">
        <f>IF($A$218=0," ",LOOKUP($A$218,'Magic Items'!$R$2:$R$151,'Magic Items'!$W$2:$W$151))</f>
        <v xml:space="preserve"> </v>
      </c>
      <c r="G218" s="14" t="str">
        <f>IF($A$218=0," ",LOOKUP($A$218,'Magic Items'!$R$2:$R$151,'Magic Items'!$S$2:$S$151))</f>
        <v xml:space="preserve"> </v>
      </c>
      <c r="H218" s="44" t="str">
        <f>IF($A$218=0," ",LOOKUP($A$218,'Magic Items'!$R$2:$R$151,'Magic Items'!$AS$2:$AS$151))</f>
        <v xml:space="preserve"> </v>
      </c>
      <c r="I218" s="87"/>
      <c r="J218" s="44"/>
      <c r="K218" s="135"/>
      <c r="L218" s="9" t="str">
        <f t="shared" si="156"/>
        <v xml:space="preserve"> </v>
      </c>
      <c r="M218" s="9">
        <f>IF(A218=0,0,LOOKUP(A218,'Magic Items'!$R$2:$R$151,'Magic Items'!$U$2:$U$151))</f>
        <v>0</v>
      </c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54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126"/>
      <c r="CB218" s="87"/>
      <c r="CC218" s="14"/>
      <c r="CD218" s="14" t="str">
        <f>IF($A$218=0," ",LOOKUP($A$218,'Magic Items'!$R$2:$R$151,'Magic Items'!$V$2:$V$151))</f>
        <v xml:space="preserve"> </v>
      </c>
      <c r="CE218" s="14" t="str">
        <f t="shared" si="157"/>
        <v xml:space="preserve"> </v>
      </c>
      <c r="CF218" s="14" t="str">
        <f>IF($A$218=0," ",LOOKUP($A$218,'Magic Items'!$R$2:$R$151,'Magic Items'!$W$2:$W$151))</f>
        <v xml:space="preserve"> </v>
      </c>
      <c r="CG218" s="14" t="str">
        <f>IF($A$218=0," ",LOOKUP($A$218,'Magic Items'!$R$2:$R$151,'Magic Items'!$S$2:$S$151))</f>
        <v xml:space="preserve"> </v>
      </c>
      <c r="CH218" s="44" t="str">
        <f>IF($A$218=0," ",LOOKUP($A$218,'Magic Items'!$R$2:$R$151,'Magic Items'!$AS$2:$AS$151))</f>
        <v xml:space="preserve"> </v>
      </c>
      <c r="CI218" s="87"/>
      <c r="CJ218" s="44"/>
      <c r="CK218" s="135"/>
    </row>
    <row r="219" spans="1:90" s="89" customFormat="1">
      <c r="A219" s="238"/>
      <c r="B219" s="251"/>
      <c r="C219" s="240"/>
      <c r="D219" s="240" t="str">
        <f>IF($A$219=0," ",LOOKUP($A$219,'Magic Items'!$R$2:$R$151,'Magic Items'!$V$2:$V$151))</f>
        <v xml:space="preserve"> </v>
      </c>
      <c r="E219" s="240" t="str">
        <f t="shared" si="159"/>
        <v xml:space="preserve"> </v>
      </c>
      <c r="F219" s="240" t="str">
        <f>IF($A$219=0," ",LOOKUP($A$219,'Magic Items'!$R$2:$R$151,'Magic Items'!$W$2:$W$151))</f>
        <v xml:space="preserve"> </v>
      </c>
      <c r="G219" s="240" t="str">
        <f>IF($A$219=0," ",LOOKUP($A$219,'Magic Items'!$R$2:$R$151,'Magic Items'!$S$2:$S$151))</f>
        <v xml:space="preserve"> </v>
      </c>
      <c r="H219" s="252" t="str">
        <f>IF($A$219=0," ",LOOKUP($A$219,'Magic Items'!$R$2:$R$151,'Magic Items'!$AT$2:$AT$151))</f>
        <v xml:space="preserve"> </v>
      </c>
      <c r="I219" s="251"/>
      <c r="J219" s="252"/>
      <c r="K219" s="254"/>
      <c r="L219" s="9" t="str">
        <f t="shared" si="156"/>
        <v xml:space="preserve"> </v>
      </c>
      <c r="M219" s="9">
        <f>IF(A219=0,0,LOOKUP(A219,'Magic Items'!$R$2:$R$151,'Magic Items'!$U$2:$U$151))</f>
        <v>0</v>
      </c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54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238"/>
      <c r="CB219" s="251"/>
      <c r="CC219" s="240"/>
      <c r="CD219" s="240" t="str">
        <f>IF($A$219=0," ",LOOKUP($A$219,'Magic Items'!$R$2:$R$151,'Magic Items'!$V$2:$V$151))</f>
        <v xml:space="preserve"> </v>
      </c>
      <c r="CE219" s="240" t="str">
        <f t="shared" si="157"/>
        <v xml:space="preserve"> </v>
      </c>
      <c r="CF219" s="240" t="str">
        <f>IF($A$219=0," ",LOOKUP($A$219,'Magic Items'!$R$2:$R$151,'Magic Items'!$W$2:$W$151))</f>
        <v xml:space="preserve"> </v>
      </c>
      <c r="CG219" s="240" t="str">
        <f>IF($A$219=0," ",LOOKUP($A$219,'Magic Items'!$R$2:$R$151,'Magic Items'!$S$2:$S$151))</f>
        <v xml:space="preserve"> </v>
      </c>
      <c r="CH219" s="252" t="str">
        <f>IF($A$219=0," ",LOOKUP($A$219,'Magic Items'!$R$2:$R$151,'Magic Items'!$AT$2:$AT$151))</f>
        <v xml:space="preserve"> </v>
      </c>
      <c r="CI219" s="251"/>
      <c r="CJ219" s="252"/>
      <c r="CK219" s="254"/>
    </row>
    <row r="220" spans="1:90" s="89" customFormat="1">
      <c r="A220" s="126"/>
      <c r="B220" s="87"/>
      <c r="C220" s="14"/>
      <c r="D220" s="14" t="str">
        <f>IF($A$220=0," ",LOOKUP($A$220,'Magic Items'!$R$2:$R$151,'Magic Items'!$V$2:$V$151))</f>
        <v xml:space="preserve"> </v>
      </c>
      <c r="E220" s="14" t="str">
        <f t="shared" si="159"/>
        <v xml:space="preserve"> </v>
      </c>
      <c r="F220" s="14" t="str">
        <f>IF($A$220=0," ",LOOKUP($A$220,'Magic Items'!$R$2:$R$151,'Magic Items'!$W$2:$W$151))</f>
        <v xml:space="preserve"> </v>
      </c>
      <c r="G220" s="14" t="str">
        <f>IF($A$220=0," ",LOOKUP($A$220,'Magic Items'!$R$2:$R$151,'Magic Items'!$S$2:$S$151))</f>
        <v xml:space="preserve"> </v>
      </c>
      <c r="H220" s="44" t="str">
        <f>IF($A$220=0," ",LOOKUP($A$220,'Magic Items'!$R$2:$R$151,'Magic Items'!$AU$2:$AU$151))</f>
        <v xml:space="preserve"> </v>
      </c>
      <c r="I220" s="87"/>
      <c r="J220" s="44"/>
      <c r="K220" s="135"/>
      <c r="L220" s="9" t="str">
        <f t="shared" si="156"/>
        <v xml:space="preserve"> </v>
      </c>
      <c r="M220" s="9">
        <f>IF(A220=0,0,LOOKUP(A220,'Magic Items'!$R$2:$R$151,'Magic Items'!$U$2:$U$151))</f>
        <v>0</v>
      </c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54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126"/>
      <c r="CB220" s="87"/>
      <c r="CC220" s="14"/>
      <c r="CD220" s="14" t="str">
        <f>IF($A$220=0," ",LOOKUP($A$220,'Magic Items'!$R$2:$R$151,'Magic Items'!$V$2:$V$151))</f>
        <v xml:space="preserve"> </v>
      </c>
      <c r="CE220" s="14" t="str">
        <f t="shared" si="157"/>
        <v xml:space="preserve"> </v>
      </c>
      <c r="CF220" s="14" t="str">
        <f>IF($A$220=0," ",LOOKUP($A$220,'Magic Items'!$R$2:$R$151,'Magic Items'!$W$2:$W$151))</f>
        <v xml:space="preserve"> </v>
      </c>
      <c r="CG220" s="14" t="str">
        <f>IF($A$220=0," ",LOOKUP($A$220,'Magic Items'!$R$2:$R$151,'Magic Items'!$S$2:$S$151))</f>
        <v xml:space="preserve"> </v>
      </c>
      <c r="CH220" s="44" t="str">
        <f>IF($A$220=0," ",LOOKUP($A$220,'Magic Items'!$R$2:$R$151,'Magic Items'!$AU$2:$AU$151))</f>
        <v xml:space="preserve"> </v>
      </c>
      <c r="CI220" s="87"/>
      <c r="CJ220" s="44"/>
      <c r="CK220" s="135"/>
    </row>
    <row r="221" spans="1:90" s="89" customFormat="1">
      <c r="A221" s="238"/>
      <c r="B221" s="251"/>
      <c r="C221" s="240"/>
      <c r="D221" s="240" t="str">
        <f>IF($A$221=0," ",LOOKUP($A$221,'Magic Items'!$R$2:$R$151,'Magic Items'!$V$2:$V$151))</f>
        <v xml:space="preserve"> </v>
      </c>
      <c r="E221" s="240" t="str">
        <f t="shared" si="159"/>
        <v xml:space="preserve"> </v>
      </c>
      <c r="F221" s="240" t="str">
        <f>IF($A$221=0," ",LOOKUP($A$221,'Magic Items'!$R$2:$R$151,'Magic Items'!$W$2:$W$151))</f>
        <v xml:space="preserve"> </v>
      </c>
      <c r="G221" s="240" t="str">
        <f>IF($A$221=0," ",LOOKUP($A$221,'Magic Items'!$R$2:$R$151,'Magic Items'!$S$2:$S$151))</f>
        <v xml:space="preserve"> </v>
      </c>
      <c r="H221" s="252" t="str">
        <f>IF($A$221=0," ",LOOKUP($A$221,'Magic Items'!$R$2:$R$151,'Magic Items'!$AV$2:$AV$151))</f>
        <v xml:space="preserve"> </v>
      </c>
      <c r="I221" s="251"/>
      <c r="J221" s="252"/>
      <c r="K221" s="254"/>
      <c r="L221" s="9" t="str">
        <f t="shared" si="156"/>
        <v xml:space="preserve"> </v>
      </c>
      <c r="M221" s="9">
        <f>IF(A221=0,0,LOOKUP(A221,'Magic Items'!$R$2:$R$151,'Magic Items'!$U$2:$U$151))</f>
        <v>0</v>
      </c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54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238"/>
      <c r="CB221" s="251"/>
      <c r="CC221" s="240"/>
      <c r="CD221" s="240" t="str">
        <f>IF($A$221=0," ",LOOKUP($A$221,'Magic Items'!$R$2:$R$151,'Magic Items'!$V$2:$V$151))</f>
        <v xml:space="preserve"> </v>
      </c>
      <c r="CE221" s="240" t="str">
        <f t="shared" si="157"/>
        <v xml:space="preserve"> </v>
      </c>
      <c r="CF221" s="240" t="str">
        <f>IF($A$221=0," ",LOOKUP($A$221,'Magic Items'!$R$2:$R$151,'Magic Items'!$W$2:$W$151))</f>
        <v xml:space="preserve"> </v>
      </c>
      <c r="CG221" s="240" t="str">
        <f>IF($A$221=0," ",LOOKUP($A$221,'Magic Items'!$R$2:$R$151,'Magic Items'!$S$2:$S$151))</f>
        <v xml:space="preserve"> </v>
      </c>
      <c r="CH221" s="252" t="str">
        <f>IF($A$221=0," ",LOOKUP($A$221,'Magic Items'!$R$2:$R$151,'Magic Items'!$AV$2:$AV$151))</f>
        <v xml:space="preserve"> </v>
      </c>
      <c r="CI221" s="251"/>
      <c r="CJ221" s="252"/>
      <c r="CK221" s="254"/>
      <c r="CL221" s="89" t="str">
        <f t="shared" si="158"/>
        <v xml:space="preserve"> </v>
      </c>
    </row>
    <row r="222" spans="1:90" s="89" customFormat="1">
      <c r="A222" s="126"/>
      <c r="B222" s="87"/>
      <c r="C222" s="14"/>
      <c r="D222" s="14" t="str">
        <f>IF($A$222=0," ",LOOKUP($A$222,'Magic Items'!$R$2:$R$151,'Magic Items'!$V$2:$V$151))</f>
        <v xml:space="preserve"> </v>
      </c>
      <c r="E222" s="14" t="str">
        <f t="shared" si="159"/>
        <v xml:space="preserve"> </v>
      </c>
      <c r="F222" s="14" t="str">
        <f>IF($A$222=0," ",LOOKUP($A$222,'Magic Items'!$R$2:$R$151,'Magic Items'!$W$2:$W$151))</f>
        <v xml:space="preserve"> </v>
      </c>
      <c r="G222" s="14" t="str">
        <f>IF($A$222=0," ",LOOKUP($A$222,'Magic Items'!$R$2:$R$151,'Magic Items'!$S$2:$S$151))</f>
        <v xml:space="preserve"> </v>
      </c>
      <c r="H222" s="44" t="str">
        <f>IF($A$222=0," ",LOOKUP($A$222,'Magic Items'!$R$2:$R$151,'Magic Items'!$AW$2:$AW$151))</f>
        <v xml:space="preserve"> </v>
      </c>
      <c r="I222" s="87"/>
      <c r="J222" s="44"/>
      <c r="K222" s="135"/>
      <c r="L222" s="9" t="str">
        <f t="shared" si="156"/>
        <v xml:space="preserve"> </v>
      </c>
      <c r="M222" s="9">
        <f>IF(A222=0,0,LOOKUP(A222,'Magic Items'!$R$2:$R$151,'Magic Items'!$U$2:$U$151))</f>
        <v>0</v>
      </c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54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126"/>
      <c r="CB222" s="87"/>
      <c r="CC222" s="14"/>
      <c r="CD222" s="14" t="str">
        <f>IF($A$222=0," ",LOOKUP($A$222,'Magic Items'!$R$2:$R$151,'Magic Items'!$V$2:$V$151))</f>
        <v xml:space="preserve"> </v>
      </c>
      <c r="CE222" s="14" t="str">
        <f t="shared" si="157"/>
        <v xml:space="preserve"> </v>
      </c>
      <c r="CF222" s="14" t="str">
        <f>IF($A$222=0," ",LOOKUP($A$222,'Magic Items'!$R$2:$R$151,'Magic Items'!$W$2:$W$151))</f>
        <v xml:space="preserve"> </v>
      </c>
      <c r="CG222" s="14" t="str">
        <f>IF($A$222=0," ",LOOKUP($A$222,'Magic Items'!$R$2:$R$151,'Magic Items'!$S$2:$S$151))</f>
        <v xml:space="preserve"> </v>
      </c>
      <c r="CH222" s="44" t="str">
        <f>IF($A$222=0," ",LOOKUP($A$222,'Magic Items'!$R$2:$R$151,'Magic Items'!$AW$2:$AW$151))</f>
        <v xml:space="preserve"> </v>
      </c>
      <c r="CI222" s="87"/>
      <c r="CJ222" s="44"/>
      <c r="CK222" s="135"/>
      <c r="CL222" s="89" t="str">
        <f t="shared" si="158"/>
        <v xml:space="preserve"> </v>
      </c>
    </row>
    <row r="223" spans="1:90" s="89" customFormat="1">
      <c r="A223" s="238"/>
      <c r="B223" s="251"/>
      <c r="C223" s="240"/>
      <c r="D223" s="240" t="str">
        <f>IF($A$223=0," ",LOOKUP($A$223,'Magic Items'!$R$2:$R$151,'Magic Items'!$V$2:$V$151))</f>
        <v xml:space="preserve"> </v>
      </c>
      <c r="E223" s="240" t="str">
        <f t="shared" si="159"/>
        <v xml:space="preserve"> </v>
      </c>
      <c r="F223" s="240" t="str">
        <f>IF($A$223=0," ",LOOKUP($A$223,'Magic Items'!$R$2:$R$151,'Magic Items'!$W$2:$W$151))</f>
        <v xml:space="preserve"> </v>
      </c>
      <c r="G223" s="240" t="str">
        <f>IF($A$223=0," ",LOOKUP($A$223,'Magic Items'!$R$2:$R$151,'Magic Items'!$S$2:$S$151))</f>
        <v xml:space="preserve"> </v>
      </c>
      <c r="H223" s="252" t="str">
        <f>IF($A$223=0," ",LOOKUP($A$223,'Magic Items'!$R$2:$R$151,'Magic Items'!$AX$2:$AX$151))</f>
        <v xml:space="preserve"> </v>
      </c>
      <c r="I223" s="251"/>
      <c r="J223" s="252"/>
      <c r="K223" s="254"/>
      <c r="L223" s="9" t="str">
        <f t="shared" si="156"/>
        <v xml:space="preserve"> </v>
      </c>
      <c r="M223" s="9">
        <f>IF(A223=0,0,LOOKUP(A223,'Magic Items'!$R$2:$R$151,'Magic Items'!$U$2:$U$151))</f>
        <v>0</v>
      </c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54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238"/>
      <c r="CB223" s="251"/>
      <c r="CC223" s="240"/>
      <c r="CD223" s="240" t="str">
        <f>IF($A$223=0," ",LOOKUP($A$223,'Magic Items'!$R$2:$R$151,'Magic Items'!$V$2:$V$151))</f>
        <v xml:space="preserve"> </v>
      </c>
      <c r="CE223" s="240" t="str">
        <f t="shared" si="157"/>
        <v xml:space="preserve"> </v>
      </c>
      <c r="CF223" s="240" t="str">
        <f>IF($A$223=0," ",LOOKUP($A$223,'Magic Items'!$R$2:$R$151,'Magic Items'!$W$2:$W$151))</f>
        <v xml:space="preserve"> </v>
      </c>
      <c r="CG223" s="240" t="str">
        <f>IF($A$223=0," ",LOOKUP($A$223,'Magic Items'!$R$2:$R$151,'Magic Items'!$S$2:$S$151))</f>
        <v xml:space="preserve"> </v>
      </c>
      <c r="CH223" s="252" t="str">
        <f>IF($A$223=0," ",LOOKUP($A$223,'Magic Items'!$R$2:$R$151,'Magic Items'!$AX$2:$AX$151))</f>
        <v xml:space="preserve"> </v>
      </c>
      <c r="CI223" s="251"/>
      <c r="CJ223" s="252"/>
      <c r="CK223" s="254"/>
      <c r="CL223" s="89" t="str">
        <f t="shared" si="158"/>
        <v xml:space="preserve"> </v>
      </c>
    </row>
    <row r="224" spans="1:90" s="89" customFormat="1">
      <c r="A224" s="126"/>
      <c r="B224" s="87"/>
      <c r="C224" s="14"/>
      <c r="D224" s="14" t="str">
        <f>IF($A$224=0," ",LOOKUP($A$224,'Magic Items'!$R$2:$R$151,'Magic Items'!$V$2:$V$151))</f>
        <v xml:space="preserve"> </v>
      </c>
      <c r="E224" s="14" t="str">
        <f t="shared" si="159"/>
        <v xml:space="preserve"> </v>
      </c>
      <c r="F224" s="14" t="str">
        <f>IF($A$224=0," ",LOOKUP($A$224,'Magic Items'!$R$2:$R$151,'Magic Items'!$W$2:$W$151))</f>
        <v xml:space="preserve"> </v>
      </c>
      <c r="G224" s="14" t="str">
        <f>IF($A$224=0," ",LOOKUP($A$224,'Magic Items'!$R$2:$R$151,'Magic Items'!$S$2:$S$151))</f>
        <v xml:space="preserve"> </v>
      </c>
      <c r="H224" s="44" t="str">
        <f>IF($A$224=0," ",LOOKUP($A$224,'Magic Items'!$R$2:$R$151,'Magic Items'!$AY$2:$AY$151))</f>
        <v xml:space="preserve"> </v>
      </c>
      <c r="I224" s="87"/>
      <c r="J224" s="44"/>
      <c r="K224" s="135"/>
      <c r="L224" s="9" t="str">
        <f t="shared" si="156"/>
        <v xml:space="preserve"> </v>
      </c>
      <c r="M224" s="9">
        <f>IF(A224=0,0,LOOKUP(A224,'Magic Items'!$R$2:$R$151,'Magic Items'!$U$2:$U$151))</f>
        <v>0</v>
      </c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54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126"/>
      <c r="CB224" s="87"/>
      <c r="CC224" s="14"/>
      <c r="CD224" s="14" t="str">
        <f>IF($A$224=0," ",LOOKUP($A$224,'Magic Items'!$R$2:$R$151,'Magic Items'!$V$2:$V$151))</f>
        <v xml:space="preserve"> </v>
      </c>
      <c r="CE224" s="14" t="str">
        <f t="shared" si="157"/>
        <v xml:space="preserve"> </v>
      </c>
      <c r="CF224" s="14" t="str">
        <f>IF($A$224=0," ",LOOKUP($A$224,'Magic Items'!$R$2:$R$151,'Magic Items'!$W$2:$W$151))</f>
        <v xml:space="preserve"> </v>
      </c>
      <c r="CG224" s="14" t="str">
        <f>IF($A$224=0," ",LOOKUP($A$224,'Magic Items'!$R$2:$R$151,'Magic Items'!$S$2:$S$151))</f>
        <v xml:space="preserve"> </v>
      </c>
      <c r="CH224" s="44" t="str">
        <f>IF($A$224=0," ",LOOKUP($A$224,'Magic Items'!$R$2:$R$151,'Magic Items'!$AY$2:$AY$151))</f>
        <v xml:space="preserve"> </v>
      </c>
      <c r="CI224" s="87"/>
      <c r="CJ224" s="44"/>
      <c r="CK224" s="135"/>
      <c r="CL224" s="89" t="str">
        <f t="shared" si="158"/>
        <v xml:space="preserve"> </v>
      </c>
    </row>
    <row r="225" spans="1:90" s="89" customFormat="1">
      <c r="A225" s="238"/>
      <c r="B225" s="251"/>
      <c r="C225" s="240"/>
      <c r="D225" s="240" t="str">
        <f>IF($A$225=0," ",LOOKUP($A$225,'Magic Items'!$R$2:$R$151,'Magic Items'!$V$2:$V$151))</f>
        <v xml:space="preserve"> </v>
      </c>
      <c r="E225" s="240" t="str">
        <f t="shared" si="159"/>
        <v xml:space="preserve"> </v>
      </c>
      <c r="F225" s="240" t="str">
        <f>IF($A$225=0," ",LOOKUP($A$225,'Magic Items'!$R$2:$R$151,'Magic Items'!$W$2:$W$151))</f>
        <v xml:space="preserve"> </v>
      </c>
      <c r="G225" s="240" t="str">
        <f>IF($A$225=0," ",LOOKUP($A$225,'Magic Items'!$R$2:$R$151,'Magic Items'!$S$2:$S$151))</f>
        <v xml:space="preserve"> </v>
      </c>
      <c r="H225" s="252" t="str">
        <f>IF($A$225=0," ",LOOKUP($A$225,'Magic Items'!$R$2:$R$151,'Magic Items'!$AZ$2:$AZ$151))</f>
        <v xml:space="preserve"> </v>
      </c>
      <c r="I225" s="251"/>
      <c r="J225" s="252"/>
      <c r="K225" s="254"/>
      <c r="L225" s="9" t="str">
        <f t="shared" si="156"/>
        <v xml:space="preserve"> </v>
      </c>
      <c r="M225" s="9">
        <f>IF(A225=0,0,LOOKUP(A225,'Magic Items'!$R$2:$R$151,'Magic Items'!$U$2:$U$151))</f>
        <v>0</v>
      </c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54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238"/>
      <c r="CB225" s="251"/>
      <c r="CC225" s="240"/>
      <c r="CD225" s="240" t="str">
        <f>IF($A$225=0," ",LOOKUP($A$225,'Magic Items'!$R$2:$R$151,'Magic Items'!$V$2:$V$151))</f>
        <v xml:space="preserve"> </v>
      </c>
      <c r="CE225" s="240" t="str">
        <f t="shared" si="157"/>
        <v xml:space="preserve"> </v>
      </c>
      <c r="CF225" s="240" t="str">
        <f>IF($A$225=0," ",LOOKUP($A$225,'Magic Items'!$R$2:$R$151,'Magic Items'!$W$2:$W$151))</f>
        <v xml:space="preserve"> </v>
      </c>
      <c r="CG225" s="240" t="str">
        <f>IF($A$225=0," ",LOOKUP($A$225,'Magic Items'!$R$2:$R$151,'Magic Items'!$S$2:$S$151))</f>
        <v xml:space="preserve"> </v>
      </c>
      <c r="CH225" s="252" t="str">
        <f>IF($A$225=0," ",LOOKUP($A$225,'Magic Items'!$R$2:$R$151,'Magic Items'!$AZ$2:$AZ$151))</f>
        <v xml:space="preserve"> </v>
      </c>
      <c r="CI225" s="251"/>
      <c r="CJ225" s="252"/>
      <c r="CK225" s="254"/>
      <c r="CL225" s="89" t="str">
        <f t="shared" si="158"/>
        <v xml:space="preserve"> </v>
      </c>
    </row>
    <row r="226" spans="1:90" s="89" customFormat="1">
      <c r="A226" s="166"/>
      <c r="B226" s="168"/>
      <c r="C226" s="167"/>
      <c r="D226" s="167" t="str">
        <f>IF($A$226=0," ",LOOKUP($A$226,'Magic Items'!$R$2:$R$151,'Magic Items'!$V$2:$V$151))</f>
        <v xml:space="preserve"> </v>
      </c>
      <c r="E226" s="100" t="str">
        <f>IF(A226=0," ",IF(C226=D226,"MAX",IF(M226=1,LOOKUP((C226+1),$AQ$23:$AQ$38,$AS$23:$AS$38),IF(M226=2,LOOKUP(($B$202+1),$AQ$23:$AQ$38,$AU$23:$AU$38),IF(M226=3,LOOKUP((C226+1),$AQ$23:$AQ$38,$AW$23:$AW$38),IF(M226=4,LOOKUP(($B$202+1),$AQ$23:$AQ$38,$AY$23:$AY$38),0))))))</f>
        <v xml:space="preserve"> </v>
      </c>
      <c r="F226" s="167" t="str">
        <f>IF($A$226=0," ",LOOKUP($A$226,'Magic Items'!$R$2:$R$151,'Magic Items'!$W$2:$W$151))</f>
        <v xml:space="preserve"> </v>
      </c>
      <c r="G226" s="167" t="str">
        <f>IF($A$226=0," ",LOOKUP($A$226,'Magic Items'!$R$2:$R$151,'Magic Items'!$S$2:$S$151))</f>
        <v xml:space="preserve"> </v>
      </c>
      <c r="H226" s="111" t="str">
        <f>IF($A$226=0," ",LOOKUP($A$226,'Magic Items'!$R$2:$R$151,'Magic Items'!$BA$2:$BA$151))</f>
        <v xml:space="preserve"> </v>
      </c>
      <c r="I226" s="168"/>
      <c r="J226" s="111"/>
      <c r="K226" s="165"/>
      <c r="L226" s="9" t="str">
        <f t="shared" si="156"/>
        <v xml:space="preserve"> </v>
      </c>
      <c r="M226" s="9">
        <f>IF(A226=0,0,LOOKUP(A226,'Magic Items'!$R$2:$R$151,'Magic Items'!$U$2:$U$151))</f>
        <v>0</v>
      </c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54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166"/>
      <c r="CB226" s="168"/>
      <c r="CC226" s="167"/>
      <c r="CD226" s="167" t="str">
        <f>IF($A$226=0," ",LOOKUP($A$226,'Magic Items'!$R$2:$R$151,'Magic Items'!$V$2:$V$151))</f>
        <v xml:space="preserve"> </v>
      </c>
      <c r="CE226" s="100" t="str">
        <f t="shared" si="157"/>
        <v xml:space="preserve"> </v>
      </c>
      <c r="CF226" s="167" t="str">
        <f>IF($A$226=0," ",LOOKUP($A$226,'Magic Items'!$R$2:$R$151,'Magic Items'!$W$2:$W$151))</f>
        <v xml:space="preserve"> </v>
      </c>
      <c r="CG226" s="167" t="str">
        <f>IF($A$226=0," ",LOOKUP($A$226,'Magic Items'!$R$2:$R$151,'Magic Items'!$S$2:$S$151))</f>
        <v xml:space="preserve"> </v>
      </c>
      <c r="CH226" s="111" t="str">
        <f>IF($A$226=0," ",LOOKUP($A$226,'Magic Items'!$R$2:$R$151,'Magic Items'!$BA$2:$BA$151))</f>
        <v xml:space="preserve"> </v>
      </c>
      <c r="CI226" s="168"/>
      <c r="CJ226" s="111"/>
      <c r="CK226" s="165"/>
      <c r="CL226" s="89" t="str">
        <f t="shared" si="158"/>
        <v xml:space="preserve"> </v>
      </c>
    </row>
    <row r="227" spans="1:90">
      <c r="A227" s="138" t="s">
        <v>5529</v>
      </c>
      <c r="B227" s="98"/>
      <c r="C227" s="24" t="s">
        <v>5110</v>
      </c>
      <c r="D227" s="24" t="s">
        <v>5316</v>
      </c>
      <c r="E227" s="24"/>
      <c r="F227" s="24"/>
      <c r="G227" s="24" t="s">
        <v>5529</v>
      </c>
      <c r="H227" s="84"/>
      <c r="I227" s="24" t="s">
        <v>5110</v>
      </c>
      <c r="J227" s="24" t="s">
        <v>5316</v>
      </c>
      <c r="K227" s="163"/>
      <c r="Z227" s="54"/>
      <c r="BW227" s="89"/>
      <c r="BX227" s="89"/>
      <c r="BY227" s="89"/>
      <c r="BZ227" s="89"/>
      <c r="CA227" s="138" t="s">
        <v>5529</v>
      </c>
      <c r="CB227" s="98"/>
      <c r="CC227" s="24" t="s">
        <v>5110</v>
      </c>
      <c r="CD227" s="24" t="s">
        <v>5316</v>
      </c>
      <c r="CE227" s="24"/>
      <c r="CF227" s="24"/>
      <c r="CG227" s="24" t="s">
        <v>5529</v>
      </c>
      <c r="CH227" s="84"/>
      <c r="CI227" s="24" t="s">
        <v>5110</v>
      </c>
      <c r="CJ227" s="24" t="s">
        <v>5316</v>
      </c>
      <c r="CK227" s="163"/>
    </row>
    <row r="228" spans="1:90" s="89" customFormat="1">
      <c r="A228" s="126" t="s">
        <v>5317</v>
      </c>
      <c r="B228" s="14">
        <v>3</v>
      </c>
      <c r="C228" s="14" t="str">
        <f>IF(A228=0," ",LOOKUP(A228,'Magic Items'!$A$2:$A$74,'Magic Items'!$B$2:$B$74))</f>
        <v>ED 258</v>
      </c>
      <c r="D228" s="44" t="str">
        <f>IF(A228=0," ",LOOKUP(A228,'Magic Items'!$A$2:$A$74,'Magic Items'!$D$2:$D$74))</f>
        <v>Suppresses poison effects for 4 hours.  Also gives +4 steps to resistance test.</v>
      </c>
      <c r="E228" s="21"/>
      <c r="F228" s="21"/>
      <c r="G228" s="21"/>
      <c r="H228" s="21"/>
      <c r="I228" s="14" t="str">
        <f>IF(G228=0," ",LOOKUP(G228,'Magic Items'!$A$2:$A$74,'Magic Items'!$B$2:$B$74))</f>
        <v xml:space="preserve"> </v>
      </c>
      <c r="J228" s="44" t="str">
        <f>IF(G228=0," ",LOOKUP(G228,'Magic Items'!$A$2:$A$74,'Magic Items'!$D$2:$D$74))</f>
        <v xml:space="preserve"> </v>
      </c>
      <c r="K228" s="135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54"/>
      <c r="AA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CA228" s="126"/>
      <c r="CB228" s="14"/>
      <c r="CC228" s="14" t="str">
        <f>IF(CA228=0," ",LOOKUP(CA228,'Magic Items'!$A$2:$A$74,'Magic Items'!$B$2:$B$74))</f>
        <v xml:space="preserve"> </v>
      </c>
      <c r="CD228" s="44" t="str">
        <f>IF(CA228=0," ",LOOKUP(CA228,'Magic Items'!$A$2:$A$74,'Magic Items'!$D$2:$D$74))</f>
        <v xml:space="preserve"> </v>
      </c>
      <c r="CE228" s="21"/>
      <c r="CF228" s="21"/>
      <c r="CG228" s="21"/>
      <c r="CH228" s="21"/>
      <c r="CI228" s="14" t="str">
        <f>IF(CG228=0," ",LOOKUP(CG228,'Magic Items'!$A$2:$A$74,'Magic Items'!$B$2:$B$74))</f>
        <v xml:space="preserve"> </v>
      </c>
      <c r="CJ228" s="44" t="str">
        <f>IF(CG228=0," ",LOOKUP(CG228,'Magic Items'!$A$2:$A$74,'Magic Items'!$D$2:$D$74))</f>
        <v xml:space="preserve"> </v>
      </c>
      <c r="CK228" s="135"/>
    </row>
    <row r="229" spans="1:90" s="89" customFormat="1">
      <c r="A229" s="238" t="s">
        <v>5318</v>
      </c>
      <c r="B229" s="240">
        <v>3</v>
      </c>
      <c r="C229" s="240" t="str">
        <f>IF(A229=0," ",LOOKUP(A229,'Magic Items'!$A$2:$A$74,'Magic Items'!$B$2:$B$74))</f>
        <v>ED 258</v>
      </c>
      <c r="D229" s="252" t="str">
        <f>IF(A229=0," ",LOOKUP(A229,'Magic Items'!$A$2:$A$74,'Magic Items'!$D$2:$D$74))</f>
        <v>Suppresses poison effects for 4 hours.  Also gives +4 steps to resistance test.</v>
      </c>
      <c r="E229" s="253"/>
      <c r="F229" s="253"/>
      <c r="G229" s="253"/>
      <c r="H229" s="253"/>
      <c r="I229" s="240" t="str">
        <f>IF(G229=0," ",LOOKUP(G229,'Magic Items'!$A$2:$A$74,'Magic Items'!$B$2:$B$74))</f>
        <v xml:space="preserve"> </v>
      </c>
      <c r="J229" s="252" t="str">
        <f>IF(G229=0," ",LOOKUP(G229,'Magic Items'!$A$2:$A$74,'Magic Items'!$D$2:$D$74))</f>
        <v xml:space="preserve"> </v>
      </c>
      <c r="K229" s="254"/>
      <c r="Z229" s="90"/>
      <c r="CA229" s="238"/>
      <c r="CB229" s="240"/>
      <c r="CC229" s="240" t="str">
        <f>IF(CA229=0," ",LOOKUP(CA229,'Magic Items'!$A$2:$A$74,'Magic Items'!$B$2:$B$74))</f>
        <v xml:space="preserve"> </v>
      </c>
      <c r="CD229" s="252" t="str">
        <f>IF(CA229=0," ",LOOKUP(CA229,'Magic Items'!$A$2:$A$74,'Magic Items'!$D$2:$D$74))</f>
        <v xml:space="preserve"> </v>
      </c>
      <c r="CE229" s="253"/>
      <c r="CF229" s="253"/>
      <c r="CG229" s="253"/>
      <c r="CH229" s="253"/>
      <c r="CI229" s="240" t="str">
        <f>IF(CG229=0," ",LOOKUP(CG229,'Magic Items'!$A$2:$A$74,'Magic Items'!$B$2:$B$74))</f>
        <v xml:space="preserve"> </v>
      </c>
      <c r="CJ229" s="252" t="str">
        <f>IF(CG229=0," ",LOOKUP(CG229,'Magic Items'!$A$2:$A$74,'Magic Items'!$D$2:$D$74))</f>
        <v xml:space="preserve"> </v>
      </c>
      <c r="CK229" s="254"/>
    </row>
    <row r="230" spans="1:90" s="89" customFormat="1">
      <c r="A230" s="126" t="s">
        <v>5319</v>
      </c>
      <c r="B230" s="14">
        <v>3</v>
      </c>
      <c r="C230" s="14" t="str">
        <f>IF(A230=0," ",LOOKUP(A230,'Magic Items'!$A$2:$A$74,'Magic Items'!$B$2:$B$74))</f>
        <v>ED 258</v>
      </c>
      <c r="D230" s="44" t="str">
        <f>IF(A230=0," ",LOOKUP(A230,'Magic Items'!$A$2:$A$74,'Magic Items'!$D$2:$D$74))</f>
        <v>+8 steps to a recovery test.  Not effective if no recovery tests left.</v>
      </c>
      <c r="E230" s="21"/>
      <c r="F230" s="21"/>
      <c r="G230" s="21"/>
      <c r="H230" s="21"/>
      <c r="I230" s="14" t="str">
        <f>IF(G230=0," ",LOOKUP(G230,'Magic Items'!$A$2:$A$74,'Magic Items'!$B$2:$B$74))</f>
        <v xml:space="preserve"> </v>
      </c>
      <c r="J230" s="44" t="str">
        <f>IF(G230=0," ",LOOKUP(G230,'Magic Items'!$A$2:$A$74,'Magic Items'!$D$2:$D$74))</f>
        <v xml:space="preserve"> </v>
      </c>
      <c r="K230" s="135"/>
      <c r="Z230" s="90"/>
      <c r="CA230" s="126"/>
      <c r="CB230" s="14"/>
      <c r="CC230" s="14" t="str">
        <f>IF(CA230=0," ",LOOKUP(CA230,'Magic Items'!$A$2:$A$74,'Magic Items'!$B$2:$B$74))</f>
        <v xml:space="preserve"> </v>
      </c>
      <c r="CD230" s="44" t="str">
        <f>IF(CA230=0," ",LOOKUP(CA230,'Magic Items'!$A$2:$A$74,'Magic Items'!$D$2:$D$74))</f>
        <v xml:space="preserve"> </v>
      </c>
      <c r="CE230" s="21"/>
      <c r="CF230" s="21"/>
      <c r="CG230" s="21"/>
      <c r="CH230" s="21"/>
      <c r="CI230" s="14" t="str">
        <f>IF(CG230=0," ",LOOKUP(CG230,'Magic Items'!$A$2:$A$74,'Magic Items'!$B$2:$B$74))</f>
        <v xml:space="preserve"> </v>
      </c>
      <c r="CJ230" s="44" t="str">
        <f>IF(CG230=0," ",LOOKUP(CG230,'Magic Items'!$A$2:$A$74,'Magic Items'!$D$2:$D$74))</f>
        <v xml:space="preserve"> </v>
      </c>
      <c r="CK230" s="135"/>
    </row>
    <row r="231" spans="1:90" s="89" customFormat="1">
      <c r="A231" s="238" t="s">
        <v>5320</v>
      </c>
      <c r="B231" s="240">
        <v>3</v>
      </c>
      <c r="C231" s="240" t="str">
        <f>IF(A231=0," ",LOOKUP(A231,'Magic Items'!$A$2:$A$74,'Magic Items'!$B$2:$B$74))</f>
        <v>ED 258</v>
      </c>
      <c r="D231" s="252" t="str">
        <f>IF(A231=0," ",LOOKUP(A231,'Magic Items'!$A$2:$A$74,'Magic Items'!$D$2:$D$74))</f>
        <v>+8 steps to recovery test and heals a wound.  May be used when no recovery tests are left.</v>
      </c>
      <c r="E231" s="253"/>
      <c r="F231" s="253"/>
      <c r="G231" s="253"/>
      <c r="H231" s="253"/>
      <c r="I231" s="240" t="str">
        <f>IF(G231=0," ",LOOKUP(G231,'Magic Items'!$A$2:$A$74,'Magic Items'!$B$2:$B$74))</f>
        <v xml:space="preserve"> </v>
      </c>
      <c r="J231" s="252" t="str">
        <f>IF(G231=0," ",LOOKUP(G231,'Magic Items'!$A$2:$A$74,'Magic Items'!$D$2:$D$74))</f>
        <v xml:space="preserve"> </v>
      </c>
      <c r="K231" s="254"/>
      <c r="Z231" s="90"/>
      <c r="CA231" s="238"/>
      <c r="CB231" s="240"/>
      <c r="CC231" s="240" t="str">
        <f>IF(CA231=0," ",LOOKUP(CA231,'Magic Items'!$A$2:$A$74,'Magic Items'!$B$2:$B$74))</f>
        <v xml:space="preserve"> </v>
      </c>
      <c r="CD231" s="252" t="str">
        <f>IF(CA231=0," ",LOOKUP(CA231,'Magic Items'!$A$2:$A$74,'Magic Items'!$D$2:$D$74))</f>
        <v xml:space="preserve"> </v>
      </c>
      <c r="CE231" s="253"/>
      <c r="CF231" s="253"/>
      <c r="CG231" s="253"/>
      <c r="CH231" s="253"/>
      <c r="CI231" s="240" t="str">
        <f>IF(CG231=0," ",LOOKUP(CG231,'Magic Items'!$A$2:$A$74,'Magic Items'!$B$2:$B$74))</f>
        <v xml:space="preserve"> </v>
      </c>
      <c r="CJ231" s="252" t="str">
        <f>IF(CG231=0," ",LOOKUP(CG231,'Magic Items'!$A$2:$A$74,'Magic Items'!$D$2:$D$74))</f>
        <v xml:space="preserve"> </v>
      </c>
      <c r="CK231" s="254"/>
    </row>
    <row r="232" spans="1:90" s="89" customFormat="1">
      <c r="A232" s="126" t="s">
        <v>5321</v>
      </c>
      <c r="B232" s="14">
        <v>2</v>
      </c>
      <c r="C232" s="14" t="str">
        <f>IF(A232=0," ",LOOKUP(A232,'Magic Items'!$A$2:$A$74,'Magic Items'!$B$2:$B$74))</f>
        <v>ED 258</v>
      </c>
      <c r="D232" s="44" t="str">
        <f>IF(A232=0," ",LOOKUP(A232,'Magic Items'!$A$2:$A$74,'Magic Items'!$D$2:$D$74))</f>
        <v>+5 steps on disease resistance tests.</v>
      </c>
      <c r="E232" s="21"/>
      <c r="F232" s="21"/>
      <c r="G232" s="21"/>
      <c r="H232" s="21"/>
      <c r="I232" s="14" t="str">
        <f>IF(G232=0," ",LOOKUP(G232,'Magic Items'!$A$2:$A$74,'Magic Items'!$B$2:$B$74))</f>
        <v xml:space="preserve"> </v>
      </c>
      <c r="J232" s="44" t="str">
        <f>IF(G232=0," ",LOOKUP(G232,'Magic Items'!$A$2:$A$74,'Magic Items'!$D$2:$D$74))</f>
        <v xml:space="preserve"> </v>
      </c>
      <c r="K232" s="135"/>
      <c r="U232" s="91"/>
      <c r="Z232" s="90"/>
      <c r="CA232" s="126"/>
      <c r="CB232" s="14"/>
      <c r="CC232" s="14" t="str">
        <f>IF(CA232=0," ",LOOKUP(CA232,'Magic Items'!$A$2:$A$74,'Magic Items'!$B$2:$B$74))</f>
        <v xml:space="preserve"> </v>
      </c>
      <c r="CD232" s="44" t="str">
        <f>IF(CA232=0," ",LOOKUP(CA232,'Magic Items'!$A$2:$A$74,'Magic Items'!$D$2:$D$74))</f>
        <v xml:space="preserve"> </v>
      </c>
      <c r="CE232" s="21"/>
      <c r="CF232" s="21"/>
      <c r="CG232" s="21"/>
      <c r="CH232" s="21"/>
      <c r="CI232" s="14" t="str">
        <f>IF(CG232=0," ",LOOKUP(CG232,'Magic Items'!$A$2:$A$74,'Magic Items'!$B$2:$B$74))</f>
        <v xml:space="preserve"> </v>
      </c>
      <c r="CJ232" s="44" t="str">
        <f>IF(CG232=0," ",LOOKUP(CG232,'Magic Items'!$A$2:$A$74,'Magic Items'!$D$2:$D$74))</f>
        <v xml:space="preserve"> </v>
      </c>
      <c r="CK232" s="135"/>
    </row>
    <row r="233" spans="1:90" s="89" customFormat="1">
      <c r="A233" s="238" t="s">
        <v>5322</v>
      </c>
      <c r="B233" s="240">
        <v>1</v>
      </c>
      <c r="C233" s="240" t="str">
        <f>IF(A233=0," ",LOOKUP(A233,'Magic Items'!$A$2:$A$74,'Magic Items'!$B$2:$B$74))</f>
        <v>ED 258</v>
      </c>
      <c r="D233" s="252" t="str">
        <f>IF(A233=0," ",LOOKUP(A233,'Magic Items'!$A$2:$A$74,'Magic Items'!$D$2:$D$74))</f>
        <v>Allows character to use all remaining recovery tests, or gives free recovery test if none left.</v>
      </c>
      <c r="E233" s="253"/>
      <c r="F233" s="253"/>
      <c r="G233" s="253"/>
      <c r="H233" s="253"/>
      <c r="I233" s="240" t="str">
        <f>IF(G233=0," ",LOOKUP(G233,'Magic Items'!$A$2:$A$74,'Magic Items'!$B$2:$B$74))</f>
        <v xml:space="preserve"> </v>
      </c>
      <c r="J233" s="252" t="str">
        <f>IF(G233=0," ",LOOKUP(G233,'Magic Items'!$A$2:$A$74,'Magic Items'!$D$2:$D$74))</f>
        <v xml:space="preserve"> </v>
      </c>
      <c r="K233" s="254"/>
      <c r="U233" s="91"/>
      <c r="Z233" s="90"/>
      <c r="CA233" s="238"/>
      <c r="CB233" s="240"/>
      <c r="CC233" s="240" t="str">
        <f>IF(CA233=0," ",LOOKUP(CA233,'Magic Items'!$A$2:$A$74,'Magic Items'!$B$2:$B$74))</f>
        <v xml:space="preserve"> </v>
      </c>
      <c r="CD233" s="252" t="str">
        <f>IF(CA233=0," ",LOOKUP(CA233,'Magic Items'!$A$2:$A$74,'Magic Items'!$D$2:$D$74))</f>
        <v xml:space="preserve"> </v>
      </c>
      <c r="CE233" s="253"/>
      <c r="CF233" s="253"/>
      <c r="CG233" s="253"/>
      <c r="CH233" s="253"/>
      <c r="CI233" s="240" t="str">
        <f>IF(CG233=0," ",LOOKUP(CG233,'Magic Items'!$A$2:$A$74,'Magic Items'!$B$2:$B$74))</f>
        <v xml:space="preserve"> </v>
      </c>
      <c r="CJ233" s="252" t="str">
        <f>IF(CG233=0," ",LOOKUP(CG233,'Magic Items'!$A$2:$A$74,'Magic Items'!$D$2:$D$74))</f>
        <v xml:space="preserve"> </v>
      </c>
      <c r="CK233" s="254"/>
    </row>
    <row r="234" spans="1:90" s="89" customFormat="1">
      <c r="A234" s="126"/>
      <c r="B234" s="14"/>
      <c r="C234" s="14" t="str">
        <f>IF(A234=0," ",LOOKUP(A234,'Magic Items'!$A$2:$A$74,'Magic Items'!$B$2:$B$74))</f>
        <v xml:space="preserve"> </v>
      </c>
      <c r="D234" s="44" t="str">
        <f>IF(A234=0," ",LOOKUP(A234,'Magic Items'!$A$2:$A$74,'Magic Items'!$D$2:$D$74))</f>
        <v xml:space="preserve"> </v>
      </c>
      <c r="E234" s="21"/>
      <c r="F234" s="21"/>
      <c r="G234" s="21"/>
      <c r="H234" s="21"/>
      <c r="I234" s="14" t="str">
        <f>IF(G234=0," ",LOOKUP(G234,'Magic Items'!$A$2:$A$74,'Magic Items'!$B$2:$B$74))</f>
        <v xml:space="preserve"> </v>
      </c>
      <c r="J234" s="44" t="str">
        <f>IF(G234=0," ",LOOKUP(G234,'Magic Items'!$A$2:$A$74,'Magic Items'!$D$2:$D$74))</f>
        <v xml:space="preserve"> </v>
      </c>
      <c r="K234" s="135"/>
      <c r="Z234" s="90"/>
      <c r="CA234" s="126"/>
      <c r="CB234" s="14"/>
      <c r="CC234" s="14" t="str">
        <f>IF(CA234=0," ",LOOKUP(CA234,'Magic Items'!$A$2:$A$74,'Magic Items'!$B$2:$B$74))</f>
        <v xml:space="preserve"> </v>
      </c>
      <c r="CD234" s="44" t="str">
        <f>IF(CA234=0," ",LOOKUP(CA234,'Magic Items'!$A$2:$A$74,'Magic Items'!$D$2:$D$74))</f>
        <v xml:space="preserve"> </v>
      </c>
      <c r="CE234" s="21"/>
      <c r="CF234" s="21"/>
      <c r="CG234" s="21"/>
      <c r="CH234" s="21"/>
      <c r="CI234" s="14" t="str">
        <f>IF(CG234=0," ",LOOKUP(CG234,'Magic Items'!$A$2:$A$74,'Magic Items'!$B$2:$B$74))</f>
        <v xml:space="preserve"> </v>
      </c>
      <c r="CJ234" s="44" t="str">
        <f>IF(CG234=0," ",LOOKUP(CG234,'Magic Items'!$A$2:$A$74,'Magic Items'!$D$2:$D$74))</f>
        <v xml:space="preserve"> </v>
      </c>
      <c r="CK234" s="135"/>
    </row>
    <row r="235" spans="1:90" s="89" customFormat="1">
      <c r="A235" s="238"/>
      <c r="B235" s="240"/>
      <c r="C235" s="240" t="str">
        <f>IF(A235=0," ",LOOKUP(A235,'Magic Items'!$A$2:$A$74,'Magic Items'!$B$2:$B$74))</f>
        <v xml:space="preserve"> </v>
      </c>
      <c r="D235" s="252" t="str">
        <f>IF(A235=0," ",LOOKUP(A235,'Magic Items'!$A$2:$A$74,'Magic Items'!$D$2:$D$74))</f>
        <v xml:space="preserve"> </v>
      </c>
      <c r="E235" s="253"/>
      <c r="F235" s="253"/>
      <c r="G235" s="253"/>
      <c r="H235" s="253"/>
      <c r="I235" s="240" t="str">
        <f>IF(G235=0," ",LOOKUP(G235,'Magic Items'!$A$2:$A$74,'Magic Items'!$B$2:$B$74))</f>
        <v xml:space="preserve"> </v>
      </c>
      <c r="J235" s="252" t="str">
        <f>IF(G235=0," ",LOOKUP(G235,'Magic Items'!$A$2:$A$74,'Magic Items'!$D$2:$D$74))</f>
        <v xml:space="preserve"> </v>
      </c>
      <c r="K235" s="254"/>
      <c r="Z235" s="90"/>
      <c r="CA235" s="238"/>
      <c r="CB235" s="240"/>
      <c r="CC235" s="240" t="str">
        <f>IF(CA235=0," ",LOOKUP(CA235,'Magic Items'!$A$2:$A$74,'Magic Items'!$B$2:$B$74))</f>
        <v xml:space="preserve"> </v>
      </c>
      <c r="CD235" s="252" t="str">
        <f>IF(CA235=0," ",LOOKUP(CA235,'Magic Items'!$A$2:$A$74,'Magic Items'!$D$2:$D$74))</f>
        <v xml:space="preserve"> </v>
      </c>
      <c r="CE235" s="253"/>
      <c r="CF235" s="253"/>
      <c r="CG235" s="253"/>
      <c r="CH235" s="253"/>
      <c r="CI235" s="240" t="str">
        <f>IF(CG235=0," ",LOOKUP(CG235,'Magic Items'!$A$2:$A$74,'Magic Items'!$B$2:$B$74))</f>
        <v xml:space="preserve"> </v>
      </c>
      <c r="CJ235" s="252" t="str">
        <f>IF(CG235=0," ",LOOKUP(CG235,'Magic Items'!$A$2:$A$74,'Magic Items'!$D$2:$D$74))</f>
        <v xml:space="preserve"> </v>
      </c>
      <c r="CK235" s="254"/>
    </row>
    <row r="236" spans="1:90" s="89" customFormat="1">
      <c r="A236" s="141"/>
      <c r="B236" s="23"/>
      <c r="C236" s="23" t="str">
        <f>IF(A236=0," ",LOOKUP(A236,'Magic Items'!$A$2:$A$74,'Magic Items'!$B$2:$B$74))</f>
        <v xml:space="preserve"> </v>
      </c>
      <c r="D236" s="30" t="str">
        <f>IF(A236=0," ",LOOKUP(A236,'Magic Items'!$A$2:$A$74,'Magic Items'!$D$2:$D$74))</f>
        <v xml:space="preserve"> </v>
      </c>
      <c r="E236" s="29"/>
      <c r="F236" s="29"/>
      <c r="G236" s="29"/>
      <c r="H236" s="29"/>
      <c r="I236" s="23" t="str">
        <f>IF(G236=0," ",LOOKUP(G236,'Magic Items'!$A$2:$A$74,'Magic Items'!$B$2:$B$74))</f>
        <v xml:space="preserve"> </v>
      </c>
      <c r="J236" s="30" t="str">
        <f>IF(G236=0," ",LOOKUP(G236,'Magic Items'!$A$2:$A$74,'Magic Items'!$D$2:$D$74))</f>
        <v xml:space="preserve"> </v>
      </c>
      <c r="K236" s="155"/>
      <c r="Z236" s="90"/>
      <c r="CA236" s="141"/>
      <c r="CB236" s="23"/>
      <c r="CC236" s="23" t="str">
        <f>IF(CA236=0," ",LOOKUP(CA236,'Magic Items'!$A$2:$A$74,'Magic Items'!$B$2:$B$74))</f>
        <v xml:space="preserve"> </v>
      </c>
      <c r="CD236" s="30" t="str">
        <f>IF(CA236=0," ",LOOKUP(CA236,'Magic Items'!$A$2:$A$74,'Magic Items'!$D$2:$D$74))</f>
        <v xml:space="preserve"> </v>
      </c>
      <c r="CE236" s="29"/>
      <c r="CF236" s="29"/>
      <c r="CG236" s="29"/>
      <c r="CH236" s="29"/>
      <c r="CI236" s="23" t="str">
        <f>IF(CG236=0," ",LOOKUP(CG236,'Magic Items'!$A$2:$A$74,'Magic Items'!$B$2:$B$74))</f>
        <v xml:space="preserve"> </v>
      </c>
      <c r="CJ236" s="30" t="str">
        <f>IF(CG236=0," ",LOOKUP(CG236,'Magic Items'!$A$2:$A$74,'Magic Items'!$D$2:$D$74))</f>
        <v xml:space="preserve"> </v>
      </c>
      <c r="CK236" s="155"/>
    </row>
    <row r="237" spans="1:90">
      <c r="A237" s="138" t="s">
        <v>5323</v>
      </c>
      <c r="B237" s="18"/>
      <c r="C237" s="18" t="s">
        <v>5117</v>
      </c>
      <c r="D237" s="24" t="s">
        <v>5110</v>
      </c>
      <c r="E237" s="24" t="s">
        <v>5445</v>
      </c>
      <c r="F237" s="84"/>
      <c r="G237" s="84"/>
      <c r="H237" s="84"/>
      <c r="I237" s="84"/>
      <c r="J237" s="84"/>
      <c r="K237" s="163" t="s">
        <v>5324</v>
      </c>
      <c r="Z237" s="54"/>
      <c r="BW237" s="89"/>
      <c r="BX237" s="89"/>
      <c r="BY237" s="89"/>
      <c r="BZ237" s="89"/>
      <c r="CA237" s="138" t="s">
        <v>5323</v>
      </c>
      <c r="CB237" s="18"/>
      <c r="CC237" s="18" t="s">
        <v>5117</v>
      </c>
      <c r="CD237" s="24" t="s">
        <v>5110</v>
      </c>
      <c r="CE237" s="24" t="s">
        <v>5445</v>
      </c>
      <c r="CF237" s="84"/>
      <c r="CG237" s="84"/>
      <c r="CH237" s="84"/>
      <c r="CI237" s="84"/>
      <c r="CJ237" s="84"/>
      <c r="CK237" s="163" t="s">
        <v>5324</v>
      </c>
    </row>
    <row r="238" spans="1:90" s="89" customFormat="1">
      <c r="A238" s="126" t="s">
        <v>5539</v>
      </c>
      <c r="B238" s="14"/>
      <c r="C238" s="14">
        <f>IF(A238=0," ",LOOKUP(A238,'Magic Items'!$F$2:$F$90,'Magic Items'!$I$2:$I$90))</f>
        <v>2</v>
      </c>
      <c r="D238" s="14" t="str">
        <f>IF(A238=0," ",LOOKUP(A238,'Magic Items'!$F$2:$F$90,'Magic Items'!$G$2:$G$90))</f>
        <v>MMMS 11</v>
      </c>
      <c r="E238" s="21" t="str">
        <f>IF(A238=0," ",LOOKUP(A238,'Magic Items'!$F$2:$F$90,'Magic Items'!$K$2:$K$90))</f>
        <v>Allows formation of a group for a group name.  See text.</v>
      </c>
      <c r="F238" s="21"/>
      <c r="G238" s="21"/>
      <c r="H238" s="21"/>
      <c r="I238" s="21"/>
      <c r="J238" s="21"/>
      <c r="K238" s="140">
        <f>IF(A238=0," ",LOOKUP(A238,'Magic Items'!$F$2:$F$90,'Magic Items'!$J$2:$J$90))</f>
        <v>0</v>
      </c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54"/>
      <c r="AA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CA238" s="126"/>
      <c r="CB238" s="14"/>
      <c r="CC238" s="14" t="str">
        <f>IF(CA238=0," ",LOOKUP(CA238,'Magic Items'!$F$2:$F$90,'Magic Items'!$I$2:$I$90))</f>
        <v xml:space="preserve"> </v>
      </c>
      <c r="CD238" s="14" t="str">
        <f>IF(CA238=0," ",LOOKUP(CA238,'Magic Items'!$F$2:$F$90,'Magic Items'!$G$2:$G$90))</f>
        <v xml:space="preserve"> </v>
      </c>
      <c r="CE238" s="21" t="str">
        <f>IF(CA238=0," ",LOOKUP(CA238,'Magic Items'!$F$2:$F$90,'Magic Items'!$K$2:$K$90))</f>
        <v xml:space="preserve"> </v>
      </c>
      <c r="CF238" s="21"/>
      <c r="CG238" s="21"/>
      <c r="CH238" s="21"/>
      <c r="CI238" s="21"/>
      <c r="CJ238" s="21"/>
      <c r="CK238" s="140" t="str">
        <f>IF(CA238=0," ",LOOKUP(CA238,'Magic Items'!$F$2:$F$90,'Magic Items'!$J$2:$J$90))</f>
        <v xml:space="preserve"> </v>
      </c>
    </row>
    <row r="239" spans="1:90" s="89" customFormat="1">
      <c r="A239" s="238"/>
      <c r="B239" s="240"/>
      <c r="C239" s="240" t="str">
        <f>IF(A239=0," ",LOOKUP(A239,'Magic Items'!$F$2:$F$90,'Magic Items'!$I$2:$I$90))</f>
        <v xml:space="preserve"> </v>
      </c>
      <c r="D239" s="240" t="str">
        <f>IF(A239=0," ",LOOKUP(A239,'Magic Items'!$F$2:$F$90,'Magic Items'!$G$2:$G$90))</f>
        <v xml:space="preserve"> </v>
      </c>
      <c r="E239" s="253" t="str">
        <f>IF(A239=0," ",LOOKUP(A239,'Magic Items'!$F$2:$F$90,'Magic Items'!$K$2:$K$90))</f>
        <v xml:space="preserve"> </v>
      </c>
      <c r="F239" s="253"/>
      <c r="G239" s="253"/>
      <c r="H239" s="253"/>
      <c r="I239" s="253"/>
      <c r="J239" s="253"/>
      <c r="K239" s="242" t="str">
        <f>IF(A239=0," ",LOOKUP(A239,'Magic Items'!$F$2:$F$90,'Magic Items'!$J$2:$J$90))</f>
        <v xml:space="preserve"> </v>
      </c>
      <c r="Z239" s="90"/>
      <c r="CA239" s="238"/>
      <c r="CB239" s="240"/>
      <c r="CC239" s="240" t="str">
        <f>IF(CA239=0," ",LOOKUP(CA239,'Magic Items'!$F$2:$F$90,'Magic Items'!$I$2:$I$90))</f>
        <v xml:space="preserve"> </v>
      </c>
      <c r="CD239" s="240" t="str">
        <f>IF(CA239=0," ",LOOKUP(CA239,'Magic Items'!$F$2:$F$90,'Magic Items'!$G$2:$G$90))</f>
        <v xml:space="preserve"> </v>
      </c>
      <c r="CE239" s="253" t="str">
        <f>IF(CA239=0," ",LOOKUP(CA239,'Magic Items'!$F$2:$F$90,'Magic Items'!$K$2:$K$90))</f>
        <v xml:space="preserve"> </v>
      </c>
      <c r="CF239" s="253"/>
      <c r="CG239" s="253"/>
      <c r="CH239" s="253"/>
      <c r="CI239" s="253"/>
      <c r="CJ239" s="253"/>
      <c r="CK239" s="242" t="str">
        <f>IF(CA239=0," ",LOOKUP(CA239,'Magic Items'!$F$2:$F$90,'Magic Items'!$J$2:$J$90))</f>
        <v xml:space="preserve"> </v>
      </c>
    </row>
    <row r="240" spans="1:90" s="89" customFormat="1">
      <c r="A240" s="126"/>
      <c r="B240" s="14"/>
      <c r="C240" s="14" t="str">
        <f>IF(A240=0," ",LOOKUP(A240,'Magic Items'!$F$2:$F$90,'Magic Items'!$I$2:$I$90))</f>
        <v xml:space="preserve"> </v>
      </c>
      <c r="D240" s="14" t="str">
        <f>IF(A240=0," ",LOOKUP(A240,'Magic Items'!$F$2:$F$90,'Magic Items'!$G$2:$G$90))</f>
        <v xml:space="preserve"> </v>
      </c>
      <c r="E240" s="21" t="str">
        <f>IF(A240=0," ",LOOKUP(A240,'Magic Items'!$F$2:$F$90,'Magic Items'!$K$2:$K$90))</f>
        <v xml:space="preserve"> </v>
      </c>
      <c r="F240" s="21"/>
      <c r="G240" s="21"/>
      <c r="H240" s="21"/>
      <c r="I240" s="21"/>
      <c r="J240" s="21"/>
      <c r="K240" s="140" t="str">
        <f>IF(A240=0," ",LOOKUP(A240,'Magic Items'!$F$2:$F$90,'Magic Items'!$J$2:$J$90))</f>
        <v xml:space="preserve"> </v>
      </c>
      <c r="Z240" s="90"/>
      <c r="CA240" s="126"/>
      <c r="CB240" s="14"/>
      <c r="CC240" s="14" t="str">
        <f>IF(CA240=0," ",LOOKUP(CA240,'Magic Items'!$F$2:$F$90,'Magic Items'!$I$2:$I$90))</f>
        <v xml:space="preserve"> </v>
      </c>
      <c r="CD240" s="14" t="str">
        <f>IF(CA240=0," ",LOOKUP(CA240,'Magic Items'!$F$2:$F$90,'Magic Items'!$G$2:$G$90))</f>
        <v xml:space="preserve"> </v>
      </c>
      <c r="CE240" s="21" t="str">
        <f>IF(CA240=0," ",LOOKUP(CA240,'Magic Items'!$F$2:$F$90,'Magic Items'!$K$2:$K$90))</f>
        <v xml:space="preserve"> </v>
      </c>
      <c r="CF240" s="21"/>
      <c r="CG240" s="21"/>
      <c r="CH240" s="21"/>
      <c r="CI240" s="21"/>
      <c r="CJ240" s="21"/>
      <c r="CK240" s="140" t="str">
        <f>IF(CA240=0," ",LOOKUP(CA240,'Magic Items'!$F$2:$F$90,'Magic Items'!$J$2:$J$90))</f>
        <v xml:space="preserve"> </v>
      </c>
    </row>
    <row r="241" spans="1:89" s="89" customFormat="1">
      <c r="A241" s="238"/>
      <c r="B241" s="240"/>
      <c r="C241" s="240" t="str">
        <f>IF(A241=0," ",LOOKUP(A241,'Magic Items'!$F$2:$F$90,'Magic Items'!$I$2:$I$90))</f>
        <v xml:space="preserve"> </v>
      </c>
      <c r="D241" s="240" t="str">
        <f>IF(A241=0," ",LOOKUP(A241,'Magic Items'!$F$2:$F$90,'Magic Items'!$G$2:$G$90))</f>
        <v xml:space="preserve"> </v>
      </c>
      <c r="E241" s="253" t="str">
        <f>IF(A241=0," ",LOOKUP(A241,'Magic Items'!$F$2:$F$90,'Magic Items'!$K$2:$K$90))</f>
        <v xml:space="preserve"> </v>
      </c>
      <c r="F241" s="253"/>
      <c r="G241" s="253"/>
      <c r="H241" s="253"/>
      <c r="I241" s="253"/>
      <c r="J241" s="253"/>
      <c r="K241" s="242" t="str">
        <f>IF(A241=0," ",LOOKUP(A241,'Magic Items'!$F$2:$F$90,'Magic Items'!$J$2:$J$90))</f>
        <v xml:space="preserve"> </v>
      </c>
      <c r="CA241" s="238"/>
      <c r="CB241" s="240"/>
      <c r="CC241" s="240" t="str">
        <f>IF(CA241=0," ",LOOKUP(CA241,'Magic Items'!$F$2:$F$90,'Magic Items'!$I$2:$I$90))</f>
        <v xml:space="preserve"> </v>
      </c>
      <c r="CD241" s="240" t="str">
        <f>IF(CA241=0," ",LOOKUP(CA241,'Magic Items'!$F$2:$F$90,'Magic Items'!$G$2:$G$90))</f>
        <v xml:space="preserve"> </v>
      </c>
      <c r="CE241" s="253" t="str">
        <f>IF(CA241=0," ",LOOKUP(CA241,'Magic Items'!$F$2:$F$90,'Magic Items'!$K$2:$K$90))</f>
        <v xml:space="preserve"> </v>
      </c>
      <c r="CF241" s="253"/>
      <c r="CG241" s="253"/>
      <c r="CH241" s="253"/>
      <c r="CI241" s="253"/>
      <c r="CJ241" s="253"/>
      <c r="CK241" s="242" t="str">
        <f>IF(CA241=0," ",LOOKUP(CA241,'Magic Items'!$F$2:$F$90,'Magic Items'!$J$2:$J$90))</f>
        <v xml:space="preserve"> </v>
      </c>
    </row>
    <row r="242" spans="1:89" s="89" customFormat="1">
      <c r="A242" s="126"/>
      <c r="B242" s="14"/>
      <c r="C242" s="14" t="str">
        <f>IF(A242=0," ",LOOKUP(A242,'Magic Items'!$F$2:$F$90,'Magic Items'!$I$2:$I$90))</f>
        <v xml:space="preserve"> </v>
      </c>
      <c r="D242" s="14" t="str">
        <f>IF(A242=0," ",LOOKUP(A242,'Magic Items'!$F$2:$F$90,'Magic Items'!$G$2:$G$90))</f>
        <v xml:space="preserve"> </v>
      </c>
      <c r="E242" s="21" t="str">
        <f>IF(A242=0," ",LOOKUP(A242,'Magic Items'!$F$2:$F$90,'Magic Items'!$K$2:$K$90))</f>
        <v xml:space="preserve"> </v>
      </c>
      <c r="F242" s="21"/>
      <c r="G242" s="21"/>
      <c r="H242" s="21"/>
      <c r="I242" s="21"/>
      <c r="J242" s="21"/>
      <c r="K242" s="140" t="str">
        <f>IF(A242=0," ",LOOKUP(A242,'Magic Items'!$F$2:$F$90,'Magic Items'!$J$2:$J$90))</f>
        <v xml:space="preserve"> </v>
      </c>
      <c r="Z242" s="53"/>
      <c r="AA242" s="1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CA242" s="126"/>
      <c r="CB242" s="14"/>
      <c r="CC242" s="14" t="str">
        <f>IF(CA242=0," ",LOOKUP(CA242,'Magic Items'!$F$2:$F$90,'Magic Items'!$I$2:$I$90))</f>
        <v xml:space="preserve"> </v>
      </c>
      <c r="CD242" s="14" t="str">
        <f>IF(CA242=0," ",LOOKUP(CA242,'Magic Items'!$F$2:$F$90,'Magic Items'!$G$2:$G$90))</f>
        <v xml:space="preserve"> </v>
      </c>
      <c r="CE242" s="21" t="str">
        <f>IF(CA242=0," ",LOOKUP(CA242,'Magic Items'!$F$2:$F$90,'Magic Items'!$K$2:$K$90))</f>
        <v xml:space="preserve"> </v>
      </c>
      <c r="CF242" s="21"/>
      <c r="CG242" s="21"/>
      <c r="CH242" s="21"/>
      <c r="CI242" s="21"/>
      <c r="CJ242" s="21"/>
      <c r="CK242" s="140" t="str">
        <f>IF(CA242=0," ",LOOKUP(CA242,'Magic Items'!$F$2:$F$90,'Magic Items'!$J$2:$J$90))</f>
        <v xml:space="preserve"> </v>
      </c>
    </row>
    <row r="243" spans="1:89" s="89" customFormat="1">
      <c r="A243" s="238"/>
      <c r="B243" s="240"/>
      <c r="C243" s="240" t="str">
        <f>IF(A243=0," ",LOOKUP(A243,'Magic Items'!$F$2:$F$90,'Magic Items'!$I$2:$I$90))</f>
        <v xml:space="preserve"> </v>
      </c>
      <c r="D243" s="240" t="str">
        <f>IF(A243=0," ",LOOKUP(A243,'Magic Items'!$F$2:$F$90,'Magic Items'!$G$2:$G$90))</f>
        <v xml:space="preserve"> </v>
      </c>
      <c r="E243" s="253" t="str">
        <f>IF(A243=0," ",LOOKUP(A243,'Magic Items'!$F$2:$F$90,'Magic Items'!$K$2:$K$90))</f>
        <v xml:space="preserve"> </v>
      </c>
      <c r="F243" s="253"/>
      <c r="G243" s="253"/>
      <c r="H243" s="253"/>
      <c r="I243" s="253"/>
      <c r="J243" s="253"/>
      <c r="K243" s="242" t="str">
        <f>IF(A243=0," ",LOOKUP(A243,'Magic Items'!$F$2:$F$90,'Magic Items'!$J$2:$J$90))</f>
        <v xml:space="preserve"> </v>
      </c>
      <c r="Z243" s="90"/>
      <c r="CA243" s="238"/>
      <c r="CB243" s="240"/>
      <c r="CC243" s="240" t="str">
        <f>IF(CA243=0," ",LOOKUP(CA243,'Magic Items'!$F$2:$F$90,'Magic Items'!$I$2:$I$90))</f>
        <v xml:space="preserve"> </v>
      </c>
      <c r="CD243" s="240" t="str">
        <f>IF(CA243=0," ",LOOKUP(CA243,'Magic Items'!$F$2:$F$90,'Magic Items'!$G$2:$G$90))</f>
        <v xml:space="preserve"> </v>
      </c>
      <c r="CE243" s="253" t="str">
        <f>IF(CA243=0," ",LOOKUP(CA243,'Magic Items'!$F$2:$F$90,'Magic Items'!$K$2:$K$90))</f>
        <v xml:space="preserve"> </v>
      </c>
      <c r="CF243" s="253"/>
      <c r="CG243" s="253"/>
      <c r="CH243" s="253"/>
      <c r="CI243" s="253"/>
      <c r="CJ243" s="253"/>
      <c r="CK243" s="242" t="str">
        <f>IF(CA243=0," ",LOOKUP(CA243,'Magic Items'!$F$2:$F$90,'Magic Items'!$J$2:$J$90))</f>
        <v xml:space="preserve"> </v>
      </c>
    </row>
    <row r="244" spans="1:89" s="89" customFormat="1">
      <c r="A244" s="126"/>
      <c r="B244" s="14"/>
      <c r="C244" s="14" t="str">
        <f>IF(A244=0," ",LOOKUP(A244,'Magic Items'!$F$2:$F$90,'Magic Items'!$I$2:$I$90))</f>
        <v xml:space="preserve"> </v>
      </c>
      <c r="D244" s="14" t="str">
        <f>IF(A244=0," ",LOOKUP(A244,'Magic Items'!$F$2:$F$90,'Magic Items'!$G$2:$G$90))</f>
        <v xml:space="preserve"> </v>
      </c>
      <c r="E244" s="21" t="str">
        <f>IF(A244=0," ",LOOKUP(A244,'Magic Items'!$F$2:$F$90,'Magic Items'!$K$2:$K$90))</f>
        <v xml:space="preserve"> </v>
      </c>
      <c r="F244" s="21"/>
      <c r="G244" s="21"/>
      <c r="H244" s="21"/>
      <c r="I244" s="21"/>
      <c r="J244" s="21"/>
      <c r="K244" s="140" t="str">
        <f>IF(A244=0," ",LOOKUP(A244,'Magic Items'!$F$2:$F$90,'Magic Items'!$J$2:$J$90))</f>
        <v xml:space="preserve"> </v>
      </c>
      <c r="Z244" s="90"/>
      <c r="CA244" s="126"/>
      <c r="CB244" s="14"/>
      <c r="CC244" s="14" t="str">
        <f>IF(CA244=0," ",LOOKUP(CA244,'Magic Items'!$F$2:$F$90,'Magic Items'!$I$2:$I$90))</f>
        <v xml:space="preserve"> </v>
      </c>
      <c r="CD244" s="14" t="str">
        <f>IF(CA244=0," ",LOOKUP(CA244,'Magic Items'!$F$2:$F$90,'Magic Items'!$G$2:$G$90))</f>
        <v xml:space="preserve"> </v>
      </c>
      <c r="CE244" s="21" t="str">
        <f>IF(CA244=0," ",LOOKUP(CA244,'Magic Items'!$F$2:$F$90,'Magic Items'!$K$2:$K$90))</f>
        <v xml:space="preserve"> </v>
      </c>
      <c r="CF244" s="21"/>
      <c r="CG244" s="21"/>
      <c r="CH244" s="21"/>
      <c r="CI244" s="21"/>
      <c r="CJ244" s="21"/>
      <c r="CK244" s="140" t="str">
        <f>IF(CA244=0," ",LOOKUP(CA244,'Magic Items'!$F$2:$F$90,'Magic Items'!$J$2:$J$90))</f>
        <v xml:space="preserve"> </v>
      </c>
    </row>
    <row r="245" spans="1:89" s="89" customFormat="1">
      <c r="A245" s="238"/>
      <c r="B245" s="240"/>
      <c r="C245" s="240" t="str">
        <f>IF(A245=0," ",LOOKUP(A245,'Magic Items'!$F$2:$F$90,'Magic Items'!$I$2:$I$90))</f>
        <v xml:space="preserve"> </v>
      </c>
      <c r="D245" s="240" t="str">
        <f>IF(A245=0," ",LOOKUP(A245,'Magic Items'!$F$2:$F$90,'Magic Items'!$G$2:$G$90))</f>
        <v xml:space="preserve"> </v>
      </c>
      <c r="E245" s="253" t="str">
        <f>IF(A245=0," ",LOOKUP(A245,'Magic Items'!$F$2:$F$90,'Magic Items'!$K$2:$K$90))</f>
        <v xml:space="preserve"> </v>
      </c>
      <c r="F245" s="253"/>
      <c r="G245" s="253"/>
      <c r="H245" s="253"/>
      <c r="I245" s="253"/>
      <c r="J245" s="253"/>
      <c r="K245" s="242" t="str">
        <f>IF(A245=0," ",LOOKUP(A245,'Magic Items'!$F$2:$F$90,'Magic Items'!$J$2:$J$90))</f>
        <v xml:space="preserve"> </v>
      </c>
      <c r="CA245" s="238"/>
      <c r="CB245" s="240"/>
      <c r="CC245" s="240" t="str">
        <f>IF(CA245=0," ",LOOKUP(CA245,'Magic Items'!$F$2:$F$90,'Magic Items'!$I$2:$I$90))</f>
        <v xml:space="preserve"> </v>
      </c>
      <c r="CD245" s="240" t="str">
        <f>IF(CA245=0," ",LOOKUP(CA245,'Magic Items'!$F$2:$F$90,'Magic Items'!$G$2:$G$90))</f>
        <v xml:space="preserve"> </v>
      </c>
      <c r="CE245" s="253" t="str">
        <f>IF(CA245=0," ",LOOKUP(CA245,'Magic Items'!$F$2:$F$90,'Magic Items'!$K$2:$K$90))</f>
        <v xml:space="preserve"> </v>
      </c>
      <c r="CF245" s="253"/>
      <c r="CG245" s="253"/>
      <c r="CH245" s="253"/>
      <c r="CI245" s="253"/>
      <c r="CJ245" s="253"/>
      <c r="CK245" s="242" t="str">
        <f>IF(CA245=0," ",LOOKUP(CA245,'Magic Items'!$F$2:$F$90,'Magic Items'!$J$2:$J$90))</f>
        <v xml:space="preserve"> </v>
      </c>
    </row>
    <row r="246" spans="1:89" s="89" customFormat="1">
      <c r="A246" s="141"/>
      <c r="B246" s="23"/>
      <c r="C246" s="14" t="str">
        <f>IF(A246=0," ",LOOKUP(A246,'Magic Items'!$F$2:$F$90,'Magic Items'!$I$2:$I$90))</f>
        <v xml:space="preserve"> </v>
      </c>
      <c r="D246" s="14" t="str">
        <f>IF(A246=0," ",LOOKUP(A246,'Magic Items'!$F$2:$F$90,'Magic Items'!$G$2:$G$90))</f>
        <v xml:space="preserve"> </v>
      </c>
      <c r="E246" s="21" t="str">
        <f>IF(A246=0," ",LOOKUP(A246,'Magic Items'!$F$2:$F$90,'Magic Items'!$K$2:$K$90))</f>
        <v xml:space="preserve"> </v>
      </c>
      <c r="F246" s="29"/>
      <c r="G246" s="29"/>
      <c r="H246" s="29"/>
      <c r="I246" s="29"/>
      <c r="J246" s="29"/>
      <c r="K246" s="142" t="str">
        <f>IF(A246=0," ",LOOKUP(A246,'Magic Items'!$F$2:$F$90,'Magic Items'!$J$2:$J$90))</f>
        <v xml:space="preserve"> </v>
      </c>
      <c r="Z246" s="53"/>
      <c r="AA246" s="1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CA246" s="141"/>
      <c r="CB246" s="23"/>
      <c r="CC246" s="14" t="str">
        <f>IF(CA246=0," ",LOOKUP(CA246,'Magic Items'!$F$2:$F$90,'Magic Items'!$I$2:$I$90))</f>
        <v xml:space="preserve"> </v>
      </c>
      <c r="CD246" s="14" t="str">
        <f>IF(CA246=0," ",LOOKUP(CA246,'Magic Items'!$F$2:$F$90,'Magic Items'!$G$2:$G$90))</f>
        <v xml:space="preserve"> </v>
      </c>
      <c r="CE246" s="21" t="str">
        <f>IF(CA246=0," ",LOOKUP(CA246,'Magic Items'!$F$2:$F$90,'Magic Items'!$K$2:$K$90))</f>
        <v xml:space="preserve"> </v>
      </c>
      <c r="CF246" s="29"/>
      <c r="CG246" s="29"/>
      <c r="CH246" s="29"/>
      <c r="CI246" s="29"/>
      <c r="CJ246" s="29"/>
      <c r="CK246" s="142" t="str">
        <f>IF(CA246=0," ",LOOKUP(CA246,'Magic Items'!$F$2:$F$90,'Magic Items'!$J$2:$J$90))</f>
        <v xml:space="preserve"> </v>
      </c>
    </row>
    <row r="247" spans="1:89">
      <c r="A247" s="138" t="s">
        <v>5540</v>
      </c>
      <c r="B247" s="98"/>
      <c r="C247" s="24" t="s">
        <v>5110</v>
      </c>
      <c r="D247" s="24" t="s">
        <v>5445</v>
      </c>
      <c r="E247" s="84"/>
      <c r="F247" s="84"/>
      <c r="G247" s="84"/>
      <c r="H247" s="84"/>
      <c r="I247" s="84"/>
      <c r="J247" s="84"/>
      <c r="K247" s="145"/>
      <c r="Z247" s="54"/>
      <c r="BW247" s="89"/>
      <c r="BX247" s="89"/>
      <c r="BY247" s="89"/>
      <c r="BZ247" s="89"/>
      <c r="CA247" s="138" t="s">
        <v>5540</v>
      </c>
      <c r="CB247" s="98"/>
      <c r="CC247" s="24" t="s">
        <v>5110</v>
      </c>
      <c r="CD247" s="24" t="s">
        <v>5445</v>
      </c>
      <c r="CE247" s="84"/>
      <c r="CF247" s="84"/>
      <c r="CG247" s="84"/>
      <c r="CH247" s="84"/>
      <c r="CI247" s="84"/>
      <c r="CJ247" s="84"/>
      <c r="CK247" s="145"/>
    </row>
    <row r="248" spans="1:89" s="89" customFormat="1">
      <c r="A248" s="126" t="s">
        <v>5140</v>
      </c>
      <c r="B248" s="14"/>
      <c r="C248" s="14" t="str">
        <f>IF(A248=0," ",LOOKUP(A248,'Magic Items'!$M$2:$M$84,'Magic Items'!$N$2:$N$84))</f>
        <v>ED 257</v>
      </c>
      <c r="D248" s="21" t="str">
        <f>IF(A248=0," ",LOOKUP(A248,'Magic Items'!$M$2:$M$84,'Magic Items'!$P$2:$P$84))</f>
        <v>Provides armor value 3 if no armor is worn and +1mystic armor in any case.</v>
      </c>
      <c r="E248" s="21"/>
      <c r="F248" s="21"/>
      <c r="G248" s="21"/>
      <c r="H248" s="21"/>
      <c r="I248" s="21"/>
      <c r="J248" s="21"/>
      <c r="K248" s="135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54"/>
      <c r="AA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CA248" s="126"/>
      <c r="CB248" s="14"/>
      <c r="CC248" s="14" t="str">
        <f>IF(CA248=0," ",LOOKUP(CA248,'Magic Items'!$M$2:$M$84,'Magic Items'!$N$2:$N$84))</f>
        <v xml:space="preserve"> </v>
      </c>
      <c r="CD248" s="21" t="str">
        <f>IF(CA248=0," ",LOOKUP(CA248,'Magic Items'!$M$2:$M$84,'Magic Items'!$P$2:$P$84))</f>
        <v xml:space="preserve"> </v>
      </c>
      <c r="CE248" s="21"/>
      <c r="CF248" s="21"/>
      <c r="CG248" s="21"/>
      <c r="CH248" s="21"/>
      <c r="CI248" s="21"/>
      <c r="CJ248" s="21"/>
      <c r="CK248" s="135"/>
    </row>
    <row r="249" spans="1:89" s="89" customFormat="1">
      <c r="A249" s="238"/>
      <c r="B249" s="240"/>
      <c r="C249" s="240" t="str">
        <f>IF(A249=0," ",LOOKUP(A249,'Magic Items'!$M$2:$M$84,'Magic Items'!$N$2:$N$84))</f>
        <v xml:space="preserve"> </v>
      </c>
      <c r="D249" s="253" t="str">
        <f>IF(A249=0," ",LOOKUP(A249,'Magic Items'!$M$2:$M$84,'Magic Items'!$P$2:$P$84))</f>
        <v xml:space="preserve"> </v>
      </c>
      <c r="E249" s="253"/>
      <c r="F249" s="253"/>
      <c r="G249" s="253"/>
      <c r="H249" s="253"/>
      <c r="I249" s="253"/>
      <c r="J249" s="253"/>
      <c r="K249" s="254"/>
      <c r="Z249" s="90"/>
      <c r="CA249" s="238"/>
      <c r="CB249" s="240"/>
      <c r="CC249" s="240" t="str">
        <f>IF(CA249=0," ",LOOKUP(CA249,'Magic Items'!$M$2:$M$84,'Magic Items'!$N$2:$N$84))</f>
        <v xml:space="preserve"> </v>
      </c>
      <c r="CD249" s="253" t="str">
        <f>IF(CA249=0," ",LOOKUP(CA249,'Magic Items'!$M$2:$M$84,'Magic Items'!$P$2:$P$84))</f>
        <v xml:space="preserve"> </v>
      </c>
      <c r="CE249" s="253"/>
      <c r="CF249" s="253"/>
      <c r="CG249" s="253"/>
      <c r="CH249" s="253"/>
      <c r="CI249" s="253"/>
      <c r="CJ249" s="253"/>
      <c r="CK249" s="254"/>
    </row>
    <row r="250" spans="1:89" s="89" customFormat="1">
      <c r="A250" s="126"/>
      <c r="B250" s="14"/>
      <c r="C250" s="14" t="str">
        <f>IF(A250=0," ",LOOKUP(A250,'Magic Items'!$M$2:$M$84,'Magic Items'!$N$2:$N$84))</f>
        <v xml:space="preserve"> </v>
      </c>
      <c r="D250" s="21" t="str">
        <f>IF(A250=0," ",LOOKUP(A250,'Magic Items'!$M$2:$M$84,'Magic Items'!$P$2:$P$84))</f>
        <v xml:space="preserve"> </v>
      </c>
      <c r="E250" s="21"/>
      <c r="F250" s="21"/>
      <c r="G250" s="21"/>
      <c r="H250" s="21"/>
      <c r="I250" s="21"/>
      <c r="J250" s="21"/>
      <c r="K250" s="135"/>
      <c r="Z250" s="90"/>
      <c r="CA250" s="126"/>
      <c r="CB250" s="14"/>
      <c r="CC250" s="14" t="str">
        <f>IF(CA250=0," ",LOOKUP(CA250,'Magic Items'!$M$2:$M$84,'Magic Items'!$N$2:$N$84))</f>
        <v xml:space="preserve"> </v>
      </c>
      <c r="CD250" s="21" t="str">
        <f>IF(CA250=0," ",LOOKUP(CA250,'Magic Items'!$M$2:$M$84,'Magic Items'!$P$2:$P$84))</f>
        <v xml:space="preserve"> </v>
      </c>
      <c r="CE250" s="21"/>
      <c r="CF250" s="21"/>
      <c r="CG250" s="21"/>
      <c r="CH250" s="21"/>
      <c r="CI250" s="21"/>
      <c r="CJ250" s="21"/>
      <c r="CK250" s="135"/>
    </row>
    <row r="251" spans="1:89" s="89" customFormat="1">
      <c r="A251" s="238"/>
      <c r="B251" s="240"/>
      <c r="C251" s="240" t="str">
        <f>IF(A251=0," ",LOOKUP(A251,'Magic Items'!$M$2:$M$84,'Magic Items'!$N$2:$N$84))</f>
        <v xml:space="preserve"> </v>
      </c>
      <c r="D251" s="253" t="str">
        <f>IF(A251=0," ",LOOKUP(A251,'Magic Items'!$M$2:$M$84,'Magic Items'!$P$2:$P$84))</f>
        <v xml:space="preserve"> </v>
      </c>
      <c r="E251" s="253"/>
      <c r="F251" s="253"/>
      <c r="G251" s="253"/>
      <c r="H251" s="253"/>
      <c r="I251" s="253"/>
      <c r="J251" s="253"/>
      <c r="K251" s="254"/>
      <c r="Z251" s="90"/>
      <c r="CA251" s="238"/>
      <c r="CB251" s="240"/>
      <c r="CC251" s="240" t="str">
        <f>IF(CA251=0," ",LOOKUP(CA251,'Magic Items'!$M$2:$M$84,'Magic Items'!$N$2:$N$84))</f>
        <v xml:space="preserve"> </v>
      </c>
      <c r="CD251" s="253" t="str">
        <f>IF(CA251=0," ",LOOKUP(CA251,'Magic Items'!$M$2:$M$84,'Magic Items'!$P$2:$P$84))</f>
        <v xml:space="preserve"> </v>
      </c>
      <c r="CE251" s="253"/>
      <c r="CF251" s="253"/>
      <c r="CG251" s="253"/>
      <c r="CH251" s="253"/>
      <c r="CI251" s="253"/>
      <c r="CJ251" s="253"/>
      <c r="CK251" s="254"/>
    </row>
    <row r="252" spans="1:89" s="89" customFormat="1">
      <c r="A252" s="126"/>
      <c r="B252" s="14"/>
      <c r="C252" s="14" t="str">
        <f>IF(A252=0," ",LOOKUP(A252,'Magic Items'!$M$2:$M$84,'Magic Items'!$N$2:$N$84))</f>
        <v xml:space="preserve"> </v>
      </c>
      <c r="D252" s="21" t="str">
        <f>IF(A252=0," ",LOOKUP(A252,'Magic Items'!$M$2:$M$84,'Magic Items'!$P$2:$P$84))</f>
        <v xml:space="preserve"> </v>
      </c>
      <c r="E252" s="21"/>
      <c r="F252" s="21"/>
      <c r="G252" s="21"/>
      <c r="H252" s="21"/>
      <c r="I252" s="21"/>
      <c r="J252" s="21"/>
      <c r="K252" s="135"/>
      <c r="Z252" s="90"/>
      <c r="CA252" s="126"/>
      <c r="CB252" s="14"/>
      <c r="CC252" s="14" t="str">
        <f>IF(CA252=0," ",LOOKUP(CA252,'Magic Items'!$M$2:$M$84,'Magic Items'!$N$2:$N$84))</f>
        <v xml:space="preserve"> </v>
      </c>
      <c r="CD252" s="21" t="str">
        <f>IF(CA252=0," ",LOOKUP(CA252,'Magic Items'!$M$2:$M$84,'Magic Items'!$P$2:$P$84))</f>
        <v xml:space="preserve"> </v>
      </c>
      <c r="CE252" s="21"/>
      <c r="CF252" s="21"/>
      <c r="CG252" s="21"/>
      <c r="CH252" s="21"/>
      <c r="CI252" s="21"/>
      <c r="CJ252" s="21"/>
      <c r="CK252" s="135"/>
    </row>
    <row r="253" spans="1:89" s="89" customFormat="1">
      <c r="A253" s="238"/>
      <c r="B253" s="240"/>
      <c r="C253" s="240" t="str">
        <f>IF(A253=0," ",LOOKUP(A253,'Magic Items'!$M$2:$M$84,'Magic Items'!$N$2:$N$84))</f>
        <v xml:space="preserve"> </v>
      </c>
      <c r="D253" s="253" t="str">
        <f>IF(A253=0," ",LOOKUP(A253,'Magic Items'!$M$2:$M$84,'Magic Items'!$P$2:$P$84))</f>
        <v xml:space="preserve"> </v>
      </c>
      <c r="E253" s="253"/>
      <c r="F253" s="253"/>
      <c r="G253" s="253"/>
      <c r="H253" s="253"/>
      <c r="I253" s="253"/>
      <c r="J253" s="253"/>
      <c r="K253" s="254"/>
      <c r="Z253" s="90"/>
      <c r="CA253" s="238"/>
      <c r="CB253" s="240"/>
      <c r="CC253" s="240" t="str">
        <f>IF(CA253=0," ",LOOKUP(CA253,'Magic Items'!$M$2:$M$84,'Magic Items'!$N$2:$N$84))</f>
        <v xml:space="preserve"> </v>
      </c>
      <c r="CD253" s="253" t="str">
        <f>IF(CA253=0," ",LOOKUP(CA253,'Magic Items'!$M$2:$M$84,'Magic Items'!$P$2:$P$84))</f>
        <v xml:space="preserve"> </v>
      </c>
      <c r="CE253" s="253"/>
      <c r="CF253" s="253"/>
      <c r="CG253" s="253"/>
      <c r="CH253" s="253"/>
      <c r="CI253" s="253"/>
      <c r="CJ253" s="253"/>
      <c r="CK253" s="254"/>
    </row>
    <row r="254" spans="1:89" s="89" customFormat="1">
      <c r="A254" s="126"/>
      <c r="B254" s="14"/>
      <c r="C254" s="14" t="str">
        <f>IF(A254=0," ",LOOKUP(A254,'Magic Items'!$M$2:$M$84,'Magic Items'!$N$2:$N$84))</f>
        <v xml:space="preserve"> </v>
      </c>
      <c r="D254" s="21" t="str">
        <f>IF(A254=0," ",LOOKUP(A254,'Magic Items'!$M$2:$M$84,'Magic Items'!$P$2:$P$84))</f>
        <v xml:space="preserve"> </v>
      </c>
      <c r="E254" s="21"/>
      <c r="F254" s="21"/>
      <c r="G254" s="21"/>
      <c r="H254" s="21"/>
      <c r="I254" s="21"/>
      <c r="J254" s="21"/>
      <c r="K254" s="135"/>
      <c r="Z254" s="90"/>
      <c r="CA254" s="126"/>
      <c r="CB254" s="14"/>
      <c r="CC254" s="14" t="str">
        <f>IF(CA254=0," ",LOOKUP(CA254,'Magic Items'!$M$2:$M$84,'Magic Items'!$N$2:$N$84))</f>
        <v xml:space="preserve"> </v>
      </c>
      <c r="CD254" s="21" t="str">
        <f>IF(CA254=0," ",LOOKUP(CA254,'Magic Items'!$M$2:$M$84,'Magic Items'!$P$2:$P$84))</f>
        <v xml:space="preserve"> </v>
      </c>
      <c r="CE254" s="21"/>
      <c r="CF254" s="21"/>
      <c r="CG254" s="21"/>
      <c r="CH254" s="21"/>
      <c r="CI254" s="21"/>
      <c r="CJ254" s="21"/>
      <c r="CK254" s="135"/>
    </row>
    <row r="255" spans="1:89" s="89" customFormat="1">
      <c r="A255" s="238"/>
      <c r="B255" s="240"/>
      <c r="C255" s="240" t="str">
        <f>IF(A255=0," ",LOOKUP(A255,'Magic Items'!$M$2:$M$84,'Magic Items'!$N$2:$N$84))</f>
        <v xml:space="preserve"> </v>
      </c>
      <c r="D255" s="253" t="str">
        <f>IF(A255=0," ",LOOKUP(A255,'Magic Items'!$M$2:$M$84,'Magic Items'!$P$2:$P$84))</f>
        <v xml:space="preserve"> </v>
      </c>
      <c r="E255" s="253"/>
      <c r="F255" s="253"/>
      <c r="G255" s="253"/>
      <c r="H255" s="253"/>
      <c r="I255" s="253"/>
      <c r="J255" s="253"/>
      <c r="K255" s="254"/>
      <c r="Z255" s="90"/>
      <c r="CA255" s="238"/>
      <c r="CB255" s="240"/>
      <c r="CC255" s="240" t="str">
        <f>IF(CA255=0," ",LOOKUP(CA255,'Magic Items'!$M$2:$M$84,'Magic Items'!$N$2:$N$84))</f>
        <v xml:space="preserve"> </v>
      </c>
      <c r="CD255" s="253" t="str">
        <f>IF(CA255=0," ",LOOKUP(CA255,'Magic Items'!$M$2:$M$84,'Magic Items'!$P$2:$P$84))</f>
        <v xml:space="preserve"> </v>
      </c>
      <c r="CE255" s="253"/>
      <c r="CF255" s="253"/>
      <c r="CG255" s="253"/>
      <c r="CH255" s="253"/>
      <c r="CI255" s="253"/>
      <c r="CJ255" s="253"/>
      <c r="CK255" s="254"/>
    </row>
    <row r="256" spans="1:89" s="89" customFormat="1">
      <c r="A256" s="141"/>
      <c r="B256" s="23"/>
      <c r="C256" s="23" t="str">
        <f>IF(A256=0," ",LOOKUP(A256,'Magic Items'!$M$2:$M$84,'Magic Items'!$N$2:$N$84))</f>
        <v xml:space="preserve"> </v>
      </c>
      <c r="D256" s="29" t="str">
        <f>IF(A256=0," ",LOOKUP(A256,'Magic Items'!$M$2:$M$84,'Magic Items'!$P$2:$P$84))</f>
        <v xml:space="preserve"> </v>
      </c>
      <c r="E256" s="29"/>
      <c r="F256" s="29"/>
      <c r="G256" s="29"/>
      <c r="H256" s="29"/>
      <c r="I256" s="29"/>
      <c r="J256" s="29"/>
      <c r="K256" s="155"/>
      <c r="Z256" s="90"/>
      <c r="CA256" s="141"/>
      <c r="CB256" s="23"/>
      <c r="CC256" s="23" t="str">
        <f>IF(CA256=0," ",LOOKUP(CA256,'Magic Items'!$M$2:$M$84,'Magic Items'!$N$2:$N$84))</f>
        <v xml:space="preserve"> </v>
      </c>
      <c r="CD256" s="29" t="str">
        <f>IF(CA256=0," ",LOOKUP(CA256,'Magic Items'!$M$2:$M$84,'Magic Items'!$P$2:$P$84))</f>
        <v xml:space="preserve"> </v>
      </c>
      <c r="CE256" s="29"/>
      <c r="CF256" s="29"/>
      <c r="CG256" s="29"/>
      <c r="CH256" s="29"/>
      <c r="CI256" s="29"/>
      <c r="CJ256" s="29"/>
      <c r="CK256" s="155"/>
    </row>
    <row r="257" spans="1:89">
      <c r="A257" s="138" t="s">
        <v>5329</v>
      </c>
      <c r="B257" s="18" t="s">
        <v>5330</v>
      </c>
      <c r="C257" s="18" t="s">
        <v>5331</v>
      </c>
      <c r="D257" s="18" t="s">
        <v>5332</v>
      </c>
      <c r="E257" s="18" t="s">
        <v>5333</v>
      </c>
      <c r="F257" s="18" t="s">
        <v>5334</v>
      </c>
      <c r="G257" s="18" t="s">
        <v>5335</v>
      </c>
      <c r="H257" s="24" t="s">
        <v>4914</v>
      </c>
      <c r="I257" s="84"/>
      <c r="J257" s="84"/>
      <c r="K257" s="145"/>
      <c r="Z257" s="54"/>
      <c r="BW257" s="89"/>
      <c r="BX257" s="89"/>
      <c r="BY257" s="89"/>
      <c r="BZ257" s="89"/>
      <c r="CA257" s="138" t="s">
        <v>5329</v>
      </c>
      <c r="CB257" s="18" t="s">
        <v>5330</v>
      </c>
      <c r="CC257" s="18" t="s">
        <v>5331</v>
      </c>
      <c r="CD257" s="18" t="s">
        <v>5332</v>
      </c>
      <c r="CE257" s="18" t="s">
        <v>5333</v>
      </c>
      <c r="CF257" s="18" t="s">
        <v>5334</v>
      </c>
      <c r="CG257" s="18" t="s">
        <v>5335</v>
      </c>
      <c r="CH257" s="24" t="s">
        <v>4914</v>
      </c>
      <c r="CI257" s="84"/>
      <c r="CJ257" s="84"/>
      <c r="CK257" s="145"/>
    </row>
    <row r="258" spans="1:89" s="89" customFormat="1">
      <c r="A258" s="126"/>
      <c r="B258" s="220"/>
      <c r="C258" s="220">
        <v>75</v>
      </c>
      <c r="D258" s="220">
        <v>20</v>
      </c>
      <c r="E258" s="220"/>
      <c r="F258" s="220"/>
      <c r="G258" s="220"/>
      <c r="H258" s="220"/>
      <c r="I258" s="21"/>
      <c r="J258" s="21"/>
      <c r="K258" s="135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54"/>
      <c r="AA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CA258" s="126"/>
      <c r="CB258" s="220"/>
      <c r="CC258" s="220"/>
      <c r="CD258" s="220"/>
      <c r="CE258" s="220"/>
      <c r="CF258" s="220"/>
      <c r="CG258" s="220"/>
      <c r="CH258" s="220"/>
      <c r="CI258" s="21"/>
      <c r="CJ258" s="21"/>
      <c r="CK258" s="135"/>
    </row>
    <row r="259" spans="1:89" s="89" customFormat="1">
      <c r="A259" s="141"/>
      <c r="B259" s="29"/>
      <c r="C259" s="264"/>
      <c r="D259" s="29"/>
      <c r="E259" s="29"/>
      <c r="F259" s="29"/>
      <c r="G259" s="29"/>
      <c r="H259" s="29"/>
      <c r="I259" s="29"/>
      <c r="J259" s="29"/>
      <c r="K259" s="155"/>
      <c r="Z259" s="90"/>
      <c r="CA259" s="141"/>
      <c r="CB259" s="29"/>
      <c r="CC259" s="264"/>
      <c r="CD259" s="29"/>
      <c r="CE259" s="29"/>
      <c r="CF259" s="29"/>
      <c r="CG259" s="29"/>
      <c r="CH259" s="29"/>
      <c r="CI259" s="29"/>
      <c r="CJ259" s="29"/>
      <c r="CK259" s="155"/>
    </row>
    <row r="260" spans="1:89">
      <c r="A260" s="129" t="s">
        <v>5138</v>
      </c>
      <c r="B260" s="21"/>
      <c r="C260" s="21"/>
      <c r="D260" s="21"/>
      <c r="E260" s="21"/>
      <c r="F260" s="21"/>
      <c r="G260" s="21"/>
      <c r="H260" s="21"/>
      <c r="I260" s="21"/>
      <c r="J260" s="17" t="s">
        <v>5139</v>
      </c>
      <c r="K260" s="145"/>
      <c r="Z260" s="54"/>
      <c r="BW260" s="89"/>
      <c r="BX260" s="89"/>
      <c r="BY260" s="89"/>
      <c r="BZ260" s="89"/>
      <c r="CA260" s="129" t="s">
        <v>5138</v>
      </c>
      <c r="CB260" s="21"/>
      <c r="CC260" s="21"/>
      <c r="CD260" s="21"/>
      <c r="CE260" s="21"/>
      <c r="CF260" s="21"/>
      <c r="CG260" s="21"/>
      <c r="CH260" s="21"/>
      <c r="CI260" s="21"/>
      <c r="CJ260" s="17" t="s">
        <v>5139</v>
      </c>
      <c r="CK260" s="145"/>
    </row>
    <row r="261" spans="1:89" s="89" customFormat="1">
      <c r="A261" s="126" t="s">
        <v>4954</v>
      </c>
      <c r="B261" s="21"/>
      <c r="C261" s="21"/>
      <c r="D261" s="21"/>
      <c r="E261" s="21"/>
      <c r="F261" s="21"/>
      <c r="G261" s="21"/>
      <c r="H261" s="21"/>
      <c r="I261" s="21"/>
      <c r="J261" s="20" t="s">
        <v>4955</v>
      </c>
      <c r="K261" s="135" t="s">
        <v>5144</v>
      </c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54"/>
      <c r="AA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CA261" s="126"/>
      <c r="CB261" s="21"/>
      <c r="CC261" s="21"/>
      <c r="CD261" s="21"/>
      <c r="CE261" s="21"/>
      <c r="CF261" s="21"/>
      <c r="CG261" s="21"/>
      <c r="CH261" s="21"/>
      <c r="CI261" s="21"/>
      <c r="CJ261" s="20" t="s">
        <v>4955</v>
      </c>
      <c r="CK261" s="135" t="s">
        <v>5144</v>
      </c>
    </row>
    <row r="262" spans="1:89" s="89" customFormat="1">
      <c r="A262" s="126" t="s">
        <v>5145</v>
      </c>
      <c r="B262" s="21"/>
      <c r="C262" s="21"/>
      <c r="D262" s="21"/>
      <c r="E262" s="21"/>
      <c r="F262" s="21"/>
      <c r="G262" s="21"/>
      <c r="H262" s="21"/>
      <c r="I262" s="21"/>
      <c r="J262" s="20" t="s">
        <v>5146</v>
      </c>
      <c r="K262" s="135" t="s">
        <v>5147</v>
      </c>
      <c r="Z262" s="90"/>
      <c r="CA262" s="126"/>
      <c r="CB262" s="21"/>
      <c r="CC262" s="21"/>
      <c r="CD262" s="21"/>
      <c r="CE262" s="21"/>
      <c r="CF262" s="21"/>
      <c r="CG262" s="21"/>
      <c r="CH262" s="21"/>
      <c r="CI262" s="21"/>
      <c r="CJ262" s="20" t="s">
        <v>5146</v>
      </c>
      <c r="CK262" s="135" t="s">
        <v>5147</v>
      </c>
    </row>
    <row r="263" spans="1:89" s="89" customFormat="1">
      <c r="A263" s="126" t="s">
        <v>4969</v>
      </c>
      <c r="B263" s="21"/>
      <c r="C263" s="21"/>
      <c r="D263" s="21"/>
      <c r="E263" s="21"/>
      <c r="F263" s="21"/>
      <c r="G263" s="21"/>
      <c r="H263" s="21"/>
      <c r="I263" s="21"/>
      <c r="J263" s="20" t="s">
        <v>4970</v>
      </c>
      <c r="K263" s="135" t="s">
        <v>4971</v>
      </c>
      <c r="Z263" s="90"/>
      <c r="CA263" s="126"/>
      <c r="CB263" s="21"/>
      <c r="CC263" s="21"/>
      <c r="CD263" s="21"/>
      <c r="CE263" s="21"/>
      <c r="CF263" s="21"/>
      <c r="CG263" s="21"/>
      <c r="CH263" s="21"/>
      <c r="CI263" s="21"/>
      <c r="CJ263" s="20" t="s">
        <v>4970</v>
      </c>
      <c r="CK263" s="135" t="s">
        <v>4971</v>
      </c>
    </row>
    <row r="264" spans="1:89" s="89" customFormat="1">
      <c r="A264" s="126" t="s">
        <v>4972</v>
      </c>
      <c r="B264" s="21"/>
      <c r="C264" s="21"/>
      <c r="D264" s="21"/>
      <c r="E264" s="21"/>
      <c r="F264" s="21"/>
      <c r="G264" s="21"/>
      <c r="H264" s="21"/>
      <c r="I264" s="21"/>
      <c r="J264" s="20" t="s">
        <v>4973</v>
      </c>
      <c r="K264" s="135" t="s">
        <v>4974</v>
      </c>
      <c r="Z264" s="90"/>
      <c r="CA264" s="126"/>
      <c r="CB264" s="21"/>
      <c r="CC264" s="21"/>
      <c r="CD264" s="21"/>
      <c r="CE264" s="21"/>
      <c r="CF264" s="21"/>
      <c r="CG264" s="21"/>
      <c r="CH264" s="21"/>
      <c r="CI264" s="21"/>
      <c r="CJ264" s="20" t="s">
        <v>4973</v>
      </c>
      <c r="CK264" s="135" t="s">
        <v>4974</v>
      </c>
    </row>
    <row r="265" spans="1:89" s="89" customFormat="1">
      <c r="A265" s="126" t="s">
        <v>4975</v>
      </c>
      <c r="B265" s="21"/>
      <c r="C265" s="21"/>
      <c r="D265" s="21"/>
      <c r="E265" s="21"/>
      <c r="F265" s="21"/>
      <c r="G265" s="21"/>
      <c r="H265" s="21"/>
      <c r="I265" s="21"/>
      <c r="J265" s="20" t="s">
        <v>4976</v>
      </c>
      <c r="K265" s="135" t="s">
        <v>4977</v>
      </c>
      <c r="Z265" s="90"/>
      <c r="CA265" s="126"/>
      <c r="CB265" s="21"/>
      <c r="CC265" s="21"/>
      <c r="CD265" s="21"/>
      <c r="CE265" s="21"/>
      <c r="CF265" s="21"/>
      <c r="CG265" s="21"/>
      <c r="CH265" s="21"/>
      <c r="CI265" s="21"/>
      <c r="CJ265" s="20" t="s">
        <v>4976</v>
      </c>
      <c r="CK265" s="135" t="s">
        <v>4977</v>
      </c>
    </row>
    <row r="266" spans="1:89" s="89" customFormat="1">
      <c r="A266" s="126" t="s">
        <v>4978</v>
      </c>
      <c r="B266" s="21"/>
      <c r="C266" s="21"/>
      <c r="D266" s="21"/>
      <c r="E266" s="21"/>
      <c r="F266" s="21"/>
      <c r="G266" s="21"/>
      <c r="H266" s="21"/>
      <c r="I266" s="21"/>
      <c r="J266" s="20" t="s">
        <v>4979</v>
      </c>
      <c r="K266" s="135" t="s">
        <v>4681</v>
      </c>
      <c r="Z266" s="90"/>
      <c r="CA266" s="126"/>
      <c r="CB266" s="21"/>
      <c r="CC266" s="21"/>
      <c r="CD266" s="21"/>
      <c r="CE266" s="21"/>
      <c r="CF266" s="21"/>
      <c r="CG266" s="21"/>
      <c r="CH266" s="21"/>
      <c r="CI266" s="21"/>
      <c r="CJ266" s="20" t="s">
        <v>4979</v>
      </c>
      <c r="CK266" s="135" t="s">
        <v>4681</v>
      </c>
    </row>
    <row r="267" spans="1:89" s="89" customFormat="1">
      <c r="A267" s="126" t="s">
        <v>4682</v>
      </c>
      <c r="B267" s="21"/>
      <c r="C267" s="26"/>
      <c r="D267" s="26"/>
      <c r="E267" s="26"/>
      <c r="F267" s="26"/>
      <c r="G267" s="26"/>
      <c r="H267" s="26"/>
      <c r="I267" s="21"/>
      <c r="J267" s="20" t="s">
        <v>4683</v>
      </c>
      <c r="K267" s="135" t="s">
        <v>4684</v>
      </c>
      <c r="Z267" s="90"/>
      <c r="CA267" s="126"/>
      <c r="CB267" s="21"/>
      <c r="CC267" s="26"/>
      <c r="CD267" s="26"/>
      <c r="CE267" s="26"/>
      <c r="CF267" s="26"/>
      <c r="CG267" s="26"/>
      <c r="CH267" s="26"/>
      <c r="CI267" s="21"/>
      <c r="CJ267" s="20" t="s">
        <v>4683</v>
      </c>
      <c r="CK267" s="135" t="s">
        <v>4684</v>
      </c>
    </row>
    <row r="268" spans="1:89" s="89" customFormat="1">
      <c r="A268" s="126" t="s">
        <v>4685</v>
      </c>
      <c r="B268" s="21"/>
      <c r="C268" s="167"/>
      <c r="D268" s="167"/>
      <c r="E268" s="167"/>
      <c r="F268" s="167"/>
      <c r="G268" s="167"/>
      <c r="H268" s="111"/>
      <c r="I268" s="21"/>
      <c r="J268" s="20" t="s">
        <v>4686</v>
      </c>
      <c r="K268" s="135" t="s">
        <v>4687</v>
      </c>
      <c r="Z268" s="90"/>
      <c r="CA268" s="126"/>
      <c r="CB268" s="21"/>
      <c r="CC268" s="167"/>
      <c r="CD268" s="167"/>
      <c r="CE268" s="167"/>
      <c r="CF268" s="167"/>
      <c r="CG268" s="167"/>
      <c r="CH268" s="111"/>
      <c r="CI268" s="21"/>
      <c r="CJ268" s="20" t="s">
        <v>4686</v>
      </c>
      <c r="CK268" s="135" t="s">
        <v>4687</v>
      </c>
    </row>
    <row r="269" spans="1:89" s="89" customFormat="1">
      <c r="A269" s="126" t="s">
        <v>4688</v>
      </c>
      <c r="B269" s="21"/>
      <c r="C269" s="21"/>
      <c r="D269" s="21"/>
      <c r="E269" s="21"/>
      <c r="F269" s="21"/>
      <c r="G269" s="21"/>
      <c r="H269" s="21"/>
      <c r="I269" s="21"/>
      <c r="J269" s="20" t="s">
        <v>4689</v>
      </c>
      <c r="K269" s="135" t="s">
        <v>4690</v>
      </c>
      <c r="Z269" s="90"/>
      <c r="CA269" s="126"/>
      <c r="CB269" s="21"/>
      <c r="CC269" s="21"/>
      <c r="CD269" s="21"/>
      <c r="CE269" s="21"/>
      <c r="CF269" s="21"/>
      <c r="CG269" s="21"/>
      <c r="CH269" s="21"/>
      <c r="CI269" s="21"/>
      <c r="CJ269" s="20" t="s">
        <v>4689</v>
      </c>
      <c r="CK269" s="135" t="s">
        <v>4690</v>
      </c>
    </row>
    <row r="270" spans="1:89" s="89" customFormat="1">
      <c r="A270" s="126" t="s">
        <v>4691</v>
      </c>
      <c r="B270" s="21"/>
      <c r="C270" s="21"/>
      <c r="D270" s="21"/>
      <c r="E270" s="21"/>
      <c r="F270" s="21"/>
      <c r="G270" s="21"/>
      <c r="H270" s="21"/>
      <c r="I270" s="21"/>
      <c r="J270" s="20" t="s">
        <v>4692</v>
      </c>
      <c r="K270" s="135" t="s">
        <v>4836</v>
      </c>
      <c r="Z270" s="90"/>
      <c r="CA270" s="126"/>
      <c r="CB270" s="21"/>
      <c r="CC270" s="21"/>
      <c r="CD270" s="21"/>
      <c r="CE270" s="21"/>
      <c r="CF270" s="21"/>
      <c r="CG270" s="21"/>
      <c r="CH270" s="21"/>
      <c r="CI270" s="21"/>
      <c r="CJ270" s="20" t="s">
        <v>4692</v>
      </c>
      <c r="CK270" s="135" t="s">
        <v>4836</v>
      </c>
    </row>
    <row r="271" spans="1:89" s="89" customFormat="1">
      <c r="A271" s="126" t="s">
        <v>4837</v>
      </c>
      <c r="B271" s="21"/>
      <c r="C271" s="21"/>
      <c r="D271" s="21"/>
      <c r="E271" s="21"/>
      <c r="F271" s="21"/>
      <c r="G271" s="21"/>
      <c r="H271" s="21"/>
      <c r="I271" s="21"/>
      <c r="J271" s="20" t="s">
        <v>4838</v>
      </c>
      <c r="K271" s="135" t="s">
        <v>4839</v>
      </c>
      <c r="Z271" s="90"/>
      <c r="CA271" s="126"/>
      <c r="CB271" s="21"/>
      <c r="CC271" s="21"/>
      <c r="CD271" s="21"/>
      <c r="CE271" s="21"/>
      <c r="CF271" s="21"/>
      <c r="CG271" s="21"/>
      <c r="CH271" s="21"/>
      <c r="CI271" s="21"/>
      <c r="CJ271" s="20" t="s">
        <v>4838</v>
      </c>
      <c r="CK271" s="135" t="s">
        <v>4839</v>
      </c>
    </row>
    <row r="272" spans="1:89" s="89" customFormat="1">
      <c r="A272" s="126" t="s">
        <v>4840</v>
      </c>
      <c r="B272" s="21"/>
      <c r="C272" s="21"/>
      <c r="D272" s="21"/>
      <c r="E272" s="21"/>
      <c r="F272" s="21"/>
      <c r="G272" s="21"/>
      <c r="H272" s="21"/>
      <c r="I272" s="21"/>
      <c r="J272" s="20" t="s">
        <v>4841</v>
      </c>
      <c r="K272" s="135" t="s">
        <v>4842</v>
      </c>
      <c r="Z272" s="90"/>
      <c r="CA272" s="126"/>
      <c r="CB272" s="21"/>
      <c r="CC272" s="21"/>
      <c r="CD272" s="21"/>
      <c r="CE272" s="21"/>
      <c r="CF272" s="21"/>
      <c r="CG272" s="21"/>
      <c r="CH272" s="21"/>
      <c r="CI272" s="21"/>
      <c r="CJ272" s="20" t="s">
        <v>4841</v>
      </c>
      <c r="CK272" s="135" t="s">
        <v>4842</v>
      </c>
    </row>
    <row r="273" spans="1:89" s="89" customFormat="1">
      <c r="A273" s="126" t="s">
        <v>4833</v>
      </c>
      <c r="B273" s="21"/>
      <c r="C273" s="21"/>
      <c r="D273" s="21"/>
      <c r="E273" s="21"/>
      <c r="F273" s="21"/>
      <c r="G273" s="21"/>
      <c r="H273" s="21"/>
      <c r="I273" s="21"/>
      <c r="J273" s="20" t="s">
        <v>4834</v>
      </c>
      <c r="K273" s="135" t="s">
        <v>4835</v>
      </c>
      <c r="Z273" s="90"/>
      <c r="CA273" s="126"/>
      <c r="CB273" s="21"/>
      <c r="CC273" s="21"/>
      <c r="CD273" s="21"/>
      <c r="CE273" s="21"/>
      <c r="CF273" s="21"/>
      <c r="CG273" s="21"/>
      <c r="CH273" s="21"/>
      <c r="CI273" s="21"/>
      <c r="CJ273" s="20" t="s">
        <v>4834</v>
      </c>
      <c r="CK273" s="135" t="s">
        <v>4835</v>
      </c>
    </row>
    <row r="274" spans="1:89" s="89" customFormat="1">
      <c r="A274" s="126" t="s">
        <v>4998</v>
      </c>
      <c r="B274" s="21"/>
      <c r="C274" s="21"/>
      <c r="D274" s="21"/>
      <c r="E274" s="21"/>
      <c r="F274" s="21"/>
      <c r="G274" s="21"/>
      <c r="H274" s="21"/>
      <c r="I274" s="21"/>
      <c r="J274" s="20" t="s">
        <v>4999</v>
      </c>
      <c r="K274" s="135" t="s">
        <v>5000</v>
      </c>
      <c r="Z274" s="90"/>
      <c r="CA274" s="126"/>
      <c r="CB274" s="21"/>
      <c r="CC274" s="21"/>
      <c r="CD274" s="21"/>
      <c r="CE274" s="21"/>
      <c r="CF274" s="21"/>
      <c r="CG274" s="21"/>
      <c r="CH274" s="21"/>
      <c r="CI274" s="21"/>
      <c r="CJ274" s="20" t="s">
        <v>4999</v>
      </c>
      <c r="CK274" s="135" t="s">
        <v>5000</v>
      </c>
    </row>
    <row r="275" spans="1:89" s="89" customFormat="1">
      <c r="A275" s="126"/>
      <c r="B275" s="21"/>
      <c r="C275" s="21"/>
      <c r="D275" s="21"/>
      <c r="E275" s="21"/>
      <c r="F275" s="21"/>
      <c r="G275" s="21"/>
      <c r="H275" s="21"/>
      <c r="I275" s="21"/>
      <c r="J275" s="20" t="s">
        <v>5001</v>
      </c>
      <c r="K275" s="135" t="s">
        <v>5002</v>
      </c>
      <c r="Z275" s="90"/>
      <c r="CA275" s="126"/>
      <c r="CB275" s="21"/>
      <c r="CC275" s="21"/>
      <c r="CD275" s="21"/>
      <c r="CE275" s="21"/>
      <c r="CF275" s="21"/>
      <c r="CG275" s="21"/>
      <c r="CH275" s="21"/>
      <c r="CI275" s="21"/>
      <c r="CJ275" s="20" t="s">
        <v>5001</v>
      </c>
      <c r="CK275" s="135" t="s">
        <v>5002</v>
      </c>
    </row>
    <row r="276" spans="1:89" s="89" customFormat="1">
      <c r="A276" s="126"/>
      <c r="B276" s="21"/>
      <c r="C276" s="21"/>
      <c r="D276" s="21"/>
      <c r="E276" s="21"/>
      <c r="F276" s="21"/>
      <c r="G276" s="21"/>
      <c r="H276" s="21"/>
      <c r="I276" s="21"/>
      <c r="J276" s="20" t="s">
        <v>5003</v>
      </c>
      <c r="K276" s="135" t="s">
        <v>5004</v>
      </c>
      <c r="Z276" s="90"/>
      <c r="CA276" s="126"/>
      <c r="CB276" s="21"/>
      <c r="CC276" s="21"/>
      <c r="CD276" s="21"/>
      <c r="CE276" s="21"/>
      <c r="CF276" s="21"/>
      <c r="CG276" s="21"/>
      <c r="CH276" s="21"/>
      <c r="CI276" s="21"/>
      <c r="CJ276" s="20" t="s">
        <v>5003</v>
      </c>
      <c r="CK276" s="135" t="s">
        <v>5004</v>
      </c>
    </row>
    <row r="277" spans="1:89" s="89" customFormat="1">
      <c r="A277" s="126"/>
      <c r="B277" s="21"/>
      <c r="C277" s="21"/>
      <c r="D277" s="21"/>
      <c r="E277" s="21"/>
      <c r="F277" s="21"/>
      <c r="G277" s="21"/>
      <c r="H277" s="21"/>
      <c r="I277" s="21"/>
      <c r="J277" s="20" t="s">
        <v>5005</v>
      </c>
      <c r="K277" s="135" t="s">
        <v>5006</v>
      </c>
      <c r="Z277" s="90"/>
      <c r="CA277" s="126"/>
      <c r="CB277" s="21"/>
      <c r="CC277" s="21"/>
      <c r="CD277" s="21"/>
      <c r="CE277" s="21"/>
      <c r="CF277" s="21"/>
      <c r="CG277" s="21"/>
      <c r="CH277" s="21"/>
      <c r="CI277" s="21"/>
      <c r="CJ277" s="20" t="s">
        <v>5005</v>
      </c>
      <c r="CK277" s="135" t="s">
        <v>5006</v>
      </c>
    </row>
    <row r="278" spans="1:89" s="89" customFormat="1">
      <c r="A278" s="129" t="s">
        <v>5893</v>
      </c>
      <c r="B278" s="14">
        <v>23</v>
      </c>
      <c r="C278" s="21"/>
      <c r="E278" s="21"/>
      <c r="F278" s="21"/>
      <c r="G278" s="21"/>
      <c r="H278" s="21"/>
      <c r="I278" s="21"/>
      <c r="J278" s="20" t="s">
        <v>5007</v>
      </c>
      <c r="K278" s="135" t="s">
        <v>5008</v>
      </c>
      <c r="Z278" s="90"/>
      <c r="CA278" s="126"/>
      <c r="CB278" s="21"/>
      <c r="CC278" s="21"/>
      <c r="CD278" s="21"/>
      <c r="CE278" s="21"/>
      <c r="CF278" s="21"/>
      <c r="CG278" s="21"/>
      <c r="CH278" s="21"/>
      <c r="CI278" s="21"/>
      <c r="CJ278" s="20" t="s">
        <v>5007</v>
      </c>
      <c r="CK278" s="135" t="s">
        <v>5008</v>
      </c>
    </row>
    <row r="279" spans="1:89" s="89" customFormat="1">
      <c r="A279" s="129" t="s">
        <v>5894</v>
      </c>
      <c r="B279" s="21" t="s">
        <v>5906</v>
      </c>
      <c r="C279" s="21"/>
      <c r="D279" s="21"/>
      <c r="E279" s="21"/>
      <c r="F279" s="21"/>
      <c r="G279" s="21"/>
      <c r="H279" s="21"/>
      <c r="I279" s="21"/>
      <c r="J279" s="20" t="s">
        <v>5009</v>
      </c>
      <c r="K279" s="135" t="s">
        <v>5010</v>
      </c>
      <c r="Z279" s="90"/>
      <c r="CA279" s="126"/>
      <c r="CB279" s="21"/>
      <c r="CC279" s="21"/>
      <c r="CD279" s="21"/>
      <c r="CE279" s="21"/>
      <c r="CF279" s="21"/>
      <c r="CG279" s="21"/>
      <c r="CH279" s="21"/>
      <c r="CI279" s="21"/>
      <c r="CJ279" s="20" t="s">
        <v>5009</v>
      </c>
      <c r="CK279" s="135" t="s">
        <v>5010</v>
      </c>
    </row>
    <row r="280" spans="1:89" s="89" customFormat="1">
      <c r="A280" s="129" t="s">
        <v>5895</v>
      </c>
      <c r="B280" s="14"/>
      <c r="C280" s="21"/>
      <c r="D280" s="21"/>
      <c r="E280" s="21"/>
      <c r="F280" s="21"/>
      <c r="G280" s="21"/>
      <c r="H280" s="21"/>
      <c r="I280" s="21"/>
      <c r="J280" s="20" t="s">
        <v>5011</v>
      </c>
      <c r="K280" s="135" t="s">
        <v>5012</v>
      </c>
      <c r="Z280" s="90"/>
      <c r="CA280" s="126"/>
      <c r="CB280" s="21"/>
      <c r="CC280" s="21"/>
      <c r="CD280" s="21"/>
      <c r="CE280" s="21"/>
      <c r="CF280" s="21"/>
      <c r="CG280" s="21"/>
      <c r="CH280" s="21"/>
      <c r="CI280" s="21"/>
      <c r="CJ280" s="20" t="s">
        <v>5011</v>
      </c>
      <c r="CK280" s="135" t="s">
        <v>5012</v>
      </c>
    </row>
    <row r="281" spans="1:89" s="89" customFormat="1">
      <c r="A281" s="129" t="s">
        <v>5896</v>
      </c>
      <c r="C281" s="21"/>
      <c r="D281" s="21"/>
      <c r="E281" s="21"/>
      <c r="F281" s="21"/>
      <c r="G281" s="21"/>
      <c r="H281" s="21"/>
      <c r="I281" s="21"/>
      <c r="J281" s="20" t="s">
        <v>5013</v>
      </c>
      <c r="K281" s="135" t="s">
        <v>4852</v>
      </c>
      <c r="Z281" s="90"/>
      <c r="CA281" s="126"/>
      <c r="CB281" s="21"/>
      <c r="CC281" s="21"/>
      <c r="CD281" s="21"/>
      <c r="CE281" s="21"/>
      <c r="CF281" s="21"/>
      <c r="CG281" s="21"/>
      <c r="CH281" s="21"/>
      <c r="CI281" s="21"/>
      <c r="CJ281" s="20" t="s">
        <v>5013</v>
      </c>
      <c r="CK281" s="135" t="s">
        <v>4852</v>
      </c>
    </row>
    <row r="282" spans="1:89" s="89" customFormat="1">
      <c r="A282" s="129" t="s">
        <v>5897</v>
      </c>
      <c r="B282" s="14" t="s">
        <v>5804</v>
      </c>
      <c r="C282" s="21"/>
      <c r="D282" s="21"/>
      <c r="E282" s="21"/>
      <c r="F282" s="21"/>
      <c r="G282" s="21"/>
      <c r="H282" s="21"/>
      <c r="I282" s="21"/>
      <c r="J282" s="20" t="s">
        <v>4996</v>
      </c>
      <c r="K282" s="135" t="s">
        <v>4997</v>
      </c>
      <c r="Z282" s="90"/>
      <c r="CA282" s="126"/>
      <c r="CB282" s="21"/>
      <c r="CC282" s="21"/>
      <c r="CD282" s="21"/>
      <c r="CE282" s="21"/>
      <c r="CF282" s="21"/>
      <c r="CG282" s="21"/>
      <c r="CH282" s="21"/>
      <c r="CI282" s="21"/>
      <c r="CJ282" s="20" t="s">
        <v>4996</v>
      </c>
      <c r="CK282" s="135" t="s">
        <v>4997</v>
      </c>
    </row>
    <row r="283" spans="1:89" s="89" customFormat="1">
      <c r="A283" s="129" t="s">
        <v>5898</v>
      </c>
      <c r="B283" s="14">
        <v>575</v>
      </c>
      <c r="C283" s="21"/>
      <c r="D283" s="21"/>
      <c r="E283" s="21"/>
      <c r="F283" s="21"/>
      <c r="G283" s="21"/>
      <c r="H283" s="21"/>
      <c r="I283" s="21"/>
      <c r="J283" s="22" t="s">
        <v>5193</v>
      </c>
      <c r="K283" s="155" t="s">
        <v>5197</v>
      </c>
      <c r="CA283" s="126"/>
      <c r="CB283" s="21"/>
      <c r="CC283" s="21"/>
      <c r="CD283" s="21"/>
      <c r="CE283" s="21"/>
      <c r="CF283" s="21"/>
      <c r="CG283" s="21"/>
      <c r="CH283" s="21"/>
      <c r="CI283" s="21"/>
      <c r="CJ283" s="22" t="s">
        <v>5193</v>
      </c>
      <c r="CK283" s="155" t="s">
        <v>5197</v>
      </c>
    </row>
    <row r="284" spans="1:89" s="89" customFormat="1">
      <c r="A284" s="129" t="s">
        <v>5899</v>
      </c>
      <c r="B284" s="14" t="s">
        <v>5805</v>
      </c>
      <c r="C284" s="21"/>
      <c r="D284" s="21"/>
      <c r="E284" s="21"/>
      <c r="F284" s="21"/>
      <c r="G284" s="21"/>
      <c r="H284" s="21"/>
      <c r="I284" s="21"/>
      <c r="J284" s="104"/>
      <c r="K284" s="140"/>
      <c r="CA284" s="126"/>
      <c r="CB284" s="21"/>
      <c r="CC284" s="21"/>
      <c r="CD284" s="21"/>
      <c r="CE284" s="21"/>
      <c r="CF284" s="21"/>
      <c r="CG284" s="21"/>
      <c r="CH284" s="21"/>
      <c r="CI284" s="21"/>
      <c r="CJ284" s="104"/>
      <c r="CK284" s="140"/>
    </row>
    <row r="285" spans="1:89" s="89" customFormat="1" ht="14" thickBot="1">
      <c r="A285" s="149"/>
      <c r="B285" s="150"/>
      <c r="C285" s="150"/>
      <c r="D285" s="150"/>
      <c r="E285" s="150"/>
      <c r="F285" s="150"/>
      <c r="G285" s="150"/>
      <c r="H285" s="150"/>
      <c r="I285" s="150"/>
      <c r="J285" s="183"/>
      <c r="K285" s="160"/>
      <c r="CA285" s="149"/>
      <c r="CB285" s="150"/>
      <c r="CC285" s="150"/>
      <c r="CD285" s="150"/>
      <c r="CE285" s="150"/>
      <c r="CF285" s="150"/>
      <c r="CG285" s="150"/>
      <c r="CH285" s="150"/>
      <c r="CI285" s="150"/>
      <c r="CJ285" s="183"/>
      <c r="CK285" s="160"/>
    </row>
    <row r="286" spans="1:89" s="89" customFormat="1">
      <c r="A286" s="121"/>
      <c r="B286" s="121"/>
      <c r="C286" s="121"/>
      <c r="D286" s="121"/>
      <c r="E286" s="121"/>
      <c r="F286" s="121"/>
      <c r="G286" s="121"/>
      <c r="H286" s="121"/>
      <c r="I286" s="121"/>
      <c r="J286" s="184"/>
      <c r="K286" s="184"/>
      <c r="CA286" s="121"/>
      <c r="CB286" s="121"/>
      <c r="CC286" s="121"/>
      <c r="CD286" s="121"/>
      <c r="CE286" s="121"/>
      <c r="CF286" s="121"/>
      <c r="CG286" s="121"/>
      <c r="CH286" s="121"/>
      <c r="CI286" s="121"/>
      <c r="CJ286" s="184"/>
      <c r="CK286" s="184"/>
    </row>
    <row r="287" spans="1:89" s="89" customFormat="1">
      <c r="A287" s="21"/>
      <c r="B287" s="21"/>
      <c r="C287" s="21"/>
      <c r="D287" s="21"/>
      <c r="E287" s="21"/>
      <c r="F287" s="21"/>
      <c r="G287" s="21"/>
      <c r="H287" s="21"/>
      <c r="I287" s="21"/>
      <c r="J287" s="14"/>
      <c r="K287" s="14"/>
      <c r="CA287" s="21"/>
      <c r="CB287" s="21"/>
      <c r="CC287" s="21"/>
      <c r="CD287" s="21"/>
      <c r="CE287" s="21"/>
      <c r="CF287" s="21"/>
      <c r="CG287" s="21"/>
      <c r="CH287" s="21"/>
      <c r="CI287" s="21"/>
      <c r="CJ287" s="14"/>
      <c r="CK287" s="14"/>
    </row>
    <row r="288" spans="1:89" s="89" customFormat="1">
      <c r="A288" s="21"/>
      <c r="B288" s="21"/>
      <c r="C288" s="21"/>
      <c r="D288" s="21"/>
      <c r="E288" s="21"/>
      <c r="F288" s="21"/>
      <c r="G288" s="21"/>
      <c r="H288" s="21"/>
      <c r="I288" s="21"/>
      <c r="J288" s="14"/>
      <c r="K288" s="14"/>
      <c r="CA288" s="21"/>
      <c r="CB288" s="21"/>
      <c r="CC288" s="21"/>
      <c r="CD288" s="21"/>
      <c r="CE288" s="21"/>
      <c r="CF288" s="21"/>
      <c r="CG288" s="21"/>
      <c r="CH288" s="21"/>
      <c r="CI288" s="21"/>
      <c r="CJ288" s="14"/>
      <c r="CK288" s="14"/>
    </row>
    <row r="289" spans="1:89" s="89" customFormat="1">
      <c r="A289" s="21"/>
      <c r="B289" s="21"/>
      <c r="C289" s="21"/>
      <c r="D289" s="21"/>
      <c r="E289" s="21"/>
      <c r="F289" s="21"/>
      <c r="G289" s="21"/>
      <c r="H289" s="21"/>
      <c r="I289" s="21"/>
      <c r="J289" s="14"/>
      <c r="K289" s="14"/>
      <c r="CA289" s="21"/>
      <c r="CB289" s="21"/>
      <c r="CC289" s="21"/>
      <c r="CD289" s="21"/>
      <c r="CE289" s="21"/>
      <c r="CF289" s="21"/>
      <c r="CG289" s="21"/>
      <c r="CH289" s="21"/>
      <c r="CI289" s="21"/>
      <c r="CJ289" s="14"/>
      <c r="CK289" s="14"/>
    </row>
    <row r="290" spans="1:89" s="89" customFormat="1">
      <c r="A290" s="21"/>
      <c r="B290" s="21"/>
      <c r="C290" s="21"/>
      <c r="D290" s="21"/>
      <c r="E290" s="21"/>
      <c r="F290" s="21"/>
      <c r="G290" s="21"/>
      <c r="H290" s="21"/>
      <c r="I290" s="21"/>
      <c r="J290" s="14"/>
      <c r="K290" s="14"/>
      <c r="CA290" s="21"/>
      <c r="CB290" s="21"/>
      <c r="CC290" s="21"/>
      <c r="CD290" s="21"/>
      <c r="CE290" s="21"/>
      <c r="CF290" s="21"/>
      <c r="CG290" s="21"/>
      <c r="CH290" s="21"/>
      <c r="CI290" s="21"/>
      <c r="CJ290" s="14"/>
      <c r="CK290" s="14"/>
    </row>
    <row r="291" spans="1:89" s="89" customFormat="1">
      <c r="A291" s="21"/>
      <c r="B291" s="21"/>
      <c r="C291" s="21"/>
      <c r="D291" s="21"/>
      <c r="E291" s="21"/>
      <c r="F291" s="21"/>
      <c r="G291" s="21"/>
      <c r="H291" s="21"/>
      <c r="I291" s="21"/>
      <c r="J291" s="14"/>
      <c r="K291" s="14"/>
      <c r="CA291" s="21"/>
      <c r="CB291" s="21"/>
      <c r="CC291" s="21"/>
      <c r="CD291" s="21"/>
      <c r="CE291" s="21"/>
      <c r="CF291" s="21"/>
      <c r="CG291" s="21"/>
      <c r="CH291" s="21"/>
      <c r="CI291" s="21"/>
      <c r="CJ291" s="14"/>
      <c r="CK291" s="14"/>
    </row>
    <row r="292" spans="1:89" s="89" customFormat="1">
      <c r="A292" s="21"/>
      <c r="B292" s="21"/>
      <c r="C292" s="21"/>
      <c r="D292" s="21"/>
      <c r="E292" s="21"/>
      <c r="F292" s="21"/>
      <c r="G292" s="21"/>
      <c r="H292" s="21"/>
      <c r="I292" s="21"/>
      <c r="J292" s="14"/>
      <c r="K292" s="14"/>
      <c r="CA292" s="21"/>
      <c r="CB292" s="21"/>
      <c r="CC292" s="21"/>
      <c r="CD292" s="21"/>
      <c r="CE292" s="21"/>
      <c r="CF292" s="21"/>
      <c r="CG292" s="21"/>
      <c r="CH292" s="21"/>
      <c r="CI292" s="21"/>
      <c r="CJ292" s="14"/>
      <c r="CK292" s="14"/>
    </row>
    <row r="293" spans="1:89" s="89" customFormat="1">
      <c r="A293" s="21"/>
      <c r="B293" s="21"/>
      <c r="C293" s="21"/>
      <c r="D293" s="21"/>
      <c r="E293" s="21"/>
      <c r="F293" s="21"/>
      <c r="G293" s="21"/>
      <c r="H293" s="21"/>
      <c r="I293" s="21"/>
      <c r="J293" s="14"/>
      <c r="K293" s="14"/>
      <c r="CA293" s="21"/>
      <c r="CB293" s="21"/>
      <c r="CC293" s="21"/>
      <c r="CD293" s="21"/>
      <c r="CE293" s="21"/>
      <c r="CF293" s="21"/>
      <c r="CG293" s="21"/>
      <c r="CH293" s="21"/>
      <c r="CI293" s="21"/>
      <c r="CJ293" s="14"/>
      <c r="CK293" s="14"/>
    </row>
    <row r="294" spans="1:89" s="89" customFormat="1">
      <c r="A294" s="21"/>
      <c r="B294" s="21"/>
      <c r="C294" s="21"/>
      <c r="D294" s="21"/>
      <c r="E294" s="21"/>
      <c r="F294" s="21"/>
      <c r="G294" s="21"/>
      <c r="H294" s="21"/>
      <c r="I294" s="21"/>
      <c r="J294" s="14"/>
      <c r="K294" s="14"/>
      <c r="CA294" s="21"/>
      <c r="CB294" s="21"/>
      <c r="CC294" s="21"/>
      <c r="CD294" s="21"/>
      <c r="CE294" s="21"/>
      <c r="CF294" s="21"/>
      <c r="CG294" s="21"/>
      <c r="CH294" s="21"/>
      <c r="CI294" s="21"/>
      <c r="CJ294" s="14"/>
      <c r="CK294" s="14"/>
    </row>
    <row r="295" spans="1:89" s="89" customFormat="1">
      <c r="A295" s="21"/>
      <c r="B295" s="21"/>
      <c r="C295" s="21"/>
      <c r="D295" s="21"/>
      <c r="E295" s="21"/>
      <c r="F295" s="21"/>
      <c r="G295" s="21"/>
      <c r="H295" s="21"/>
      <c r="I295" s="21"/>
      <c r="J295" s="14"/>
      <c r="K295" s="14"/>
      <c r="CA295" s="21"/>
      <c r="CB295" s="21"/>
      <c r="CC295" s="21"/>
      <c r="CD295" s="21"/>
      <c r="CE295" s="21"/>
      <c r="CF295" s="21"/>
      <c r="CG295" s="21"/>
      <c r="CH295" s="21"/>
      <c r="CI295" s="21"/>
      <c r="CJ295" s="14"/>
      <c r="CK295" s="14"/>
    </row>
    <row r="296" spans="1:89" s="89" customFormat="1">
      <c r="A296" s="21"/>
      <c r="B296" s="21"/>
      <c r="C296" s="21"/>
      <c r="D296" s="21"/>
      <c r="E296" s="21"/>
      <c r="F296" s="21"/>
      <c r="G296" s="21"/>
      <c r="H296" s="21"/>
      <c r="I296" s="21"/>
      <c r="J296" s="14"/>
      <c r="K296" s="14"/>
      <c r="CA296" s="21"/>
      <c r="CB296" s="21"/>
      <c r="CC296" s="21"/>
      <c r="CD296" s="21"/>
      <c r="CE296" s="21"/>
      <c r="CF296" s="21"/>
      <c r="CG296" s="21"/>
      <c r="CH296" s="21"/>
      <c r="CI296" s="21"/>
      <c r="CJ296" s="14"/>
      <c r="CK296" s="14"/>
    </row>
    <row r="297" spans="1:89" s="89" customFormat="1">
      <c r="A297" s="21"/>
      <c r="B297" s="21"/>
      <c r="C297" s="21"/>
      <c r="D297" s="21"/>
      <c r="E297" s="21"/>
      <c r="F297" s="21"/>
      <c r="G297" s="21"/>
      <c r="H297" s="21"/>
      <c r="I297" s="21"/>
      <c r="J297" s="14"/>
      <c r="K297" s="14"/>
      <c r="CA297" s="21"/>
      <c r="CB297" s="21"/>
      <c r="CC297" s="21"/>
      <c r="CD297" s="21"/>
      <c r="CE297" s="21"/>
      <c r="CF297" s="21"/>
      <c r="CG297" s="21"/>
      <c r="CH297" s="21"/>
      <c r="CI297" s="21"/>
      <c r="CJ297" s="14"/>
      <c r="CK297" s="14"/>
    </row>
    <row r="298" spans="1:89" s="89" customFormat="1">
      <c r="A298" s="21"/>
      <c r="B298" s="21"/>
      <c r="C298" s="21"/>
      <c r="D298" s="21"/>
      <c r="E298" s="21"/>
      <c r="F298" s="21"/>
      <c r="G298" s="21"/>
      <c r="H298" s="21"/>
      <c r="I298" s="21"/>
      <c r="J298" s="14"/>
      <c r="K298" s="14"/>
      <c r="CA298" s="21"/>
      <c r="CB298" s="21"/>
      <c r="CC298" s="21"/>
      <c r="CD298" s="21"/>
      <c r="CE298" s="21"/>
      <c r="CF298" s="21"/>
      <c r="CG298" s="21"/>
      <c r="CH298" s="21"/>
      <c r="CI298" s="21"/>
      <c r="CJ298" s="14"/>
      <c r="CK298" s="14"/>
    </row>
    <row r="299" spans="1:89" s="89" customFormat="1">
      <c r="A299" s="21"/>
      <c r="B299" s="21"/>
      <c r="C299" s="21"/>
      <c r="D299" s="21"/>
      <c r="E299" s="21"/>
      <c r="F299" s="21"/>
      <c r="G299" s="21"/>
      <c r="H299" s="21"/>
      <c r="I299" s="21"/>
      <c r="J299" s="14"/>
      <c r="K299" s="14"/>
      <c r="CA299" s="21"/>
      <c r="CB299" s="21"/>
      <c r="CC299" s="21"/>
      <c r="CD299" s="21"/>
      <c r="CE299" s="21"/>
      <c r="CF299" s="21"/>
      <c r="CG299" s="21"/>
      <c r="CH299" s="21"/>
      <c r="CI299" s="21"/>
      <c r="CJ299" s="14"/>
      <c r="CK299" s="14"/>
    </row>
    <row r="300" spans="1:89" s="89" customFormat="1" ht="14" thickBot="1">
      <c r="A300" s="150"/>
      <c r="B300" s="150"/>
      <c r="C300" s="150"/>
      <c r="D300" s="150"/>
      <c r="E300" s="150"/>
      <c r="F300" s="150"/>
      <c r="G300" s="150"/>
      <c r="H300" s="150"/>
      <c r="I300" s="150"/>
      <c r="J300" s="150"/>
      <c r="K300" s="150"/>
      <c r="CA300" s="150"/>
      <c r="CB300" s="150"/>
      <c r="CC300" s="150"/>
      <c r="CD300" s="150"/>
      <c r="CE300" s="150"/>
      <c r="CF300" s="150"/>
      <c r="CG300" s="150"/>
      <c r="CH300" s="150"/>
      <c r="CI300" s="150"/>
      <c r="CJ300" s="150"/>
      <c r="CK300" s="150"/>
    </row>
    <row r="301" spans="1:89">
      <c r="A301" s="152" t="s">
        <v>5198</v>
      </c>
      <c r="B301" s="121"/>
      <c r="C301" s="121"/>
      <c r="D301" s="121"/>
      <c r="E301" s="121"/>
      <c r="F301" s="121"/>
      <c r="G301" s="121"/>
      <c r="H301" s="121"/>
      <c r="I301" s="121"/>
      <c r="J301" s="281"/>
      <c r="K301" s="162"/>
      <c r="CA301" s="17" t="s">
        <v>5198</v>
      </c>
      <c r="CB301" s="84"/>
      <c r="CC301" s="84"/>
      <c r="CD301" s="84"/>
      <c r="CE301" s="84"/>
      <c r="CF301" s="84"/>
      <c r="CG301" s="84"/>
      <c r="CH301" s="84"/>
      <c r="CI301" s="84"/>
      <c r="CJ301" s="17"/>
      <c r="CK301" s="77"/>
    </row>
    <row r="302" spans="1:89">
      <c r="A302" s="126"/>
      <c r="B302" s="21"/>
      <c r="C302" s="21"/>
      <c r="D302" s="21"/>
      <c r="E302" s="21"/>
      <c r="F302" s="21"/>
      <c r="G302" s="21"/>
      <c r="H302" s="21"/>
      <c r="I302" s="21"/>
      <c r="J302" s="20"/>
      <c r="K302" s="135"/>
      <c r="CA302" s="20"/>
      <c r="CB302" s="21"/>
      <c r="CC302" s="21"/>
      <c r="CD302" s="21"/>
      <c r="CE302" s="21"/>
      <c r="CF302" s="21"/>
      <c r="CG302" s="21"/>
      <c r="CH302" s="21"/>
      <c r="CI302" s="21"/>
      <c r="CJ302" s="20"/>
      <c r="CK302" s="28"/>
    </row>
    <row r="303" spans="1:89">
      <c r="A303" s="126"/>
      <c r="B303" s="21"/>
      <c r="C303" s="21"/>
      <c r="D303" s="21"/>
      <c r="E303" s="21"/>
      <c r="F303" s="21"/>
      <c r="G303" s="21"/>
      <c r="H303" s="21"/>
      <c r="I303" s="21"/>
      <c r="J303" s="20"/>
      <c r="K303" s="135"/>
      <c r="CA303" s="20"/>
      <c r="CB303" s="21"/>
      <c r="CC303" s="21"/>
      <c r="CD303" s="21"/>
      <c r="CE303" s="21"/>
      <c r="CF303" s="21"/>
      <c r="CG303" s="21"/>
      <c r="CH303" s="21"/>
      <c r="CI303" s="21"/>
      <c r="CJ303" s="20"/>
      <c r="CK303" s="28"/>
    </row>
    <row r="304" spans="1:89">
      <c r="A304" s="126"/>
      <c r="B304" s="21"/>
      <c r="C304" s="21"/>
      <c r="D304" s="21"/>
      <c r="E304" s="21"/>
      <c r="F304" s="21"/>
      <c r="G304" s="21"/>
      <c r="H304" s="21"/>
      <c r="I304" s="21"/>
      <c r="J304" s="20"/>
      <c r="K304" s="135"/>
      <c r="CA304" s="20"/>
      <c r="CB304" s="21"/>
      <c r="CC304" s="21"/>
      <c r="CD304" s="21"/>
      <c r="CE304" s="21"/>
      <c r="CF304" s="21"/>
      <c r="CG304" s="21"/>
      <c r="CH304" s="21"/>
      <c r="CI304" s="21"/>
      <c r="CJ304" s="20"/>
      <c r="CK304" s="28"/>
    </row>
    <row r="305" spans="1:89">
      <c r="A305" s="141"/>
      <c r="B305" s="29"/>
      <c r="C305" s="29"/>
      <c r="D305" s="29"/>
      <c r="E305" s="29"/>
      <c r="F305" s="29"/>
      <c r="G305" s="29"/>
      <c r="H305" s="29"/>
      <c r="I305" s="29"/>
      <c r="J305" s="22"/>
      <c r="K305" s="155"/>
      <c r="CA305" s="22"/>
      <c r="CB305" s="29"/>
      <c r="CC305" s="29"/>
      <c r="CD305" s="29"/>
      <c r="CE305" s="29"/>
      <c r="CF305" s="29"/>
      <c r="CG305" s="29"/>
      <c r="CH305" s="29"/>
      <c r="CI305" s="29"/>
      <c r="CJ305" s="22"/>
      <c r="CK305" s="61"/>
    </row>
    <row r="306" spans="1:89">
      <c r="A306" s="179" t="s">
        <v>5199</v>
      </c>
      <c r="B306" s="102"/>
      <c r="C306" s="175" t="s">
        <v>5018</v>
      </c>
      <c r="D306" s="175" t="s">
        <v>5701</v>
      </c>
      <c r="E306" s="175" t="s">
        <v>5019</v>
      </c>
      <c r="F306" s="175" t="s">
        <v>5020</v>
      </c>
      <c r="G306" s="175" t="s">
        <v>5021</v>
      </c>
      <c r="H306" s="175" t="s">
        <v>5022</v>
      </c>
      <c r="I306" s="221" t="s">
        <v>5316</v>
      </c>
      <c r="J306" s="176"/>
      <c r="K306" s="180"/>
      <c r="CA306" s="179" t="s">
        <v>5199</v>
      </c>
      <c r="CB306" s="102"/>
      <c r="CC306" s="175" t="s">
        <v>5018</v>
      </c>
      <c r="CD306" s="175" t="s">
        <v>5701</v>
      </c>
      <c r="CE306" s="175" t="s">
        <v>5019</v>
      </c>
      <c r="CF306" s="175" t="s">
        <v>5020</v>
      </c>
      <c r="CG306" s="175" t="s">
        <v>5021</v>
      </c>
      <c r="CH306" s="175" t="s">
        <v>5022</v>
      </c>
      <c r="CI306" s="221" t="s">
        <v>5316</v>
      </c>
      <c r="CJ306" s="176"/>
      <c r="CK306" s="180"/>
    </row>
    <row r="307" spans="1:89">
      <c r="A307" s="166" t="str">
        <f t="shared" ref="A307:A324" si="160">IF(AND(A1007&gt;0,$D$2&gt;0),A1007," ")</f>
        <v xml:space="preserve"> </v>
      </c>
      <c r="B307" s="101"/>
      <c r="C307" s="100"/>
      <c r="D307" s="167" t="str">
        <f t="shared" ref="D307:I322" si="161">IF(AND(D1007&gt;0,$D$2&gt;0),D1007," ")</f>
        <v xml:space="preserve"> </v>
      </c>
      <c r="E307" s="167" t="str">
        <f t="shared" si="161"/>
        <v xml:space="preserve"> </v>
      </c>
      <c r="F307" s="167" t="str">
        <f t="shared" si="161"/>
        <v xml:space="preserve"> </v>
      </c>
      <c r="G307" s="167" t="str">
        <f t="shared" si="161"/>
        <v xml:space="preserve"> </v>
      </c>
      <c r="H307" s="167" t="str">
        <f t="shared" si="161"/>
        <v xml:space="preserve"> </v>
      </c>
      <c r="I307" s="168" t="str">
        <f t="shared" si="161"/>
        <v xml:space="preserve"> </v>
      </c>
      <c r="J307" s="167"/>
      <c r="K307" s="165"/>
      <c r="CA307" s="166" t="str">
        <f t="shared" ref="CA307:CA324" si="162">IF(AND(CA1007&gt;0,$D$2&gt;0),CA1007," ")</f>
        <v xml:space="preserve"> </v>
      </c>
      <c r="CB307" s="101"/>
      <c r="CC307" s="100"/>
      <c r="CD307" s="167" t="str">
        <f t="shared" ref="CD307:CI322" si="163">IF(AND(CD1007&gt;0,$D$2&gt;0),CD1007," ")</f>
        <v xml:space="preserve"> </v>
      </c>
      <c r="CE307" s="167" t="str">
        <f t="shared" si="163"/>
        <v xml:space="preserve"> </v>
      </c>
      <c r="CF307" s="167" t="str">
        <f t="shared" si="163"/>
        <v xml:space="preserve"> </v>
      </c>
      <c r="CG307" s="167" t="str">
        <f t="shared" si="163"/>
        <v xml:space="preserve"> </v>
      </c>
      <c r="CH307" s="167" t="str">
        <f t="shared" si="163"/>
        <v xml:space="preserve"> </v>
      </c>
      <c r="CI307" s="168" t="str">
        <f t="shared" si="163"/>
        <v xml:space="preserve"> </v>
      </c>
      <c r="CJ307" s="167"/>
      <c r="CK307" s="165"/>
    </row>
    <row r="308" spans="1:89">
      <c r="A308" s="238" t="str">
        <f t="shared" si="160"/>
        <v xml:space="preserve"> </v>
      </c>
      <c r="B308" s="253"/>
      <c r="C308" s="247"/>
      <c r="D308" s="240" t="str">
        <f t="shared" si="161"/>
        <v xml:space="preserve"> </v>
      </c>
      <c r="E308" s="240" t="str">
        <f t="shared" si="161"/>
        <v xml:space="preserve"> </v>
      </c>
      <c r="F308" s="240" t="str">
        <f t="shared" si="161"/>
        <v xml:space="preserve"> </v>
      </c>
      <c r="G308" s="240" t="str">
        <f t="shared" si="161"/>
        <v xml:space="preserve"> </v>
      </c>
      <c r="H308" s="240" t="str">
        <f t="shared" si="161"/>
        <v xml:space="preserve"> </v>
      </c>
      <c r="I308" s="251" t="str">
        <f t="shared" si="161"/>
        <v xml:space="preserve"> </v>
      </c>
      <c r="J308" s="240"/>
      <c r="K308" s="254"/>
      <c r="CA308" s="238" t="str">
        <f t="shared" si="162"/>
        <v xml:space="preserve"> </v>
      </c>
      <c r="CB308" s="253"/>
      <c r="CC308" s="247"/>
      <c r="CD308" s="240" t="str">
        <f t="shared" si="163"/>
        <v xml:space="preserve"> </v>
      </c>
      <c r="CE308" s="240" t="str">
        <f t="shared" si="163"/>
        <v xml:space="preserve"> </v>
      </c>
      <c r="CF308" s="240" t="str">
        <f t="shared" si="163"/>
        <v xml:space="preserve"> </v>
      </c>
      <c r="CG308" s="240" t="str">
        <f t="shared" si="163"/>
        <v xml:space="preserve"> </v>
      </c>
      <c r="CH308" s="240" t="str">
        <f t="shared" si="163"/>
        <v xml:space="preserve"> </v>
      </c>
      <c r="CI308" s="251" t="str">
        <f t="shared" si="163"/>
        <v xml:space="preserve"> </v>
      </c>
      <c r="CJ308" s="240"/>
      <c r="CK308" s="254"/>
    </row>
    <row r="309" spans="1:89">
      <c r="A309" s="166" t="str">
        <f t="shared" si="160"/>
        <v xml:space="preserve"> </v>
      </c>
      <c r="B309" s="101"/>
      <c r="C309" s="100"/>
      <c r="D309" s="167" t="str">
        <f t="shared" si="161"/>
        <v xml:space="preserve"> </v>
      </c>
      <c r="E309" s="167" t="str">
        <f t="shared" si="161"/>
        <v xml:space="preserve"> </v>
      </c>
      <c r="F309" s="167" t="str">
        <f t="shared" si="161"/>
        <v xml:space="preserve"> </v>
      </c>
      <c r="G309" s="167" t="str">
        <f t="shared" si="161"/>
        <v xml:space="preserve"> </v>
      </c>
      <c r="H309" s="167" t="str">
        <f t="shared" si="161"/>
        <v xml:space="preserve"> </v>
      </c>
      <c r="I309" s="168" t="str">
        <f t="shared" si="161"/>
        <v xml:space="preserve"> </v>
      </c>
      <c r="J309" s="167"/>
      <c r="K309" s="165"/>
      <c r="CA309" s="166" t="str">
        <f t="shared" si="162"/>
        <v xml:space="preserve"> </v>
      </c>
      <c r="CB309" s="101"/>
      <c r="CC309" s="100"/>
      <c r="CD309" s="167" t="str">
        <f t="shared" si="163"/>
        <v xml:space="preserve"> </v>
      </c>
      <c r="CE309" s="167" t="str">
        <f t="shared" si="163"/>
        <v xml:space="preserve"> </v>
      </c>
      <c r="CF309" s="167" t="str">
        <f t="shared" si="163"/>
        <v xml:space="preserve"> </v>
      </c>
      <c r="CG309" s="167" t="str">
        <f t="shared" si="163"/>
        <v xml:space="preserve"> </v>
      </c>
      <c r="CH309" s="167" t="str">
        <f t="shared" si="163"/>
        <v xml:space="preserve"> </v>
      </c>
      <c r="CI309" s="168" t="str">
        <f t="shared" si="163"/>
        <v xml:space="preserve"> </v>
      </c>
      <c r="CJ309" s="167"/>
      <c r="CK309" s="165"/>
    </row>
    <row r="310" spans="1:89">
      <c r="A310" s="238" t="str">
        <f t="shared" si="160"/>
        <v xml:space="preserve"> </v>
      </c>
      <c r="B310" s="253"/>
      <c r="C310" s="247"/>
      <c r="D310" s="240" t="str">
        <f t="shared" si="161"/>
        <v xml:space="preserve"> </v>
      </c>
      <c r="E310" s="240" t="str">
        <f t="shared" si="161"/>
        <v xml:space="preserve"> </v>
      </c>
      <c r="F310" s="240" t="str">
        <f t="shared" si="161"/>
        <v xml:space="preserve"> </v>
      </c>
      <c r="G310" s="240" t="str">
        <f t="shared" si="161"/>
        <v xml:space="preserve"> </v>
      </c>
      <c r="H310" s="240" t="str">
        <f t="shared" si="161"/>
        <v xml:space="preserve"> </v>
      </c>
      <c r="I310" s="251" t="str">
        <f t="shared" si="161"/>
        <v xml:space="preserve"> </v>
      </c>
      <c r="J310" s="240"/>
      <c r="K310" s="254"/>
      <c r="CA310" s="238" t="str">
        <f t="shared" si="162"/>
        <v xml:space="preserve"> </v>
      </c>
      <c r="CB310" s="253"/>
      <c r="CC310" s="247"/>
      <c r="CD310" s="240" t="str">
        <f t="shared" si="163"/>
        <v xml:space="preserve"> </v>
      </c>
      <c r="CE310" s="240" t="str">
        <f t="shared" si="163"/>
        <v xml:space="preserve"> </v>
      </c>
      <c r="CF310" s="240" t="str">
        <f t="shared" si="163"/>
        <v xml:space="preserve"> </v>
      </c>
      <c r="CG310" s="240" t="str">
        <f t="shared" si="163"/>
        <v xml:space="preserve"> </v>
      </c>
      <c r="CH310" s="240" t="str">
        <f t="shared" si="163"/>
        <v xml:space="preserve"> </v>
      </c>
      <c r="CI310" s="251" t="str">
        <f t="shared" si="163"/>
        <v xml:space="preserve"> </v>
      </c>
      <c r="CJ310" s="240"/>
      <c r="CK310" s="254"/>
    </row>
    <row r="311" spans="1:89">
      <c r="A311" s="166" t="str">
        <f t="shared" si="160"/>
        <v xml:space="preserve"> </v>
      </c>
      <c r="B311" s="101"/>
      <c r="C311" s="100"/>
      <c r="D311" s="167" t="str">
        <f t="shared" si="161"/>
        <v xml:space="preserve"> </v>
      </c>
      <c r="E311" s="167" t="str">
        <f t="shared" si="161"/>
        <v xml:space="preserve"> </v>
      </c>
      <c r="F311" s="167" t="str">
        <f t="shared" si="161"/>
        <v xml:space="preserve"> </v>
      </c>
      <c r="G311" s="167" t="str">
        <f t="shared" si="161"/>
        <v xml:space="preserve"> </v>
      </c>
      <c r="H311" s="167" t="str">
        <f t="shared" si="161"/>
        <v xml:space="preserve"> </v>
      </c>
      <c r="I311" s="168" t="str">
        <f t="shared" si="161"/>
        <v xml:space="preserve"> </v>
      </c>
      <c r="J311" s="167"/>
      <c r="K311" s="165"/>
      <c r="CA311" s="166" t="str">
        <f t="shared" si="162"/>
        <v xml:space="preserve"> </v>
      </c>
      <c r="CB311" s="101"/>
      <c r="CC311" s="100"/>
      <c r="CD311" s="167" t="str">
        <f t="shared" si="163"/>
        <v xml:space="preserve"> </v>
      </c>
      <c r="CE311" s="167" t="str">
        <f t="shared" si="163"/>
        <v xml:space="preserve"> </v>
      </c>
      <c r="CF311" s="167" t="str">
        <f t="shared" si="163"/>
        <v xml:space="preserve"> </v>
      </c>
      <c r="CG311" s="167" t="str">
        <f t="shared" si="163"/>
        <v xml:space="preserve"> </v>
      </c>
      <c r="CH311" s="167" t="str">
        <f t="shared" si="163"/>
        <v xml:space="preserve"> </v>
      </c>
      <c r="CI311" s="168" t="str">
        <f t="shared" si="163"/>
        <v xml:space="preserve"> </v>
      </c>
      <c r="CJ311" s="167"/>
      <c r="CK311" s="165"/>
    </row>
    <row r="312" spans="1:89">
      <c r="A312" s="238" t="str">
        <f t="shared" si="160"/>
        <v xml:space="preserve"> </v>
      </c>
      <c r="B312" s="253"/>
      <c r="C312" s="247"/>
      <c r="D312" s="240" t="str">
        <f t="shared" si="161"/>
        <v xml:space="preserve"> </v>
      </c>
      <c r="E312" s="240" t="str">
        <f t="shared" si="161"/>
        <v xml:space="preserve"> </v>
      </c>
      <c r="F312" s="240" t="str">
        <f t="shared" si="161"/>
        <v xml:space="preserve"> </v>
      </c>
      <c r="G312" s="240" t="str">
        <f t="shared" si="161"/>
        <v xml:space="preserve"> </v>
      </c>
      <c r="H312" s="240" t="str">
        <f t="shared" si="161"/>
        <v xml:space="preserve"> </v>
      </c>
      <c r="I312" s="251" t="str">
        <f t="shared" si="161"/>
        <v xml:space="preserve"> </v>
      </c>
      <c r="J312" s="240"/>
      <c r="K312" s="254"/>
      <c r="CA312" s="238" t="str">
        <f t="shared" si="162"/>
        <v xml:space="preserve"> </v>
      </c>
      <c r="CB312" s="253"/>
      <c r="CC312" s="247"/>
      <c r="CD312" s="240" t="str">
        <f t="shared" si="163"/>
        <v xml:space="preserve"> </v>
      </c>
      <c r="CE312" s="240" t="str">
        <f t="shared" si="163"/>
        <v xml:space="preserve"> </v>
      </c>
      <c r="CF312" s="240" t="str">
        <f t="shared" si="163"/>
        <v xml:space="preserve"> </v>
      </c>
      <c r="CG312" s="240" t="str">
        <f t="shared" si="163"/>
        <v xml:space="preserve"> </v>
      </c>
      <c r="CH312" s="240" t="str">
        <f t="shared" si="163"/>
        <v xml:space="preserve"> </v>
      </c>
      <c r="CI312" s="251" t="str">
        <f t="shared" si="163"/>
        <v xml:space="preserve"> </v>
      </c>
      <c r="CJ312" s="240"/>
      <c r="CK312" s="254"/>
    </row>
    <row r="313" spans="1:89">
      <c r="A313" s="166" t="str">
        <f t="shared" si="160"/>
        <v xml:space="preserve"> </v>
      </c>
      <c r="B313" s="101"/>
      <c r="C313" s="100"/>
      <c r="D313" s="167" t="str">
        <f t="shared" si="161"/>
        <v xml:space="preserve"> </v>
      </c>
      <c r="E313" s="167" t="str">
        <f t="shared" si="161"/>
        <v xml:space="preserve"> </v>
      </c>
      <c r="F313" s="167" t="str">
        <f t="shared" si="161"/>
        <v xml:space="preserve"> </v>
      </c>
      <c r="G313" s="167" t="str">
        <f t="shared" si="161"/>
        <v xml:space="preserve"> </v>
      </c>
      <c r="H313" s="167" t="str">
        <f t="shared" si="161"/>
        <v xml:space="preserve"> </v>
      </c>
      <c r="I313" s="168" t="str">
        <f t="shared" si="161"/>
        <v xml:space="preserve"> </v>
      </c>
      <c r="J313" s="167"/>
      <c r="K313" s="165"/>
      <c r="CA313" s="166" t="str">
        <f t="shared" si="162"/>
        <v xml:space="preserve"> </v>
      </c>
      <c r="CB313" s="101"/>
      <c r="CC313" s="100"/>
      <c r="CD313" s="167" t="str">
        <f t="shared" si="163"/>
        <v xml:space="preserve"> </v>
      </c>
      <c r="CE313" s="167" t="str">
        <f t="shared" si="163"/>
        <v xml:space="preserve"> </v>
      </c>
      <c r="CF313" s="167" t="str">
        <f t="shared" si="163"/>
        <v xml:space="preserve"> </v>
      </c>
      <c r="CG313" s="167" t="str">
        <f t="shared" si="163"/>
        <v xml:space="preserve"> </v>
      </c>
      <c r="CH313" s="167" t="str">
        <f t="shared" si="163"/>
        <v xml:space="preserve"> </v>
      </c>
      <c r="CI313" s="168" t="str">
        <f t="shared" si="163"/>
        <v xml:space="preserve"> </v>
      </c>
      <c r="CJ313" s="167"/>
      <c r="CK313" s="165"/>
    </row>
    <row r="314" spans="1:89">
      <c r="A314" s="238" t="str">
        <f t="shared" si="160"/>
        <v xml:space="preserve"> </v>
      </c>
      <c r="B314" s="253"/>
      <c r="C314" s="247"/>
      <c r="D314" s="240" t="str">
        <f t="shared" si="161"/>
        <v xml:space="preserve"> </v>
      </c>
      <c r="E314" s="240" t="str">
        <f t="shared" si="161"/>
        <v xml:space="preserve"> </v>
      </c>
      <c r="F314" s="240" t="str">
        <f t="shared" si="161"/>
        <v xml:space="preserve"> </v>
      </c>
      <c r="G314" s="240" t="str">
        <f t="shared" si="161"/>
        <v xml:space="preserve"> </v>
      </c>
      <c r="H314" s="240" t="str">
        <f t="shared" si="161"/>
        <v xml:space="preserve"> </v>
      </c>
      <c r="I314" s="251" t="str">
        <f t="shared" si="161"/>
        <v xml:space="preserve"> </v>
      </c>
      <c r="J314" s="240"/>
      <c r="K314" s="254"/>
      <c r="CA314" s="238" t="str">
        <f t="shared" si="162"/>
        <v xml:space="preserve"> </v>
      </c>
      <c r="CB314" s="253"/>
      <c r="CC314" s="247"/>
      <c r="CD314" s="240" t="str">
        <f t="shared" si="163"/>
        <v xml:space="preserve"> </v>
      </c>
      <c r="CE314" s="240" t="str">
        <f t="shared" si="163"/>
        <v xml:space="preserve"> </v>
      </c>
      <c r="CF314" s="240" t="str">
        <f t="shared" si="163"/>
        <v xml:space="preserve"> </v>
      </c>
      <c r="CG314" s="240" t="str">
        <f t="shared" si="163"/>
        <v xml:space="preserve"> </v>
      </c>
      <c r="CH314" s="240" t="str">
        <f t="shared" si="163"/>
        <v xml:space="preserve"> </v>
      </c>
      <c r="CI314" s="251" t="str">
        <f t="shared" si="163"/>
        <v xml:space="preserve"> </v>
      </c>
      <c r="CJ314" s="240"/>
      <c r="CK314" s="254"/>
    </row>
    <row r="315" spans="1:89">
      <c r="A315" s="166" t="str">
        <f t="shared" si="160"/>
        <v xml:space="preserve"> </v>
      </c>
      <c r="B315" s="101"/>
      <c r="C315" s="100"/>
      <c r="D315" s="167" t="str">
        <f t="shared" si="161"/>
        <v xml:space="preserve"> </v>
      </c>
      <c r="E315" s="167" t="str">
        <f t="shared" si="161"/>
        <v xml:space="preserve"> </v>
      </c>
      <c r="F315" s="167" t="str">
        <f t="shared" si="161"/>
        <v xml:space="preserve"> </v>
      </c>
      <c r="G315" s="167" t="str">
        <f t="shared" si="161"/>
        <v xml:space="preserve"> </v>
      </c>
      <c r="H315" s="167" t="str">
        <f t="shared" si="161"/>
        <v xml:space="preserve"> </v>
      </c>
      <c r="I315" s="168" t="str">
        <f t="shared" si="161"/>
        <v xml:space="preserve"> </v>
      </c>
      <c r="J315" s="167"/>
      <c r="K315" s="165"/>
      <c r="CA315" s="166" t="str">
        <f t="shared" si="162"/>
        <v xml:space="preserve"> </v>
      </c>
      <c r="CB315" s="101"/>
      <c r="CC315" s="100"/>
      <c r="CD315" s="167" t="str">
        <f t="shared" si="163"/>
        <v xml:space="preserve"> </v>
      </c>
      <c r="CE315" s="167" t="str">
        <f t="shared" si="163"/>
        <v xml:space="preserve"> </v>
      </c>
      <c r="CF315" s="167" t="str">
        <f t="shared" si="163"/>
        <v xml:space="preserve"> </v>
      </c>
      <c r="CG315" s="167" t="str">
        <f t="shared" si="163"/>
        <v xml:space="preserve"> </v>
      </c>
      <c r="CH315" s="167" t="str">
        <f t="shared" si="163"/>
        <v xml:space="preserve"> </v>
      </c>
      <c r="CI315" s="168" t="str">
        <f t="shared" si="163"/>
        <v xml:space="preserve"> </v>
      </c>
      <c r="CJ315" s="167"/>
      <c r="CK315" s="165"/>
    </row>
    <row r="316" spans="1:89">
      <c r="A316" s="238" t="str">
        <f t="shared" si="160"/>
        <v xml:space="preserve"> </v>
      </c>
      <c r="B316" s="253"/>
      <c r="C316" s="247"/>
      <c r="D316" s="240" t="str">
        <f t="shared" si="161"/>
        <v xml:space="preserve"> </v>
      </c>
      <c r="E316" s="240" t="str">
        <f t="shared" si="161"/>
        <v xml:space="preserve"> </v>
      </c>
      <c r="F316" s="240" t="str">
        <f t="shared" si="161"/>
        <v xml:space="preserve"> </v>
      </c>
      <c r="G316" s="240" t="str">
        <f t="shared" si="161"/>
        <v xml:space="preserve"> </v>
      </c>
      <c r="H316" s="240" t="str">
        <f t="shared" si="161"/>
        <v xml:space="preserve"> </v>
      </c>
      <c r="I316" s="251" t="str">
        <f t="shared" si="161"/>
        <v xml:space="preserve"> </v>
      </c>
      <c r="J316" s="240"/>
      <c r="K316" s="254"/>
      <c r="CA316" s="238" t="str">
        <f t="shared" si="162"/>
        <v xml:space="preserve"> </v>
      </c>
      <c r="CB316" s="253"/>
      <c r="CC316" s="247"/>
      <c r="CD316" s="240" t="str">
        <f t="shared" si="163"/>
        <v xml:space="preserve"> </v>
      </c>
      <c r="CE316" s="240" t="str">
        <f t="shared" si="163"/>
        <v xml:space="preserve"> </v>
      </c>
      <c r="CF316" s="240" t="str">
        <f t="shared" si="163"/>
        <v xml:space="preserve"> </v>
      </c>
      <c r="CG316" s="240" t="str">
        <f t="shared" si="163"/>
        <v xml:space="preserve"> </v>
      </c>
      <c r="CH316" s="240" t="str">
        <f t="shared" si="163"/>
        <v xml:space="preserve"> </v>
      </c>
      <c r="CI316" s="251" t="str">
        <f t="shared" si="163"/>
        <v xml:space="preserve"> </v>
      </c>
      <c r="CJ316" s="240"/>
      <c r="CK316" s="254"/>
    </row>
    <row r="317" spans="1:89">
      <c r="A317" s="166" t="str">
        <f t="shared" si="160"/>
        <v xml:space="preserve"> </v>
      </c>
      <c r="B317" s="101"/>
      <c r="C317" s="100"/>
      <c r="D317" s="167" t="str">
        <f t="shared" si="161"/>
        <v xml:space="preserve"> </v>
      </c>
      <c r="E317" s="167" t="str">
        <f t="shared" si="161"/>
        <v xml:space="preserve"> </v>
      </c>
      <c r="F317" s="167" t="str">
        <f t="shared" si="161"/>
        <v xml:space="preserve"> </v>
      </c>
      <c r="G317" s="167" t="str">
        <f t="shared" si="161"/>
        <v xml:space="preserve"> </v>
      </c>
      <c r="H317" s="167" t="str">
        <f t="shared" si="161"/>
        <v xml:space="preserve"> </v>
      </c>
      <c r="I317" s="168" t="str">
        <f t="shared" si="161"/>
        <v xml:space="preserve"> </v>
      </c>
      <c r="J317" s="167"/>
      <c r="K317" s="165"/>
      <c r="CA317" s="166" t="str">
        <f t="shared" si="162"/>
        <v xml:space="preserve"> </v>
      </c>
      <c r="CB317" s="101"/>
      <c r="CC317" s="100"/>
      <c r="CD317" s="167" t="str">
        <f t="shared" si="163"/>
        <v xml:space="preserve"> </v>
      </c>
      <c r="CE317" s="167" t="str">
        <f t="shared" si="163"/>
        <v xml:space="preserve"> </v>
      </c>
      <c r="CF317" s="167" t="str">
        <f t="shared" si="163"/>
        <v xml:space="preserve"> </v>
      </c>
      <c r="CG317" s="167" t="str">
        <f t="shared" si="163"/>
        <v xml:space="preserve"> </v>
      </c>
      <c r="CH317" s="167" t="str">
        <f t="shared" si="163"/>
        <v xml:space="preserve"> </v>
      </c>
      <c r="CI317" s="168" t="str">
        <f t="shared" si="163"/>
        <v xml:space="preserve"> </v>
      </c>
      <c r="CJ317" s="167"/>
      <c r="CK317" s="165"/>
    </row>
    <row r="318" spans="1:89">
      <c r="A318" s="238" t="str">
        <f t="shared" si="160"/>
        <v xml:space="preserve"> </v>
      </c>
      <c r="B318" s="253"/>
      <c r="C318" s="247"/>
      <c r="D318" s="240" t="str">
        <f t="shared" si="161"/>
        <v xml:space="preserve"> </v>
      </c>
      <c r="E318" s="240" t="str">
        <f t="shared" si="161"/>
        <v xml:space="preserve"> </v>
      </c>
      <c r="F318" s="240" t="str">
        <f t="shared" si="161"/>
        <v xml:space="preserve"> </v>
      </c>
      <c r="G318" s="240" t="str">
        <f t="shared" si="161"/>
        <v xml:space="preserve"> </v>
      </c>
      <c r="H318" s="240" t="str">
        <f t="shared" si="161"/>
        <v xml:space="preserve"> </v>
      </c>
      <c r="I318" s="251" t="str">
        <f t="shared" si="161"/>
        <v xml:space="preserve"> </v>
      </c>
      <c r="J318" s="240"/>
      <c r="K318" s="254"/>
      <c r="CA318" s="238" t="str">
        <f t="shared" si="162"/>
        <v xml:space="preserve"> </v>
      </c>
      <c r="CB318" s="253"/>
      <c r="CC318" s="247"/>
      <c r="CD318" s="240" t="str">
        <f t="shared" si="163"/>
        <v xml:space="preserve"> </v>
      </c>
      <c r="CE318" s="240" t="str">
        <f t="shared" si="163"/>
        <v xml:space="preserve"> </v>
      </c>
      <c r="CF318" s="240" t="str">
        <f t="shared" si="163"/>
        <v xml:space="preserve"> </v>
      </c>
      <c r="CG318" s="240" t="str">
        <f t="shared" si="163"/>
        <v xml:space="preserve"> </v>
      </c>
      <c r="CH318" s="240" t="str">
        <f t="shared" si="163"/>
        <v xml:space="preserve"> </v>
      </c>
      <c r="CI318" s="251" t="str">
        <f t="shared" si="163"/>
        <v xml:space="preserve"> </v>
      </c>
      <c r="CJ318" s="240"/>
      <c r="CK318" s="254"/>
    </row>
    <row r="319" spans="1:89">
      <c r="A319" s="166" t="str">
        <f t="shared" si="160"/>
        <v xml:space="preserve"> </v>
      </c>
      <c r="B319" s="101"/>
      <c r="C319" s="100"/>
      <c r="D319" s="167" t="str">
        <f t="shared" si="161"/>
        <v xml:space="preserve"> </v>
      </c>
      <c r="E319" s="167" t="str">
        <f t="shared" si="161"/>
        <v xml:space="preserve"> </v>
      </c>
      <c r="F319" s="167" t="str">
        <f t="shared" si="161"/>
        <v xml:space="preserve"> </v>
      </c>
      <c r="G319" s="167" t="str">
        <f t="shared" si="161"/>
        <v xml:space="preserve"> </v>
      </c>
      <c r="H319" s="167" t="str">
        <f t="shared" si="161"/>
        <v xml:space="preserve"> </v>
      </c>
      <c r="I319" s="168" t="str">
        <f t="shared" si="161"/>
        <v xml:space="preserve"> </v>
      </c>
      <c r="J319" s="167"/>
      <c r="K319" s="165"/>
      <c r="CA319" s="166" t="str">
        <f t="shared" si="162"/>
        <v xml:space="preserve"> </v>
      </c>
      <c r="CB319" s="101"/>
      <c r="CC319" s="100"/>
      <c r="CD319" s="167" t="str">
        <f t="shared" si="163"/>
        <v xml:space="preserve"> </v>
      </c>
      <c r="CE319" s="167" t="str">
        <f t="shared" si="163"/>
        <v xml:space="preserve"> </v>
      </c>
      <c r="CF319" s="167" t="str">
        <f t="shared" si="163"/>
        <v xml:space="preserve"> </v>
      </c>
      <c r="CG319" s="167" t="str">
        <f t="shared" si="163"/>
        <v xml:space="preserve"> </v>
      </c>
      <c r="CH319" s="167" t="str">
        <f t="shared" si="163"/>
        <v xml:space="preserve"> </v>
      </c>
      <c r="CI319" s="168" t="str">
        <f t="shared" si="163"/>
        <v xml:space="preserve"> </v>
      </c>
      <c r="CJ319" s="167"/>
      <c r="CK319" s="165"/>
    </row>
    <row r="320" spans="1:89">
      <c r="A320" s="238" t="str">
        <f t="shared" si="160"/>
        <v xml:space="preserve"> </v>
      </c>
      <c r="B320" s="253"/>
      <c r="C320" s="247"/>
      <c r="D320" s="240" t="str">
        <f t="shared" si="161"/>
        <v xml:space="preserve"> </v>
      </c>
      <c r="E320" s="240" t="str">
        <f t="shared" si="161"/>
        <v xml:space="preserve"> </v>
      </c>
      <c r="F320" s="240" t="str">
        <f t="shared" si="161"/>
        <v xml:space="preserve"> </v>
      </c>
      <c r="G320" s="240" t="str">
        <f t="shared" si="161"/>
        <v xml:space="preserve"> </v>
      </c>
      <c r="H320" s="240" t="str">
        <f t="shared" si="161"/>
        <v xml:space="preserve"> </v>
      </c>
      <c r="I320" s="251" t="str">
        <f t="shared" si="161"/>
        <v xml:space="preserve"> </v>
      </c>
      <c r="J320" s="240"/>
      <c r="K320" s="254"/>
      <c r="CA320" s="238" t="str">
        <f t="shared" si="162"/>
        <v xml:space="preserve"> </v>
      </c>
      <c r="CB320" s="253"/>
      <c r="CC320" s="247"/>
      <c r="CD320" s="240" t="str">
        <f t="shared" si="163"/>
        <v xml:space="preserve"> </v>
      </c>
      <c r="CE320" s="240" t="str">
        <f t="shared" si="163"/>
        <v xml:space="preserve"> </v>
      </c>
      <c r="CF320" s="240" t="str">
        <f t="shared" si="163"/>
        <v xml:space="preserve"> </v>
      </c>
      <c r="CG320" s="240" t="str">
        <f t="shared" si="163"/>
        <v xml:space="preserve"> </v>
      </c>
      <c r="CH320" s="240" t="str">
        <f t="shared" si="163"/>
        <v xml:space="preserve"> </v>
      </c>
      <c r="CI320" s="251" t="str">
        <f t="shared" si="163"/>
        <v xml:space="preserve"> </v>
      </c>
      <c r="CJ320" s="240"/>
      <c r="CK320" s="254"/>
    </row>
    <row r="321" spans="1:89">
      <c r="A321" s="166" t="str">
        <f t="shared" si="160"/>
        <v xml:space="preserve"> </v>
      </c>
      <c r="B321" s="101"/>
      <c r="C321" s="100"/>
      <c r="D321" s="167" t="str">
        <f t="shared" si="161"/>
        <v xml:space="preserve"> </v>
      </c>
      <c r="E321" s="167" t="str">
        <f t="shared" si="161"/>
        <v xml:space="preserve"> </v>
      </c>
      <c r="F321" s="167" t="str">
        <f t="shared" si="161"/>
        <v xml:space="preserve"> </v>
      </c>
      <c r="G321" s="167" t="str">
        <f t="shared" si="161"/>
        <v xml:space="preserve"> </v>
      </c>
      <c r="H321" s="167" t="str">
        <f t="shared" si="161"/>
        <v xml:space="preserve"> </v>
      </c>
      <c r="I321" s="168" t="str">
        <f t="shared" si="161"/>
        <v xml:space="preserve"> </v>
      </c>
      <c r="J321" s="167"/>
      <c r="K321" s="169"/>
      <c r="CA321" s="166" t="str">
        <f t="shared" si="162"/>
        <v xml:space="preserve"> </v>
      </c>
      <c r="CB321" s="101"/>
      <c r="CC321" s="100"/>
      <c r="CD321" s="167" t="str">
        <f t="shared" si="163"/>
        <v xml:space="preserve"> </v>
      </c>
      <c r="CE321" s="167" t="str">
        <f t="shared" si="163"/>
        <v xml:space="preserve"> </v>
      </c>
      <c r="CF321" s="167" t="str">
        <f t="shared" si="163"/>
        <v xml:space="preserve"> </v>
      </c>
      <c r="CG321" s="167" t="str">
        <f t="shared" si="163"/>
        <v xml:space="preserve"> </v>
      </c>
      <c r="CH321" s="167" t="str">
        <f t="shared" si="163"/>
        <v xml:space="preserve"> </v>
      </c>
      <c r="CI321" s="168" t="str">
        <f t="shared" si="163"/>
        <v xml:space="preserve"> </v>
      </c>
      <c r="CJ321" s="167"/>
      <c r="CK321" s="169"/>
    </row>
    <row r="322" spans="1:89">
      <c r="A322" s="238" t="str">
        <f t="shared" si="160"/>
        <v xml:space="preserve"> </v>
      </c>
      <c r="B322" s="253"/>
      <c r="C322" s="247"/>
      <c r="D322" s="240" t="str">
        <f t="shared" si="161"/>
        <v xml:space="preserve"> </v>
      </c>
      <c r="E322" s="240" t="str">
        <f t="shared" si="161"/>
        <v xml:space="preserve"> </v>
      </c>
      <c r="F322" s="240" t="str">
        <f t="shared" si="161"/>
        <v xml:space="preserve"> </v>
      </c>
      <c r="G322" s="240" t="str">
        <f t="shared" si="161"/>
        <v xml:space="preserve"> </v>
      </c>
      <c r="H322" s="240" t="str">
        <f t="shared" si="161"/>
        <v xml:space="preserve"> </v>
      </c>
      <c r="I322" s="251" t="str">
        <f t="shared" si="161"/>
        <v xml:space="preserve"> </v>
      </c>
      <c r="J322" s="240"/>
      <c r="K322" s="254"/>
      <c r="CA322" s="238" t="str">
        <f t="shared" si="162"/>
        <v xml:space="preserve"> </v>
      </c>
      <c r="CB322" s="253"/>
      <c r="CC322" s="247"/>
      <c r="CD322" s="240" t="str">
        <f t="shared" si="163"/>
        <v xml:space="preserve"> </v>
      </c>
      <c r="CE322" s="240" t="str">
        <f t="shared" si="163"/>
        <v xml:space="preserve"> </v>
      </c>
      <c r="CF322" s="240" t="str">
        <f t="shared" si="163"/>
        <v xml:space="preserve"> </v>
      </c>
      <c r="CG322" s="240" t="str">
        <f t="shared" si="163"/>
        <v xml:space="preserve"> </v>
      </c>
      <c r="CH322" s="240" t="str">
        <f t="shared" si="163"/>
        <v xml:space="preserve"> </v>
      </c>
      <c r="CI322" s="251" t="str">
        <f t="shared" si="163"/>
        <v xml:space="preserve"> </v>
      </c>
      <c r="CJ322" s="240"/>
      <c r="CK322" s="254"/>
    </row>
    <row r="323" spans="1:89">
      <c r="A323" s="166" t="str">
        <f t="shared" si="160"/>
        <v xml:space="preserve"> </v>
      </c>
      <c r="B323" s="101"/>
      <c r="C323" s="100"/>
      <c r="D323" s="167" t="str">
        <f t="shared" ref="D323:I324" si="164">IF(AND(D1023&gt;0,$D$2&gt;0),D1023," ")</f>
        <v xml:space="preserve"> </v>
      </c>
      <c r="E323" s="167" t="str">
        <f t="shared" si="164"/>
        <v xml:space="preserve"> </v>
      </c>
      <c r="F323" s="167" t="str">
        <f t="shared" si="164"/>
        <v xml:space="preserve"> </v>
      </c>
      <c r="G323" s="167" t="str">
        <f t="shared" si="164"/>
        <v xml:space="preserve"> </v>
      </c>
      <c r="H323" s="167" t="str">
        <f t="shared" si="164"/>
        <v xml:space="preserve"> </v>
      </c>
      <c r="I323" s="168" t="str">
        <f t="shared" si="164"/>
        <v xml:space="preserve"> </v>
      </c>
      <c r="J323" s="167"/>
      <c r="K323" s="165"/>
      <c r="CA323" s="166" t="str">
        <f t="shared" si="162"/>
        <v xml:space="preserve"> </v>
      </c>
      <c r="CB323" s="101"/>
      <c r="CC323" s="100"/>
      <c r="CD323" s="167" t="str">
        <f t="shared" ref="CD323:CI324" si="165">IF(AND(CD1023&gt;0,$D$2&gt;0),CD1023," ")</f>
        <v xml:space="preserve"> </v>
      </c>
      <c r="CE323" s="167" t="str">
        <f t="shared" si="165"/>
        <v xml:space="preserve"> </v>
      </c>
      <c r="CF323" s="167" t="str">
        <f t="shared" si="165"/>
        <v xml:space="preserve"> </v>
      </c>
      <c r="CG323" s="167" t="str">
        <f t="shared" si="165"/>
        <v xml:space="preserve"> </v>
      </c>
      <c r="CH323" s="167" t="str">
        <f t="shared" si="165"/>
        <v xml:space="preserve"> </v>
      </c>
      <c r="CI323" s="168" t="str">
        <f t="shared" si="165"/>
        <v xml:space="preserve"> </v>
      </c>
      <c r="CJ323" s="167"/>
      <c r="CK323" s="165"/>
    </row>
    <row r="324" spans="1:89">
      <c r="A324" s="246" t="str">
        <f t="shared" si="160"/>
        <v xml:space="preserve"> </v>
      </c>
      <c r="B324" s="258"/>
      <c r="C324" s="247"/>
      <c r="D324" s="247" t="str">
        <f t="shared" si="164"/>
        <v xml:space="preserve"> </v>
      </c>
      <c r="E324" s="247" t="str">
        <f t="shared" si="164"/>
        <v xml:space="preserve"> </v>
      </c>
      <c r="F324" s="247" t="str">
        <f t="shared" si="164"/>
        <v xml:space="preserve"> </v>
      </c>
      <c r="G324" s="247" t="str">
        <f t="shared" si="164"/>
        <v xml:space="preserve"> </v>
      </c>
      <c r="H324" s="247" t="str">
        <f t="shared" si="164"/>
        <v xml:space="preserve"> </v>
      </c>
      <c r="I324" s="256" t="str">
        <f t="shared" si="164"/>
        <v xml:space="preserve"> </v>
      </c>
      <c r="J324" s="247"/>
      <c r="K324" s="259"/>
      <c r="CA324" s="246" t="str">
        <f t="shared" si="162"/>
        <v xml:space="preserve"> </v>
      </c>
      <c r="CB324" s="258"/>
      <c r="CC324" s="247"/>
      <c r="CD324" s="247" t="str">
        <f t="shared" si="165"/>
        <v xml:space="preserve"> </v>
      </c>
      <c r="CE324" s="247" t="str">
        <f t="shared" si="165"/>
        <v xml:space="preserve"> </v>
      </c>
      <c r="CF324" s="247" t="str">
        <f t="shared" si="165"/>
        <v xml:space="preserve"> </v>
      </c>
      <c r="CG324" s="247" t="str">
        <f t="shared" si="165"/>
        <v xml:space="preserve"> </v>
      </c>
      <c r="CH324" s="247" t="str">
        <f t="shared" si="165"/>
        <v xml:space="preserve"> </v>
      </c>
      <c r="CI324" s="256" t="str">
        <f t="shared" si="165"/>
        <v xml:space="preserve"> </v>
      </c>
      <c r="CJ324" s="247"/>
      <c r="CK324" s="259"/>
    </row>
    <row r="325" spans="1:89">
      <c r="A325" s="179" t="s">
        <v>5023</v>
      </c>
      <c r="B325" s="102"/>
      <c r="C325" s="175" t="s">
        <v>5018</v>
      </c>
      <c r="D325" s="175" t="s">
        <v>5701</v>
      </c>
      <c r="E325" s="175" t="s">
        <v>5019</v>
      </c>
      <c r="F325" s="175" t="s">
        <v>5020</v>
      </c>
      <c r="G325" s="175" t="s">
        <v>5021</v>
      </c>
      <c r="H325" s="175" t="s">
        <v>5022</v>
      </c>
      <c r="I325" s="221" t="s">
        <v>5316</v>
      </c>
      <c r="J325" s="176"/>
      <c r="K325" s="180"/>
      <c r="CA325" s="179" t="s">
        <v>5023</v>
      </c>
      <c r="CB325" s="102"/>
      <c r="CC325" s="175" t="s">
        <v>5018</v>
      </c>
      <c r="CD325" s="175" t="s">
        <v>5701</v>
      </c>
      <c r="CE325" s="175" t="s">
        <v>5019</v>
      </c>
      <c r="CF325" s="175" t="s">
        <v>5020</v>
      </c>
      <c r="CG325" s="175" t="s">
        <v>5021</v>
      </c>
      <c r="CH325" s="175" t="s">
        <v>5022</v>
      </c>
      <c r="CI325" s="221" t="s">
        <v>5316</v>
      </c>
      <c r="CJ325" s="176"/>
      <c r="CK325" s="180"/>
    </row>
    <row r="326" spans="1:89">
      <c r="A326" s="166" t="str">
        <f t="shared" ref="A326:A341" si="166">IF(AND(A1026&gt;0,$D$2&gt;1),A1026," ")</f>
        <v xml:space="preserve"> </v>
      </c>
      <c r="B326" s="101"/>
      <c r="C326" s="100"/>
      <c r="D326" s="167" t="str">
        <f t="shared" ref="D326:I341" si="167">IF(AND(D1026&gt;0,$D$2&gt;1),D1026," ")</f>
        <v xml:space="preserve"> </v>
      </c>
      <c r="E326" s="167" t="str">
        <f t="shared" si="167"/>
        <v xml:space="preserve"> </v>
      </c>
      <c r="F326" s="167" t="str">
        <f t="shared" si="167"/>
        <v xml:space="preserve"> </v>
      </c>
      <c r="G326" s="167" t="str">
        <f t="shared" si="167"/>
        <v xml:space="preserve"> </v>
      </c>
      <c r="H326" s="167" t="str">
        <f t="shared" si="167"/>
        <v xml:space="preserve"> </v>
      </c>
      <c r="I326" s="168" t="str">
        <f t="shared" si="167"/>
        <v xml:space="preserve"> </v>
      </c>
      <c r="J326" s="101"/>
      <c r="K326" s="165"/>
      <c r="CA326" s="166" t="str">
        <f t="shared" ref="CA326:CA341" si="168">IF(AND(CA1026&gt;0,$D$2&gt;1),CA1026," ")</f>
        <v xml:space="preserve"> </v>
      </c>
      <c r="CB326" s="101"/>
      <c r="CC326" s="100"/>
      <c r="CD326" s="167" t="str">
        <f t="shared" ref="CD326:CI341" si="169">IF(AND(CD1026&gt;0,$D$2&gt;1),CD1026," ")</f>
        <v xml:space="preserve"> </v>
      </c>
      <c r="CE326" s="167" t="str">
        <f t="shared" si="169"/>
        <v xml:space="preserve"> </v>
      </c>
      <c r="CF326" s="167" t="str">
        <f t="shared" si="169"/>
        <v xml:space="preserve"> </v>
      </c>
      <c r="CG326" s="167" t="str">
        <f t="shared" si="169"/>
        <v xml:space="preserve"> </v>
      </c>
      <c r="CH326" s="167" t="str">
        <f t="shared" si="169"/>
        <v xml:space="preserve"> </v>
      </c>
      <c r="CI326" s="168" t="str">
        <f t="shared" si="169"/>
        <v xml:space="preserve"> </v>
      </c>
      <c r="CJ326" s="101"/>
      <c r="CK326" s="165"/>
    </row>
    <row r="327" spans="1:89">
      <c r="A327" s="238" t="str">
        <f t="shared" si="166"/>
        <v xml:space="preserve"> </v>
      </c>
      <c r="B327" s="253"/>
      <c r="C327" s="247"/>
      <c r="D327" s="240" t="str">
        <f t="shared" si="167"/>
        <v xml:space="preserve"> </v>
      </c>
      <c r="E327" s="240" t="str">
        <f t="shared" si="167"/>
        <v xml:space="preserve"> </v>
      </c>
      <c r="F327" s="240" t="str">
        <f t="shared" si="167"/>
        <v xml:space="preserve"> </v>
      </c>
      <c r="G327" s="240" t="str">
        <f t="shared" si="167"/>
        <v xml:space="preserve"> </v>
      </c>
      <c r="H327" s="240" t="str">
        <f t="shared" si="167"/>
        <v xml:space="preserve"> </v>
      </c>
      <c r="I327" s="251" t="str">
        <f t="shared" si="167"/>
        <v xml:space="preserve"> </v>
      </c>
      <c r="J327" s="253"/>
      <c r="K327" s="254"/>
      <c r="CA327" s="238" t="str">
        <f t="shared" si="168"/>
        <v xml:space="preserve"> </v>
      </c>
      <c r="CB327" s="253"/>
      <c r="CC327" s="247"/>
      <c r="CD327" s="240" t="str">
        <f t="shared" si="169"/>
        <v xml:space="preserve"> </v>
      </c>
      <c r="CE327" s="240" t="str">
        <f t="shared" si="169"/>
        <v xml:space="preserve"> </v>
      </c>
      <c r="CF327" s="240" t="str">
        <f t="shared" si="169"/>
        <v xml:space="preserve"> </v>
      </c>
      <c r="CG327" s="240" t="str">
        <f t="shared" si="169"/>
        <v xml:space="preserve"> </v>
      </c>
      <c r="CH327" s="240" t="str">
        <f t="shared" si="169"/>
        <v xml:space="preserve"> </v>
      </c>
      <c r="CI327" s="251" t="str">
        <f t="shared" si="169"/>
        <v xml:space="preserve"> </v>
      </c>
      <c r="CJ327" s="253"/>
      <c r="CK327" s="254"/>
    </row>
    <row r="328" spans="1:89">
      <c r="A328" s="166" t="str">
        <f t="shared" si="166"/>
        <v xml:space="preserve"> </v>
      </c>
      <c r="B328" s="101"/>
      <c r="C328" s="100"/>
      <c r="D328" s="167" t="str">
        <f t="shared" si="167"/>
        <v xml:space="preserve"> </v>
      </c>
      <c r="E328" s="167" t="str">
        <f t="shared" si="167"/>
        <v xml:space="preserve"> </v>
      </c>
      <c r="F328" s="167" t="str">
        <f t="shared" si="167"/>
        <v xml:space="preserve"> </v>
      </c>
      <c r="G328" s="167" t="str">
        <f t="shared" si="167"/>
        <v xml:space="preserve"> </v>
      </c>
      <c r="H328" s="167" t="str">
        <f t="shared" si="167"/>
        <v xml:space="preserve"> </v>
      </c>
      <c r="I328" s="168" t="str">
        <f t="shared" si="167"/>
        <v xml:space="preserve"> </v>
      </c>
      <c r="J328" s="101"/>
      <c r="K328" s="165"/>
      <c r="CA328" s="166" t="str">
        <f t="shared" si="168"/>
        <v xml:space="preserve"> </v>
      </c>
      <c r="CB328" s="101"/>
      <c r="CC328" s="100"/>
      <c r="CD328" s="167" t="str">
        <f t="shared" si="169"/>
        <v xml:space="preserve"> </v>
      </c>
      <c r="CE328" s="167" t="str">
        <f t="shared" si="169"/>
        <v xml:space="preserve"> </v>
      </c>
      <c r="CF328" s="167" t="str">
        <f t="shared" si="169"/>
        <v xml:space="preserve"> </v>
      </c>
      <c r="CG328" s="167" t="str">
        <f t="shared" si="169"/>
        <v xml:space="preserve"> </v>
      </c>
      <c r="CH328" s="167" t="str">
        <f t="shared" si="169"/>
        <v xml:space="preserve"> </v>
      </c>
      <c r="CI328" s="168" t="str">
        <f t="shared" si="169"/>
        <v xml:space="preserve"> </v>
      </c>
      <c r="CJ328" s="101"/>
      <c r="CK328" s="165"/>
    </row>
    <row r="329" spans="1:89">
      <c r="A329" s="238" t="str">
        <f t="shared" si="166"/>
        <v xml:space="preserve"> </v>
      </c>
      <c r="B329" s="253"/>
      <c r="C329" s="247"/>
      <c r="D329" s="240" t="str">
        <f t="shared" si="167"/>
        <v xml:space="preserve"> </v>
      </c>
      <c r="E329" s="240" t="str">
        <f t="shared" si="167"/>
        <v xml:space="preserve"> </v>
      </c>
      <c r="F329" s="240" t="str">
        <f t="shared" si="167"/>
        <v xml:space="preserve"> </v>
      </c>
      <c r="G329" s="240" t="str">
        <f t="shared" si="167"/>
        <v xml:space="preserve"> </v>
      </c>
      <c r="H329" s="240" t="str">
        <f t="shared" si="167"/>
        <v xml:space="preserve"> </v>
      </c>
      <c r="I329" s="251" t="str">
        <f t="shared" si="167"/>
        <v xml:space="preserve"> </v>
      </c>
      <c r="J329" s="253"/>
      <c r="K329" s="254"/>
      <c r="CA329" s="238" t="str">
        <f t="shared" si="168"/>
        <v xml:space="preserve"> </v>
      </c>
      <c r="CB329" s="253"/>
      <c r="CC329" s="247"/>
      <c r="CD329" s="240" t="str">
        <f t="shared" si="169"/>
        <v xml:space="preserve"> </v>
      </c>
      <c r="CE329" s="240" t="str">
        <f t="shared" si="169"/>
        <v xml:space="preserve"> </v>
      </c>
      <c r="CF329" s="240" t="str">
        <f t="shared" si="169"/>
        <v xml:space="preserve"> </v>
      </c>
      <c r="CG329" s="240" t="str">
        <f t="shared" si="169"/>
        <v xml:space="preserve"> </v>
      </c>
      <c r="CH329" s="240" t="str">
        <f t="shared" si="169"/>
        <v xml:space="preserve"> </v>
      </c>
      <c r="CI329" s="251" t="str">
        <f t="shared" si="169"/>
        <v xml:space="preserve"> </v>
      </c>
      <c r="CJ329" s="253"/>
      <c r="CK329" s="254"/>
    </row>
    <row r="330" spans="1:89">
      <c r="A330" s="166" t="str">
        <f t="shared" si="166"/>
        <v xml:space="preserve"> </v>
      </c>
      <c r="B330" s="101"/>
      <c r="C330" s="100"/>
      <c r="D330" s="167" t="str">
        <f t="shared" si="167"/>
        <v xml:space="preserve"> </v>
      </c>
      <c r="E330" s="167" t="str">
        <f t="shared" si="167"/>
        <v xml:space="preserve"> </v>
      </c>
      <c r="F330" s="167" t="str">
        <f t="shared" si="167"/>
        <v xml:space="preserve"> </v>
      </c>
      <c r="G330" s="167" t="str">
        <f t="shared" si="167"/>
        <v xml:space="preserve"> </v>
      </c>
      <c r="H330" s="167" t="str">
        <f t="shared" si="167"/>
        <v xml:space="preserve"> </v>
      </c>
      <c r="I330" s="168" t="str">
        <f t="shared" si="167"/>
        <v xml:space="preserve"> </v>
      </c>
      <c r="J330" s="101"/>
      <c r="K330" s="165"/>
      <c r="CA330" s="166" t="str">
        <f t="shared" si="168"/>
        <v xml:space="preserve"> </v>
      </c>
      <c r="CB330" s="101"/>
      <c r="CC330" s="100"/>
      <c r="CD330" s="167" t="str">
        <f t="shared" si="169"/>
        <v xml:space="preserve"> </v>
      </c>
      <c r="CE330" s="167" t="str">
        <f t="shared" si="169"/>
        <v xml:space="preserve"> </v>
      </c>
      <c r="CF330" s="167" t="str">
        <f t="shared" si="169"/>
        <v xml:space="preserve"> </v>
      </c>
      <c r="CG330" s="167" t="str">
        <f t="shared" si="169"/>
        <v xml:space="preserve"> </v>
      </c>
      <c r="CH330" s="167" t="str">
        <f t="shared" si="169"/>
        <v xml:space="preserve"> </v>
      </c>
      <c r="CI330" s="168" t="str">
        <f t="shared" si="169"/>
        <v xml:space="preserve"> </v>
      </c>
      <c r="CJ330" s="101"/>
      <c r="CK330" s="165"/>
    </row>
    <row r="331" spans="1:89">
      <c r="A331" s="238" t="str">
        <f t="shared" si="166"/>
        <v xml:space="preserve"> </v>
      </c>
      <c r="B331" s="253"/>
      <c r="C331" s="247"/>
      <c r="D331" s="240" t="str">
        <f t="shared" si="167"/>
        <v xml:space="preserve"> </v>
      </c>
      <c r="E331" s="240" t="str">
        <f t="shared" si="167"/>
        <v xml:space="preserve"> </v>
      </c>
      <c r="F331" s="240" t="str">
        <f t="shared" si="167"/>
        <v xml:space="preserve"> </v>
      </c>
      <c r="G331" s="240" t="str">
        <f t="shared" si="167"/>
        <v xml:space="preserve"> </v>
      </c>
      <c r="H331" s="240" t="str">
        <f t="shared" si="167"/>
        <v xml:space="preserve"> </v>
      </c>
      <c r="I331" s="251" t="str">
        <f t="shared" si="167"/>
        <v xml:space="preserve"> </v>
      </c>
      <c r="J331" s="253"/>
      <c r="K331" s="254"/>
      <c r="CA331" s="238" t="str">
        <f t="shared" si="168"/>
        <v xml:space="preserve"> </v>
      </c>
      <c r="CB331" s="253"/>
      <c r="CC331" s="247"/>
      <c r="CD331" s="240" t="str">
        <f t="shared" si="169"/>
        <v xml:space="preserve"> </v>
      </c>
      <c r="CE331" s="240" t="str">
        <f t="shared" si="169"/>
        <v xml:space="preserve"> </v>
      </c>
      <c r="CF331" s="240" t="str">
        <f t="shared" si="169"/>
        <v xml:space="preserve"> </v>
      </c>
      <c r="CG331" s="240" t="str">
        <f t="shared" si="169"/>
        <v xml:space="preserve"> </v>
      </c>
      <c r="CH331" s="240" t="str">
        <f t="shared" si="169"/>
        <v xml:space="preserve"> </v>
      </c>
      <c r="CI331" s="251" t="str">
        <f t="shared" si="169"/>
        <v xml:space="preserve"> </v>
      </c>
      <c r="CJ331" s="253"/>
      <c r="CK331" s="254"/>
    </row>
    <row r="332" spans="1:89">
      <c r="A332" s="166" t="str">
        <f t="shared" si="166"/>
        <v xml:space="preserve"> </v>
      </c>
      <c r="B332" s="101"/>
      <c r="C332" s="100"/>
      <c r="D332" s="167" t="str">
        <f t="shared" si="167"/>
        <v xml:space="preserve"> </v>
      </c>
      <c r="E332" s="167" t="str">
        <f t="shared" si="167"/>
        <v xml:space="preserve"> </v>
      </c>
      <c r="F332" s="167" t="str">
        <f t="shared" si="167"/>
        <v xml:space="preserve"> </v>
      </c>
      <c r="G332" s="167" t="str">
        <f t="shared" si="167"/>
        <v xml:space="preserve"> </v>
      </c>
      <c r="H332" s="167" t="str">
        <f t="shared" si="167"/>
        <v xml:space="preserve"> </v>
      </c>
      <c r="I332" s="168" t="str">
        <f t="shared" si="167"/>
        <v xml:space="preserve"> </v>
      </c>
      <c r="J332" s="101"/>
      <c r="K332" s="165"/>
      <c r="CA332" s="166" t="str">
        <f t="shared" si="168"/>
        <v xml:space="preserve"> </v>
      </c>
      <c r="CB332" s="101"/>
      <c r="CC332" s="100"/>
      <c r="CD332" s="167" t="str">
        <f t="shared" si="169"/>
        <v xml:space="preserve"> </v>
      </c>
      <c r="CE332" s="167" t="str">
        <f t="shared" si="169"/>
        <v xml:space="preserve"> </v>
      </c>
      <c r="CF332" s="167" t="str">
        <f t="shared" si="169"/>
        <v xml:space="preserve"> </v>
      </c>
      <c r="CG332" s="167" t="str">
        <f t="shared" si="169"/>
        <v xml:space="preserve"> </v>
      </c>
      <c r="CH332" s="167" t="str">
        <f t="shared" si="169"/>
        <v xml:space="preserve"> </v>
      </c>
      <c r="CI332" s="168" t="str">
        <f t="shared" si="169"/>
        <v xml:space="preserve"> </v>
      </c>
      <c r="CJ332" s="101"/>
      <c r="CK332" s="165"/>
    </row>
    <row r="333" spans="1:89">
      <c r="A333" s="238" t="str">
        <f t="shared" si="166"/>
        <v xml:space="preserve"> </v>
      </c>
      <c r="B333" s="253"/>
      <c r="C333" s="247"/>
      <c r="D333" s="240" t="str">
        <f t="shared" si="167"/>
        <v xml:space="preserve"> </v>
      </c>
      <c r="E333" s="240" t="str">
        <f t="shared" si="167"/>
        <v xml:space="preserve"> </v>
      </c>
      <c r="F333" s="240" t="str">
        <f t="shared" si="167"/>
        <v xml:space="preserve"> </v>
      </c>
      <c r="G333" s="240" t="str">
        <f t="shared" si="167"/>
        <v xml:space="preserve"> </v>
      </c>
      <c r="H333" s="240" t="str">
        <f t="shared" si="167"/>
        <v xml:space="preserve"> </v>
      </c>
      <c r="I333" s="251" t="str">
        <f t="shared" si="167"/>
        <v xml:space="preserve"> </v>
      </c>
      <c r="J333" s="253"/>
      <c r="K333" s="254"/>
      <c r="CA333" s="238" t="str">
        <f t="shared" si="168"/>
        <v xml:space="preserve"> </v>
      </c>
      <c r="CB333" s="253"/>
      <c r="CC333" s="247"/>
      <c r="CD333" s="240" t="str">
        <f t="shared" si="169"/>
        <v xml:space="preserve"> </v>
      </c>
      <c r="CE333" s="240" t="str">
        <f t="shared" si="169"/>
        <v xml:space="preserve"> </v>
      </c>
      <c r="CF333" s="240" t="str">
        <f t="shared" si="169"/>
        <v xml:space="preserve"> </v>
      </c>
      <c r="CG333" s="240" t="str">
        <f t="shared" si="169"/>
        <v xml:space="preserve"> </v>
      </c>
      <c r="CH333" s="240" t="str">
        <f t="shared" si="169"/>
        <v xml:space="preserve"> </v>
      </c>
      <c r="CI333" s="251" t="str">
        <f t="shared" si="169"/>
        <v xml:space="preserve"> </v>
      </c>
      <c r="CJ333" s="253"/>
      <c r="CK333" s="254"/>
    </row>
    <row r="334" spans="1:89">
      <c r="A334" s="166" t="str">
        <f t="shared" si="166"/>
        <v xml:space="preserve"> </v>
      </c>
      <c r="B334" s="101"/>
      <c r="C334" s="100"/>
      <c r="D334" s="167" t="str">
        <f t="shared" si="167"/>
        <v xml:space="preserve"> </v>
      </c>
      <c r="E334" s="167" t="str">
        <f t="shared" si="167"/>
        <v xml:space="preserve"> </v>
      </c>
      <c r="F334" s="167" t="str">
        <f t="shared" si="167"/>
        <v xml:space="preserve"> </v>
      </c>
      <c r="G334" s="167" t="str">
        <f t="shared" si="167"/>
        <v xml:space="preserve"> </v>
      </c>
      <c r="H334" s="167" t="str">
        <f t="shared" si="167"/>
        <v xml:space="preserve"> </v>
      </c>
      <c r="I334" s="168" t="str">
        <f t="shared" si="167"/>
        <v xml:space="preserve"> </v>
      </c>
      <c r="J334" s="101"/>
      <c r="K334" s="165"/>
      <c r="CA334" s="166" t="str">
        <f t="shared" si="168"/>
        <v xml:space="preserve"> </v>
      </c>
      <c r="CB334" s="101"/>
      <c r="CC334" s="100"/>
      <c r="CD334" s="167" t="str">
        <f t="shared" si="169"/>
        <v xml:space="preserve"> </v>
      </c>
      <c r="CE334" s="167" t="str">
        <f t="shared" si="169"/>
        <v xml:space="preserve"> </v>
      </c>
      <c r="CF334" s="167" t="str">
        <f t="shared" si="169"/>
        <v xml:space="preserve"> </v>
      </c>
      <c r="CG334" s="167" t="str">
        <f t="shared" si="169"/>
        <v xml:space="preserve"> </v>
      </c>
      <c r="CH334" s="167" t="str">
        <f t="shared" si="169"/>
        <v xml:space="preserve"> </v>
      </c>
      <c r="CI334" s="168" t="str">
        <f t="shared" si="169"/>
        <v xml:space="preserve"> </v>
      </c>
      <c r="CJ334" s="101"/>
      <c r="CK334" s="165"/>
    </row>
    <row r="335" spans="1:89">
      <c r="A335" s="238" t="str">
        <f t="shared" si="166"/>
        <v xml:space="preserve"> </v>
      </c>
      <c r="B335" s="253"/>
      <c r="C335" s="247"/>
      <c r="D335" s="240" t="str">
        <f t="shared" si="167"/>
        <v xml:space="preserve"> </v>
      </c>
      <c r="E335" s="240" t="str">
        <f t="shared" si="167"/>
        <v xml:space="preserve"> </v>
      </c>
      <c r="F335" s="240" t="str">
        <f t="shared" si="167"/>
        <v xml:space="preserve"> </v>
      </c>
      <c r="G335" s="240" t="str">
        <f t="shared" si="167"/>
        <v xml:space="preserve"> </v>
      </c>
      <c r="H335" s="240" t="str">
        <f t="shared" si="167"/>
        <v xml:space="preserve"> </v>
      </c>
      <c r="I335" s="251" t="str">
        <f t="shared" si="167"/>
        <v xml:space="preserve"> </v>
      </c>
      <c r="J335" s="253"/>
      <c r="K335" s="254"/>
      <c r="CA335" s="238" t="str">
        <f t="shared" si="168"/>
        <v xml:space="preserve"> </v>
      </c>
      <c r="CB335" s="253"/>
      <c r="CC335" s="247"/>
      <c r="CD335" s="240" t="str">
        <f t="shared" si="169"/>
        <v xml:space="preserve"> </v>
      </c>
      <c r="CE335" s="240" t="str">
        <f t="shared" si="169"/>
        <v xml:space="preserve"> </v>
      </c>
      <c r="CF335" s="240" t="str">
        <f t="shared" si="169"/>
        <v xml:space="preserve"> </v>
      </c>
      <c r="CG335" s="240" t="str">
        <f t="shared" si="169"/>
        <v xml:space="preserve"> </v>
      </c>
      <c r="CH335" s="240" t="str">
        <f t="shared" si="169"/>
        <v xml:space="preserve"> </v>
      </c>
      <c r="CI335" s="251" t="str">
        <f t="shared" si="169"/>
        <v xml:space="preserve"> </v>
      </c>
      <c r="CJ335" s="253"/>
      <c r="CK335" s="254"/>
    </row>
    <row r="336" spans="1:89">
      <c r="A336" s="166" t="str">
        <f t="shared" si="166"/>
        <v xml:space="preserve"> </v>
      </c>
      <c r="B336" s="101"/>
      <c r="C336" s="100"/>
      <c r="D336" s="167" t="str">
        <f t="shared" si="167"/>
        <v xml:space="preserve"> </v>
      </c>
      <c r="E336" s="167" t="str">
        <f t="shared" si="167"/>
        <v xml:space="preserve"> </v>
      </c>
      <c r="F336" s="167" t="str">
        <f t="shared" si="167"/>
        <v xml:space="preserve"> </v>
      </c>
      <c r="G336" s="167" t="str">
        <f t="shared" si="167"/>
        <v xml:space="preserve"> </v>
      </c>
      <c r="H336" s="167" t="str">
        <f t="shared" si="167"/>
        <v xml:space="preserve"> </v>
      </c>
      <c r="I336" s="168" t="str">
        <f t="shared" si="167"/>
        <v xml:space="preserve"> </v>
      </c>
      <c r="J336" s="101"/>
      <c r="K336" s="165"/>
      <c r="CA336" s="166" t="str">
        <f t="shared" si="168"/>
        <v xml:space="preserve"> </v>
      </c>
      <c r="CB336" s="101"/>
      <c r="CC336" s="100"/>
      <c r="CD336" s="167" t="str">
        <f t="shared" si="169"/>
        <v xml:space="preserve"> </v>
      </c>
      <c r="CE336" s="167" t="str">
        <f t="shared" si="169"/>
        <v xml:space="preserve"> </v>
      </c>
      <c r="CF336" s="167" t="str">
        <f t="shared" si="169"/>
        <v xml:space="preserve"> </v>
      </c>
      <c r="CG336" s="167" t="str">
        <f t="shared" si="169"/>
        <v xml:space="preserve"> </v>
      </c>
      <c r="CH336" s="167" t="str">
        <f t="shared" si="169"/>
        <v xml:space="preserve"> </v>
      </c>
      <c r="CI336" s="168" t="str">
        <f t="shared" si="169"/>
        <v xml:space="preserve"> </v>
      </c>
      <c r="CJ336" s="101"/>
      <c r="CK336" s="165"/>
    </row>
    <row r="337" spans="1:89">
      <c r="A337" s="238" t="str">
        <f t="shared" si="166"/>
        <v xml:space="preserve"> </v>
      </c>
      <c r="B337" s="253"/>
      <c r="C337" s="247"/>
      <c r="D337" s="240" t="str">
        <f t="shared" si="167"/>
        <v xml:space="preserve"> </v>
      </c>
      <c r="E337" s="240" t="str">
        <f t="shared" si="167"/>
        <v xml:space="preserve"> </v>
      </c>
      <c r="F337" s="240" t="str">
        <f t="shared" si="167"/>
        <v xml:space="preserve"> </v>
      </c>
      <c r="G337" s="240" t="str">
        <f t="shared" si="167"/>
        <v xml:space="preserve"> </v>
      </c>
      <c r="H337" s="240" t="str">
        <f t="shared" si="167"/>
        <v xml:space="preserve"> </v>
      </c>
      <c r="I337" s="251" t="str">
        <f t="shared" si="167"/>
        <v xml:space="preserve"> </v>
      </c>
      <c r="J337" s="253"/>
      <c r="K337" s="254"/>
      <c r="CA337" s="238" t="str">
        <f t="shared" si="168"/>
        <v xml:space="preserve"> </v>
      </c>
      <c r="CB337" s="253"/>
      <c r="CC337" s="247"/>
      <c r="CD337" s="240" t="str">
        <f t="shared" si="169"/>
        <v xml:space="preserve"> </v>
      </c>
      <c r="CE337" s="240" t="str">
        <f t="shared" si="169"/>
        <v xml:space="preserve"> </v>
      </c>
      <c r="CF337" s="240" t="str">
        <f t="shared" si="169"/>
        <v xml:space="preserve"> </v>
      </c>
      <c r="CG337" s="240" t="str">
        <f t="shared" si="169"/>
        <v xml:space="preserve"> </v>
      </c>
      <c r="CH337" s="240" t="str">
        <f t="shared" si="169"/>
        <v xml:space="preserve"> </v>
      </c>
      <c r="CI337" s="251" t="str">
        <f t="shared" si="169"/>
        <v xml:space="preserve"> </v>
      </c>
      <c r="CJ337" s="253"/>
      <c r="CK337" s="254"/>
    </row>
    <row r="338" spans="1:89">
      <c r="A338" s="166" t="str">
        <f t="shared" si="166"/>
        <v xml:space="preserve"> </v>
      </c>
      <c r="B338" s="101"/>
      <c r="C338" s="100"/>
      <c r="D338" s="167" t="str">
        <f t="shared" si="167"/>
        <v xml:space="preserve"> </v>
      </c>
      <c r="E338" s="167" t="str">
        <f t="shared" si="167"/>
        <v xml:space="preserve"> </v>
      </c>
      <c r="F338" s="167" t="str">
        <f t="shared" si="167"/>
        <v xml:space="preserve"> </v>
      </c>
      <c r="G338" s="167" t="str">
        <f t="shared" si="167"/>
        <v xml:space="preserve"> </v>
      </c>
      <c r="H338" s="167" t="str">
        <f t="shared" si="167"/>
        <v xml:space="preserve"> </v>
      </c>
      <c r="I338" s="168" t="str">
        <f t="shared" si="167"/>
        <v xml:space="preserve"> </v>
      </c>
      <c r="J338" s="101"/>
      <c r="K338" s="165"/>
      <c r="CA338" s="166" t="str">
        <f t="shared" si="168"/>
        <v xml:space="preserve"> </v>
      </c>
      <c r="CB338" s="101"/>
      <c r="CC338" s="100"/>
      <c r="CD338" s="167" t="str">
        <f t="shared" si="169"/>
        <v xml:space="preserve"> </v>
      </c>
      <c r="CE338" s="167" t="str">
        <f t="shared" si="169"/>
        <v xml:space="preserve"> </v>
      </c>
      <c r="CF338" s="167" t="str">
        <f t="shared" si="169"/>
        <v xml:space="preserve"> </v>
      </c>
      <c r="CG338" s="167" t="str">
        <f t="shared" si="169"/>
        <v xml:space="preserve"> </v>
      </c>
      <c r="CH338" s="167" t="str">
        <f t="shared" si="169"/>
        <v xml:space="preserve"> </v>
      </c>
      <c r="CI338" s="168" t="str">
        <f t="shared" si="169"/>
        <v xml:space="preserve"> </v>
      </c>
      <c r="CJ338" s="101"/>
      <c r="CK338" s="165"/>
    </row>
    <row r="339" spans="1:89">
      <c r="A339" s="238" t="str">
        <f t="shared" si="166"/>
        <v xml:space="preserve"> </v>
      </c>
      <c r="B339" s="253"/>
      <c r="C339" s="247"/>
      <c r="D339" s="240" t="str">
        <f t="shared" si="167"/>
        <v xml:space="preserve"> </v>
      </c>
      <c r="E339" s="240" t="str">
        <f t="shared" si="167"/>
        <v xml:space="preserve"> </v>
      </c>
      <c r="F339" s="240" t="str">
        <f t="shared" si="167"/>
        <v xml:space="preserve"> </v>
      </c>
      <c r="G339" s="240" t="str">
        <f t="shared" si="167"/>
        <v xml:space="preserve"> </v>
      </c>
      <c r="H339" s="240" t="str">
        <f t="shared" si="167"/>
        <v xml:space="preserve"> </v>
      </c>
      <c r="I339" s="251" t="str">
        <f t="shared" si="167"/>
        <v xml:space="preserve"> </v>
      </c>
      <c r="J339" s="253"/>
      <c r="K339" s="254"/>
      <c r="CA339" s="238" t="str">
        <f t="shared" si="168"/>
        <v xml:space="preserve"> </v>
      </c>
      <c r="CB339" s="253"/>
      <c r="CC339" s="247"/>
      <c r="CD339" s="240" t="str">
        <f t="shared" si="169"/>
        <v xml:space="preserve"> </v>
      </c>
      <c r="CE339" s="240" t="str">
        <f t="shared" si="169"/>
        <v xml:space="preserve"> </v>
      </c>
      <c r="CF339" s="240" t="str">
        <f t="shared" si="169"/>
        <v xml:space="preserve"> </v>
      </c>
      <c r="CG339" s="240" t="str">
        <f t="shared" si="169"/>
        <v xml:space="preserve"> </v>
      </c>
      <c r="CH339" s="240" t="str">
        <f t="shared" si="169"/>
        <v xml:space="preserve"> </v>
      </c>
      <c r="CI339" s="251" t="str">
        <f t="shared" si="169"/>
        <v xml:space="preserve"> </v>
      </c>
      <c r="CJ339" s="253"/>
      <c r="CK339" s="254"/>
    </row>
    <row r="340" spans="1:89">
      <c r="A340" s="166" t="str">
        <f t="shared" si="166"/>
        <v xml:space="preserve"> </v>
      </c>
      <c r="B340" s="101"/>
      <c r="C340" s="100"/>
      <c r="D340" s="167" t="str">
        <f t="shared" si="167"/>
        <v xml:space="preserve"> </v>
      </c>
      <c r="E340" s="167" t="str">
        <f t="shared" si="167"/>
        <v xml:space="preserve"> </v>
      </c>
      <c r="F340" s="167" t="str">
        <f t="shared" si="167"/>
        <v xml:space="preserve"> </v>
      </c>
      <c r="G340" s="167" t="str">
        <f t="shared" si="167"/>
        <v xml:space="preserve"> </v>
      </c>
      <c r="H340" s="167" t="str">
        <f t="shared" si="167"/>
        <v xml:space="preserve"> </v>
      </c>
      <c r="I340" s="168" t="str">
        <f t="shared" si="167"/>
        <v xml:space="preserve"> </v>
      </c>
      <c r="J340" s="101"/>
      <c r="K340" s="165"/>
      <c r="CA340" s="166" t="str">
        <f t="shared" si="168"/>
        <v xml:space="preserve"> </v>
      </c>
      <c r="CB340" s="101"/>
      <c r="CC340" s="100"/>
      <c r="CD340" s="167" t="str">
        <f t="shared" si="169"/>
        <v xml:space="preserve"> </v>
      </c>
      <c r="CE340" s="167" t="str">
        <f t="shared" si="169"/>
        <v xml:space="preserve"> </v>
      </c>
      <c r="CF340" s="167" t="str">
        <f t="shared" si="169"/>
        <v xml:space="preserve"> </v>
      </c>
      <c r="CG340" s="167" t="str">
        <f t="shared" si="169"/>
        <v xml:space="preserve"> </v>
      </c>
      <c r="CH340" s="167" t="str">
        <f t="shared" si="169"/>
        <v xml:space="preserve"> </v>
      </c>
      <c r="CI340" s="168" t="str">
        <f t="shared" si="169"/>
        <v xml:space="preserve"> </v>
      </c>
      <c r="CJ340" s="101"/>
      <c r="CK340" s="165"/>
    </row>
    <row r="341" spans="1:89">
      <c r="A341" s="246" t="str">
        <f t="shared" si="166"/>
        <v xml:space="preserve"> </v>
      </c>
      <c r="B341" s="258"/>
      <c r="C341" s="247"/>
      <c r="D341" s="247" t="str">
        <f t="shared" si="167"/>
        <v xml:space="preserve"> </v>
      </c>
      <c r="E341" s="247" t="str">
        <f t="shared" si="167"/>
        <v xml:space="preserve"> </v>
      </c>
      <c r="F341" s="247" t="str">
        <f t="shared" si="167"/>
        <v xml:space="preserve"> </v>
      </c>
      <c r="G341" s="247" t="str">
        <f t="shared" si="167"/>
        <v xml:space="preserve"> </v>
      </c>
      <c r="H341" s="247" t="str">
        <f t="shared" si="167"/>
        <v xml:space="preserve"> </v>
      </c>
      <c r="I341" s="256" t="str">
        <f t="shared" si="167"/>
        <v xml:space="preserve"> </v>
      </c>
      <c r="J341" s="258"/>
      <c r="K341" s="259"/>
      <c r="CA341" s="246" t="str">
        <f t="shared" si="168"/>
        <v xml:space="preserve"> </v>
      </c>
      <c r="CB341" s="258"/>
      <c r="CC341" s="247"/>
      <c r="CD341" s="247" t="str">
        <f t="shared" si="169"/>
        <v xml:space="preserve"> </v>
      </c>
      <c r="CE341" s="247" t="str">
        <f t="shared" si="169"/>
        <v xml:space="preserve"> </v>
      </c>
      <c r="CF341" s="247" t="str">
        <f t="shared" si="169"/>
        <v xml:space="preserve"> </v>
      </c>
      <c r="CG341" s="247" t="str">
        <f t="shared" si="169"/>
        <v xml:space="preserve"> </v>
      </c>
      <c r="CH341" s="247" t="str">
        <f t="shared" si="169"/>
        <v xml:space="preserve"> </v>
      </c>
      <c r="CI341" s="256" t="str">
        <f t="shared" si="169"/>
        <v xml:space="preserve"> </v>
      </c>
      <c r="CJ341" s="258"/>
      <c r="CK341" s="259"/>
    </row>
    <row r="342" spans="1:89">
      <c r="A342" s="179" t="s">
        <v>5024</v>
      </c>
      <c r="B342" s="102"/>
      <c r="C342" s="175" t="s">
        <v>5018</v>
      </c>
      <c r="D342" s="175" t="s">
        <v>5701</v>
      </c>
      <c r="E342" s="175" t="s">
        <v>5019</v>
      </c>
      <c r="F342" s="175" t="s">
        <v>5020</v>
      </c>
      <c r="G342" s="175" t="s">
        <v>5021</v>
      </c>
      <c r="H342" s="175" t="s">
        <v>5022</v>
      </c>
      <c r="I342" s="221" t="s">
        <v>5316</v>
      </c>
      <c r="J342" s="176"/>
      <c r="K342" s="180"/>
      <c r="CA342" s="179" t="s">
        <v>5024</v>
      </c>
      <c r="CB342" s="102"/>
      <c r="CC342" s="175" t="s">
        <v>5018</v>
      </c>
      <c r="CD342" s="175" t="s">
        <v>5701</v>
      </c>
      <c r="CE342" s="175" t="s">
        <v>5019</v>
      </c>
      <c r="CF342" s="175" t="s">
        <v>5020</v>
      </c>
      <c r="CG342" s="175" t="s">
        <v>5021</v>
      </c>
      <c r="CH342" s="175" t="s">
        <v>5022</v>
      </c>
      <c r="CI342" s="221" t="s">
        <v>5316</v>
      </c>
      <c r="CJ342" s="176"/>
      <c r="CK342" s="180"/>
    </row>
    <row r="343" spans="1:89">
      <c r="A343" s="166" t="str">
        <f t="shared" ref="A343:A363" si="170">IF(AND(A1043&gt;0,$D$2&gt;2),A1043," ")</f>
        <v xml:space="preserve"> </v>
      </c>
      <c r="B343" s="101"/>
      <c r="C343" s="100"/>
      <c r="D343" s="167" t="str">
        <f t="shared" ref="D343:I358" si="171">IF(AND(D1043&gt;0,$D$2&gt;2),D1043," ")</f>
        <v xml:space="preserve"> </v>
      </c>
      <c r="E343" s="167" t="str">
        <f t="shared" si="171"/>
        <v xml:space="preserve"> </v>
      </c>
      <c r="F343" s="167" t="str">
        <f t="shared" si="171"/>
        <v xml:space="preserve"> </v>
      </c>
      <c r="G343" s="167" t="str">
        <f t="shared" si="171"/>
        <v xml:space="preserve"> </v>
      </c>
      <c r="H343" s="167" t="str">
        <f t="shared" si="171"/>
        <v xml:space="preserve"> </v>
      </c>
      <c r="I343" s="168" t="str">
        <f t="shared" si="171"/>
        <v xml:space="preserve"> </v>
      </c>
      <c r="J343" s="101"/>
      <c r="K343" s="165"/>
      <c r="CA343" s="166" t="str">
        <f t="shared" ref="CA343:CA363" si="172">IF(AND(CA1043&gt;0,$D$2&gt;2),CA1043," ")</f>
        <v xml:space="preserve"> </v>
      </c>
      <c r="CB343" s="101"/>
      <c r="CC343" s="100"/>
      <c r="CD343" s="167" t="str">
        <f t="shared" ref="CD343:CI358" si="173">IF(AND(CD1043&gt;0,$D$2&gt;2),CD1043," ")</f>
        <v xml:space="preserve"> </v>
      </c>
      <c r="CE343" s="167" t="str">
        <f t="shared" si="173"/>
        <v xml:space="preserve"> </v>
      </c>
      <c r="CF343" s="167" t="str">
        <f t="shared" si="173"/>
        <v xml:space="preserve"> </v>
      </c>
      <c r="CG343" s="167" t="str">
        <f t="shared" si="173"/>
        <v xml:space="preserve"> </v>
      </c>
      <c r="CH343" s="167" t="str">
        <f t="shared" si="173"/>
        <v xml:space="preserve"> </v>
      </c>
      <c r="CI343" s="168" t="str">
        <f t="shared" si="173"/>
        <v xml:space="preserve"> </v>
      </c>
      <c r="CJ343" s="101"/>
      <c r="CK343" s="165"/>
    </row>
    <row r="344" spans="1:89">
      <c r="A344" s="238" t="str">
        <f t="shared" si="170"/>
        <v xml:space="preserve"> </v>
      </c>
      <c r="B344" s="253"/>
      <c r="C344" s="247"/>
      <c r="D344" s="240" t="str">
        <f t="shared" si="171"/>
        <v xml:space="preserve"> </v>
      </c>
      <c r="E344" s="240" t="str">
        <f t="shared" si="171"/>
        <v xml:space="preserve"> </v>
      </c>
      <c r="F344" s="240" t="str">
        <f t="shared" si="171"/>
        <v xml:space="preserve"> </v>
      </c>
      <c r="G344" s="240" t="str">
        <f t="shared" si="171"/>
        <v xml:space="preserve"> </v>
      </c>
      <c r="H344" s="240" t="str">
        <f t="shared" si="171"/>
        <v xml:space="preserve"> </v>
      </c>
      <c r="I344" s="251" t="str">
        <f t="shared" si="171"/>
        <v xml:space="preserve"> </v>
      </c>
      <c r="J344" s="253"/>
      <c r="K344" s="254"/>
      <c r="CA344" s="238" t="str">
        <f t="shared" si="172"/>
        <v xml:space="preserve"> </v>
      </c>
      <c r="CB344" s="253"/>
      <c r="CC344" s="247"/>
      <c r="CD344" s="240" t="str">
        <f t="shared" si="173"/>
        <v xml:space="preserve"> </v>
      </c>
      <c r="CE344" s="240" t="str">
        <f t="shared" si="173"/>
        <v xml:space="preserve"> </v>
      </c>
      <c r="CF344" s="240" t="str">
        <f t="shared" si="173"/>
        <v xml:space="preserve"> </v>
      </c>
      <c r="CG344" s="240" t="str">
        <f t="shared" si="173"/>
        <v xml:space="preserve"> </v>
      </c>
      <c r="CH344" s="240" t="str">
        <f t="shared" si="173"/>
        <v xml:space="preserve"> </v>
      </c>
      <c r="CI344" s="251" t="str">
        <f t="shared" si="173"/>
        <v xml:space="preserve"> </v>
      </c>
      <c r="CJ344" s="253"/>
      <c r="CK344" s="254"/>
    </row>
    <row r="345" spans="1:89">
      <c r="A345" s="166" t="str">
        <f t="shared" si="170"/>
        <v xml:space="preserve"> </v>
      </c>
      <c r="B345" s="101"/>
      <c r="C345" s="100"/>
      <c r="D345" s="167" t="str">
        <f t="shared" si="171"/>
        <v xml:space="preserve"> </v>
      </c>
      <c r="E345" s="167" t="str">
        <f t="shared" si="171"/>
        <v xml:space="preserve"> </v>
      </c>
      <c r="F345" s="167" t="str">
        <f t="shared" si="171"/>
        <v xml:space="preserve"> </v>
      </c>
      <c r="G345" s="167" t="str">
        <f t="shared" si="171"/>
        <v xml:space="preserve"> </v>
      </c>
      <c r="H345" s="167" t="str">
        <f t="shared" si="171"/>
        <v xml:space="preserve"> </v>
      </c>
      <c r="I345" s="168" t="str">
        <f t="shared" si="171"/>
        <v xml:space="preserve"> </v>
      </c>
      <c r="J345" s="101"/>
      <c r="K345" s="165"/>
      <c r="CA345" s="166" t="str">
        <f t="shared" si="172"/>
        <v xml:space="preserve"> </v>
      </c>
      <c r="CB345" s="101"/>
      <c r="CC345" s="100"/>
      <c r="CD345" s="167" t="str">
        <f t="shared" si="173"/>
        <v xml:space="preserve"> </v>
      </c>
      <c r="CE345" s="167" t="str">
        <f t="shared" si="173"/>
        <v xml:space="preserve"> </v>
      </c>
      <c r="CF345" s="167" t="str">
        <f t="shared" si="173"/>
        <v xml:space="preserve"> </v>
      </c>
      <c r="CG345" s="167" t="str">
        <f t="shared" si="173"/>
        <v xml:space="preserve"> </v>
      </c>
      <c r="CH345" s="167" t="str">
        <f t="shared" si="173"/>
        <v xml:space="preserve"> </v>
      </c>
      <c r="CI345" s="168" t="str">
        <f t="shared" si="173"/>
        <v xml:space="preserve"> </v>
      </c>
      <c r="CJ345" s="101"/>
      <c r="CK345" s="165"/>
    </row>
    <row r="346" spans="1:89">
      <c r="A346" s="238" t="str">
        <f t="shared" si="170"/>
        <v xml:space="preserve"> </v>
      </c>
      <c r="B346" s="253"/>
      <c r="C346" s="247"/>
      <c r="D346" s="240" t="str">
        <f t="shared" si="171"/>
        <v xml:space="preserve"> </v>
      </c>
      <c r="E346" s="240" t="str">
        <f t="shared" si="171"/>
        <v xml:space="preserve"> </v>
      </c>
      <c r="F346" s="240" t="str">
        <f t="shared" si="171"/>
        <v xml:space="preserve"> </v>
      </c>
      <c r="G346" s="240" t="str">
        <f t="shared" si="171"/>
        <v xml:space="preserve"> </v>
      </c>
      <c r="H346" s="240" t="str">
        <f t="shared" si="171"/>
        <v xml:space="preserve"> </v>
      </c>
      <c r="I346" s="251" t="str">
        <f t="shared" si="171"/>
        <v xml:space="preserve"> </v>
      </c>
      <c r="J346" s="253"/>
      <c r="K346" s="254"/>
      <c r="CA346" s="238" t="str">
        <f t="shared" si="172"/>
        <v xml:space="preserve"> </v>
      </c>
      <c r="CB346" s="253"/>
      <c r="CC346" s="247"/>
      <c r="CD346" s="240" t="str">
        <f t="shared" si="173"/>
        <v xml:space="preserve"> </v>
      </c>
      <c r="CE346" s="240" t="str">
        <f t="shared" si="173"/>
        <v xml:space="preserve"> </v>
      </c>
      <c r="CF346" s="240" t="str">
        <f t="shared" si="173"/>
        <v xml:space="preserve"> </v>
      </c>
      <c r="CG346" s="240" t="str">
        <f t="shared" si="173"/>
        <v xml:space="preserve"> </v>
      </c>
      <c r="CH346" s="240" t="str">
        <f t="shared" si="173"/>
        <v xml:space="preserve"> </v>
      </c>
      <c r="CI346" s="251" t="str">
        <f t="shared" si="173"/>
        <v xml:space="preserve"> </v>
      </c>
      <c r="CJ346" s="253"/>
      <c r="CK346" s="254"/>
    </row>
    <row r="347" spans="1:89">
      <c r="A347" s="166" t="str">
        <f t="shared" si="170"/>
        <v xml:space="preserve"> </v>
      </c>
      <c r="B347" s="101"/>
      <c r="C347" s="100"/>
      <c r="D347" s="167" t="str">
        <f t="shared" si="171"/>
        <v xml:space="preserve"> </v>
      </c>
      <c r="E347" s="167" t="str">
        <f t="shared" si="171"/>
        <v xml:space="preserve"> </v>
      </c>
      <c r="F347" s="167" t="str">
        <f t="shared" si="171"/>
        <v xml:space="preserve"> </v>
      </c>
      <c r="G347" s="167" t="str">
        <f t="shared" si="171"/>
        <v xml:space="preserve"> </v>
      </c>
      <c r="H347" s="167" t="str">
        <f t="shared" si="171"/>
        <v xml:space="preserve"> </v>
      </c>
      <c r="I347" s="168" t="str">
        <f t="shared" si="171"/>
        <v xml:space="preserve"> </v>
      </c>
      <c r="J347" s="101"/>
      <c r="K347" s="165"/>
      <c r="CA347" s="166" t="str">
        <f t="shared" si="172"/>
        <v xml:space="preserve"> </v>
      </c>
      <c r="CB347" s="101"/>
      <c r="CC347" s="100"/>
      <c r="CD347" s="167" t="str">
        <f t="shared" si="173"/>
        <v xml:space="preserve"> </v>
      </c>
      <c r="CE347" s="167" t="str">
        <f t="shared" si="173"/>
        <v xml:space="preserve"> </v>
      </c>
      <c r="CF347" s="167" t="str">
        <f t="shared" si="173"/>
        <v xml:space="preserve"> </v>
      </c>
      <c r="CG347" s="167" t="str">
        <f t="shared" si="173"/>
        <v xml:space="preserve"> </v>
      </c>
      <c r="CH347" s="167" t="str">
        <f t="shared" si="173"/>
        <v xml:space="preserve"> </v>
      </c>
      <c r="CI347" s="168" t="str">
        <f t="shared" si="173"/>
        <v xml:space="preserve"> </v>
      </c>
      <c r="CJ347" s="101"/>
      <c r="CK347" s="165"/>
    </row>
    <row r="348" spans="1:89">
      <c r="A348" s="238" t="str">
        <f t="shared" si="170"/>
        <v xml:space="preserve"> </v>
      </c>
      <c r="B348" s="253"/>
      <c r="C348" s="247"/>
      <c r="D348" s="240" t="str">
        <f t="shared" si="171"/>
        <v xml:space="preserve"> </v>
      </c>
      <c r="E348" s="240" t="str">
        <f t="shared" si="171"/>
        <v xml:space="preserve"> </v>
      </c>
      <c r="F348" s="240" t="str">
        <f t="shared" si="171"/>
        <v xml:space="preserve"> </v>
      </c>
      <c r="G348" s="240" t="str">
        <f t="shared" si="171"/>
        <v xml:space="preserve"> </v>
      </c>
      <c r="H348" s="240" t="str">
        <f t="shared" si="171"/>
        <v xml:space="preserve"> </v>
      </c>
      <c r="I348" s="251" t="str">
        <f t="shared" si="171"/>
        <v xml:space="preserve"> </v>
      </c>
      <c r="J348" s="253"/>
      <c r="K348" s="254"/>
      <c r="CA348" s="238" t="str">
        <f t="shared" si="172"/>
        <v xml:space="preserve"> </v>
      </c>
      <c r="CB348" s="253"/>
      <c r="CC348" s="247"/>
      <c r="CD348" s="240" t="str">
        <f t="shared" si="173"/>
        <v xml:space="preserve"> </v>
      </c>
      <c r="CE348" s="240" t="str">
        <f t="shared" si="173"/>
        <v xml:space="preserve"> </v>
      </c>
      <c r="CF348" s="240" t="str">
        <f t="shared" si="173"/>
        <v xml:space="preserve"> </v>
      </c>
      <c r="CG348" s="240" t="str">
        <f t="shared" si="173"/>
        <v xml:space="preserve"> </v>
      </c>
      <c r="CH348" s="240" t="str">
        <f t="shared" si="173"/>
        <v xml:space="preserve"> </v>
      </c>
      <c r="CI348" s="251" t="str">
        <f t="shared" si="173"/>
        <v xml:space="preserve"> </v>
      </c>
      <c r="CJ348" s="253"/>
      <c r="CK348" s="254"/>
    </row>
    <row r="349" spans="1:89">
      <c r="A349" s="166" t="str">
        <f t="shared" si="170"/>
        <v xml:space="preserve"> </v>
      </c>
      <c r="B349" s="101"/>
      <c r="C349" s="100"/>
      <c r="D349" s="167" t="str">
        <f t="shared" si="171"/>
        <v xml:space="preserve"> </v>
      </c>
      <c r="E349" s="167" t="str">
        <f t="shared" si="171"/>
        <v xml:space="preserve"> </v>
      </c>
      <c r="F349" s="167" t="str">
        <f t="shared" si="171"/>
        <v xml:space="preserve"> </v>
      </c>
      <c r="G349" s="167" t="str">
        <f t="shared" si="171"/>
        <v xml:space="preserve"> </v>
      </c>
      <c r="H349" s="167" t="str">
        <f t="shared" si="171"/>
        <v xml:space="preserve"> </v>
      </c>
      <c r="I349" s="168" t="str">
        <f t="shared" si="171"/>
        <v xml:space="preserve"> </v>
      </c>
      <c r="J349" s="101"/>
      <c r="K349" s="165"/>
      <c r="CA349" s="166" t="str">
        <f t="shared" si="172"/>
        <v xml:space="preserve"> </v>
      </c>
      <c r="CB349" s="101"/>
      <c r="CC349" s="100"/>
      <c r="CD349" s="167" t="str">
        <f t="shared" si="173"/>
        <v xml:space="preserve"> </v>
      </c>
      <c r="CE349" s="167" t="str">
        <f t="shared" si="173"/>
        <v xml:space="preserve"> </v>
      </c>
      <c r="CF349" s="167" t="str">
        <f t="shared" si="173"/>
        <v xml:space="preserve"> </v>
      </c>
      <c r="CG349" s="167" t="str">
        <f t="shared" si="173"/>
        <v xml:space="preserve"> </v>
      </c>
      <c r="CH349" s="167" t="str">
        <f t="shared" si="173"/>
        <v xml:space="preserve"> </v>
      </c>
      <c r="CI349" s="168" t="str">
        <f t="shared" si="173"/>
        <v xml:space="preserve"> </v>
      </c>
      <c r="CJ349" s="101"/>
      <c r="CK349" s="165"/>
    </row>
    <row r="350" spans="1:89">
      <c r="A350" s="238" t="str">
        <f t="shared" si="170"/>
        <v xml:space="preserve"> </v>
      </c>
      <c r="B350" s="253"/>
      <c r="C350" s="247"/>
      <c r="D350" s="240" t="str">
        <f t="shared" si="171"/>
        <v xml:space="preserve"> </v>
      </c>
      <c r="E350" s="240" t="str">
        <f t="shared" si="171"/>
        <v xml:space="preserve"> </v>
      </c>
      <c r="F350" s="240" t="str">
        <f t="shared" si="171"/>
        <v xml:space="preserve"> </v>
      </c>
      <c r="G350" s="240" t="str">
        <f t="shared" si="171"/>
        <v xml:space="preserve"> </v>
      </c>
      <c r="H350" s="240" t="str">
        <f t="shared" si="171"/>
        <v xml:space="preserve"> </v>
      </c>
      <c r="I350" s="251" t="str">
        <f t="shared" si="171"/>
        <v xml:space="preserve"> </v>
      </c>
      <c r="J350" s="253"/>
      <c r="K350" s="254"/>
      <c r="CA350" s="238" t="str">
        <f t="shared" si="172"/>
        <v xml:space="preserve"> </v>
      </c>
      <c r="CB350" s="253"/>
      <c r="CC350" s="247"/>
      <c r="CD350" s="240" t="str">
        <f t="shared" si="173"/>
        <v xml:space="preserve"> </v>
      </c>
      <c r="CE350" s="240" t="str">
        <f t="shared" si="173"/>
        <v xml:space="preserve"> </v>
      </c>
      <c r="CF350" s="240" t="str">
        <f t="shared" si="173"/>
        <v xml:space="preserve"> </v>
      </c>
      <c r="CG350" s="240" t="str">
        <f t="shared" si="173"/>
        <v xml:space="preserve"> </v>
      </c>
      <c r="CH350" s="240" t="str">
        <f t="shared" si="173"/>
        <v xml:space="preserve"> </v>
      </c>
      <c r="CI350" s="251" t="str">
        <f t="shared" si="173"/>
        <v xml:space="preserve"> </v>
      </c>
      <c r="CJ350" s="253"/>
      <c r="CK350" s="254"/>
    </row>
    <row r="351" spans="1:89">
      <c r="A351" s="166" t="str">
        <f t="shared" si="170"/>
        <v xml:space="preserve"> </v>
      </c>
      <c r="B351" s="101"/>
      <c r="C351" s="100"/>
      <c r="D351" s="167" t="str">
        <f t="shared" si="171"/>
        <v xml:space="preserve"> </v>
      </c>
      <c r="E351" s="167" t="str">
        <f t="shared" si="171"/>
        <v xml:space="preserve"> </v>
      </c>
      <c r="F351" s="167" t="str">
        <f t="shared" si="171"/>
        <v xml:space="preserve"> </v>
      </c>
      <c r="G351" s="167" t="str">
        <f t="shared" si="171"/>
        <v xml:space="preserve"> </v>
      </c>
      <c r="H351" s="167" t="str">
        <f t="shared" si="171"/>
        <v xml:space="preserve"> </v>
      </c>
      <c r="I351" s="168" t="str">
        <f t="shared" si="171"/>
        <v xml:space="preserve"> </v>
      </c>
      <c r="J351" s="101"/>
      <c r="K351" s="165"/>
      <c r="CA351" s="166" t="str">
        <f t="shared" si="172"/>
        <v xml:space="preserve"> </v>
      </c>
      <c r="CB351" s="101"/>
      <c r="CC351" s="100"/>
      <c r="CD351" s="167" t="str">
        <f t="shared" si="173"/>
        <v xml:space="preserve"> </v>
      </c>
      <c r="CE351" s="167" t="str">
        <f t="shared" si="173"/>
        <v xml:space="preserve"> </v>
      </c>
      <c r="CF351" s="167" t="str">
        <f t="shared" si="173"/>
        <v xml:space="preserve"> </v>
      </c>
      <c r="CG351" s="167" t="str">
        <f t="shared" si="173"/>
        <v xml:space="preserve"> </v>
      </c>
      <c r="CH351" s="167" t="str">
        <f t="shared" si="173"/>
        <v xml:space="preserve"> </v>
      </c>
      <c r="CI351" s="168" t="str">
        <f t="shared" si="173"/>
        <v xml:space="preserve"> </v>
      </c>
      <c r="CJ351" s="101"/>
      <c r="CK351" s="165"/>
    </row>
    <row r="352" spans="1:89">
      <c r="A352" s="238" t="str">
        <f t="shared" si="170"/>
        <v xml:space="preserve"> </v>
      </c>
      <c r="B352" s="253"/>
      <c r="C352" s="247"/>
      <c r="D352" s="240" t="str">
        <f t="shared" si="171"/>
        <v xml:space="preserve"> </v>
      </c>
      <c r="E352" s="240" t="str">
        <f t="shared" si="171"/>
        <v xml:space="preserve"> </v>
      </c>
      <c r="F352" s="240" t="str">
        <f t="shared" si="171"/>
        <v xml:space="preserve"> </v>
      </c>
      <c r="G352" s="240" t="str">
        <f t="shared" si="171"/>
        <v xml:space="preserve"> </v>
      </c>
      <c r="H352" s="240" t="str">
        <f t="shared" si="171"/>
        <v xml:space="preserve"> </v>
      </c>
      <c r="I352" s="251" t="str">
        <f t="shared" si="171"/>
        <v xml:space="preserve"> </v>
      </c>
      <c r="J352" s="253"/>
      <c r="K352" s="254"/>
      <c r="CA352" s="238" t="str">
        <f t="shared" si="172"/>
        <v xml:space="preserve"> </v>
      </c>
      <c r="CB352" s="253"/>
      <c r="CC352" s="247"/>
      <c r="CD352" s="240" t="str">
        <f t="shared" si="173"/>
        <v xml:space="preserve"> </v>
      </c>
      <c r="CE352" s="240" t="str">
        <f t="shared" si="173"/>
        <v xml:space="preserve"> </v>
      </c>
      <c r="CF352" s="240" t="str">
        <f t="shared" si="173"/>
        <v xml:space="preserve"> </v>
      </c>
      <c r="CG352" s="240" t="str">
        <f t="shared" si="173"/>
        <v xml:space="preserve"> </v>
      </c>
      <c r="CH352" s="240" t="str">
        <f t="shared" si="173"/>
        <v xml:space="preserve"> </v>
      </c>
      <c r="CI352" s="251" t="str">
        <f t="shared" si="173"/>
        <v xml:space="preserve"> </v>
      </c>
      <c r="CJ352" s="253"/>
      <c r="CK352" s="254"/>
    </row>
    <row r="353" spans="1:89">
      <c r="A353" s="166" t="str">
        <f t="shared" si="170"/>
        <v xml:space="preserve"> </v>
      </c>
      <c r="B353" s="101"/>
      <c r="C353" s="100"/>
      <c r="D353" s="167" t="str">
        <f t="shared" si="171"/>
        <v xml:space="preserve"> </v>
      </c>
      <c r="E353" s="167" t="str">
        <f t="shared" si="171"/>
        <v xml:space="preserve"> </v>
      </c>
      <c r="F353" s="167" t="str">
        <f t="shared" si="171"/>
        <v xml:space="preserve"> </v>
      </c>
      <c r="G353" s="167" t="str">
        <f t="shared" si="171"/>
        <v xml:space="preserve"> </v>
      </c>
      <c r="H353" s="167" t="str">
        <f t="shared" si="171"/>
        <v xml:space="preserve"> </v>
      </c>
      <c r="I353" s="168" t="str">
        <f t="shared" si="171"/>
        <v xml:space="preserve"> </v>
      </c>
      <c r="J353" s="101"/>
      <c r="K353" s="165"/>
      <c r="CA353" s="166" t="str">
        <f t="shared" si="172"/>
        <v xml:space="preserve"> </v>
      </c>
      <c r="CB353" s="101"/>
      <c r="CC353" s="100"/>
      <c r="CD353" s="167" t="str">
        <f t="shared" si="173"/>
        <v xml:space="preserve"> </v>
      </c>
      <c r="CE353" s="167" t="str">
        <f t="shared" si="173"/>
        <v xml:space="preserve"> </v>
      </c>
      <c r="CF353" s="167" t="str">
        <f t="shared" si="173"/>
        <v xml:space="preserve"> </v>
      </c>
      <c r="CG353" s="167" t="str">
        <f t="shared" si="173"/>
        <v xml:space="preserve"> </v>
      </c>
      <c r="CH353" s="167" t="str">
        <f t="shared" si="173"/>
        <v xml:space="preserve"> </v>
      </c>
      <c r="CI353" s="168" t="str">
        <f t="shared" si="173"/>
        <v xml:space="preserve"> </v>
      </c>
      <c r="CJ353" s="101"/>
      <c r="CK353" s="165"/>
    </row>
    <row r="354" spans="1:89">
      <c r="A354" s="238" t="str">
        <f t="shared" si="170"/>
        <v xml:space="preserve"> </v>
      </c>
      <c r="B354" s="253"/>
      <c r="C354" s="247"/>
      <c r="D354" s="240" t="str">
        <f t="shared" si="171"/>
        <v xml:space="preserve"> </v>
      </c>
      <c r="E354" s="240" t="str">
        <f t="shared" si="171"/>
        <v xml:space="preserve"> </v>
      </c>
      <c r="F354" s="240" t="str">
        <f t="shared" si="171"/>
        <v xml:space="preserve"> </v>
      </c>
      <c r="G354" s="240" t="str">
        <f t="shared" si="171"/>
        <v xml:space="preserve"> </v>
      </c>
      <c r="H354" s="240" t="str">
        <f t="shared" si="171"/>
        <v xml:space="preserve"> </v>
      </c>
      <c r="I354" s="251" t="str">
        <f t="shared" si="171"/>
        <v xml:space="preserve"> </v>
      </c>
      <c r="J354" s="253"/>
      <c r="K354" s="254"/>
      <c r="CA354" s="238" t="str">
        <f t="shared" si="172"/>
        <v xml:space="preserve"> </v>
      </c>
      <c r="CB354" s="253"/>
      <c r="CC354" s="247"/>
      <c r="CD354" s="240" t="str">
        <f t="shared" si="173"/>
        <v xml:space="preserve"> </v>
      </c>
      <c r="CE354" s="240" t="str">
        <f t="shared" si="173"/>
        <v xml:space="preserve"> </v>
      </c>
      <c r="CF354" s="240" t="str">
        <f t="shared" si="173"/>
        <v xml:space="preserve"> </v>
      </c>
      <c r="CG354" s="240" t="str">
        <f t="shared" si="173"/>
        <v xml:space="preserve"> </v>
      </c>
      <c r="CH354" s="240" t="str">
        <f t="shared" si="173"/>
        <v xml:space="preserve"> </v>
      </c>
      <c r="CI354" s="251" t="str">
        <f t="shared" si="173"/>
        <v xml:space="preserve"> </v>
      </c>
      <c r="CJ354" s="253"/>
      <c r="CK354" s="254"/>
    </row>
    <row r="355" spans="1:89">
      <c r="A355" s="166" t="str">
        <f t="shared" si="170"/>
        <v xml:space="preserve"> </v>
      </c>
      <c r="B355" s="101"/>
      <c r="C355" s="100"/>
      <c r="D355" s="167" t="str">
        <f t="shared" si="171"/>
        <v xml:space="preserve"> </v>
      </c>
      <c r="E355" s="167" t="str">
        <f t="shared" si="171"/>
        <v xml:space="preserve"> </v>
      </c>
      <c r="F355" s="167" t="str">
        <f t="shared" si="171"/>
        <v xml:space="preserve"> </v>
      </c>
      <c r="G355" s="167" t="str">
        <f t="shared" si="171"/>
        <v xml:space="preserve"> </v>
      </c>
      <c r="H355" s="167" t="str">
        <f t="shared" si="171"/>
        <v xml:space="preserve"> </v>
      </c>
      <c r="I355" s="168" t="str">
        <f t="shared" si="171"/>
        <v xml:space="preserve"> </v>
      </c>
      <c r="J355" s="101"/>
      <c r="K355" s="165"/>
      <c r="CA355" s="166" t="str">
        <f t="shared" si="172"/>
        <v xml:space="preserve"> </v>
      </c>
      <c r="CB355" s="101"/>
      <c r="CC355" s="100"/>
      <c r="CD355" s="167" t="str">
        <f t="shared" si="173"/>
        <v xml:space="preserve"> </v>
      </c>
      <c r="CE355" s="167" t="str">
        <f t="shared" si="173"/>
        <v xml:space="preserve"> </v>
      </c>
      <c r="CF355" s="167" t="str">
        <f t="shared" si="173"/>
        <v xml:space="preserve"> </v>
      </c>
      <c r="CG355" s="167" t="str">
        <f t="shared" si="173"/>
        <v xml:space="preserve"> </v>
      </c>
      <c r="CH355" s="167" t="str">
        <f t="shared" si="173"/>
        <v xml:space="preserve"> </v>
      </c>
      <c r="CI355" s="168" t="str">
        <f t="shared" si="173"/>
        <v xml:space="preserve"> </v>
      </c>
      <c r="CJ355" s="101"/>
      <c r="CK355" s="165"/>
    </row>
    <row r="356" spans="1:89">
      <c r="A356" s="238" t="str">
        <f t="shared" si="170"/>
        <v xml:space="preserve"> </v>
      </c>
      <c r="B356" s="253"/>
      <c r="C356" s="247"/>
      <c r="D356" s="240" t="str">
        <f t="shared" si="171"/>
        <v xml:space="preserve"> </v>
      </c>
      <c r="E356" s="240" t="str">
        <f t="shared" si="171"/>
        <v xml:space="preserve"> </v>
      </c>
      <c r="F356" s="240" t="str">
        <f t="shared" si="171"/>
        <v xml:space="preserve"> </v>
      </c>
      <c r="G356" s="240" t="str">
        <f t="shared" si="171"/>
        <v xml:space="preserve"> </v>
      </c>
      <c r="H356" s="240" t="str">
        <f t="shared" si="171"/>
        <v xml:space="preserve"> </v>
      </c>
      <c r="I356" s="251" t="str">
        <f t="shared" si="171"/>
        <v xml:space="preserve"> </v>
      </c>
      <c r="J356" s="253"/>
      <c r="K356" s="254"/>
      <c r="CA356" s="238" t="str">
        <f t="shared" si="172"/>
        <v xml:space="preserve"> </v>
      </c>
      <c r="CB356" s="253"/>
      <c r="CC356" s="247"/>
      <c r="CD356" s="240" t="str">
        <f t="shared" si="173"/>
        <v xml:space="preserve"> </v>
      </c>
      <c r="CE356" s="240" t="str">
        <f t="shared" si="173"/>
        <v xml:space="preserve"> </v>
      </c>
      <c r="CF356" s="240" t="str">
        <f t="shared" si="173"/>
        <v xml:space="preserve"> </v>
      </c>
      <c r="CG356" s="240" t="str">
        <f t="shared" si="173"/>
        <v xml:space="preserve"> </v>
      </c>
      <c r="CH356" s="240" t="str">
        <f t="shared" si="173"/>
        <v xml:space="preserve"> </v>
      </c>
      <c r="CI356" s="251" t="str">
        <f t="shared" si="173"/>
        <v xml:space="preserve"> </v>
      </c>
      <c r="CJ356" s="253"/>
      <c r="CK356" s="254"/>
    </row>
    <row r="357" spans="1:89">
      <c r="A357" s="166" t="str">
        <f t="shared" si="170"/>
        <v xml:space="preserve"> </v>
      </c>
      <c r="B357" s="101"/>
      <c r="C357" s="100"/>
      <c r="D357" s="167" t="str">
        <f t="shared" si="171"/>
        <v xml:space="preserve"> </v>
      </c>
      <c r="E357" s="167" t="str">
        <f t="shared" si="171"/>
        <v xml:space="preserve"> </v>
      </c>
      <c r="F357" s="167" t="str">
        <f t="shared" si="171"/>
        <v xml:space="preserve"> </v>
      </c>
      <c r="G357" s="167" t="str">
        <f t="shared" si="171"/>
        <v xml:space="preserve"> </v>
      </c>
      <c r="H357" s="167" t="str">
        <f t="shared" si="171"/>
        <v xml:space="preserve"> </v>
      </c>
      <c r="I357" s="168" t="str">
        <f t="shared" si="171"/>
        <v xml:space="preserve"> </v>
      </c>
      <c r="J357" s="101"/>
      <c r="K357" s="165"/>
      <c r="CA357" s="166" t="str">
        <f t="shared" si="172"/>
        <v xml:space="preserve"> </v>
      </c>
      <c r="CB357" s="101"/>
      <c r="CC357" s="100"/>
      <c r="CD357" s="167" t="str">
        <f t="shared" si="173"/>
        <v xml:space="preserve"> </v>
      </c>
      <c r="CE357" s="167" t="str">
        <f t="shared" si="173"/>
        <v xml:space="preserve"> </v>
      </c>
      <c r="CF357" s="167" t="str">
        <f t="shared" si="173"/>
        <v xml:space="preserve"> </v>
      </c>
      <c r="CG357" s="167" t="str">
        <f t="shared" si="173"/>
        <v xml:space="preserve"> </v>
      </c>
      <c r="CH357" s="167" t="str">
        <f t="shared" si="173"/>
        <v xml:space="preserve"> </v>
      </c>
      <c r="CI357" s="168" t="str">
        <f t="shared" si="173"/>
        <v xml:space="preserve"> </v>
      </c>
      <c r="CJ357" s="101"/>
      <c r="CK357" s="165"/>
    </row>
    <row r="358" spans="1:89">
      <c r="A358" s="238" t="str">
        <f t="shared" si="170"/>
        <v xml:space="preserve"> </v>
      </c>
      <c r="B358" s="253"/>
      <c r="C358" s="247"/>
      <c r="D358" s="240" t="str">
        <f t="shared" si="171"/>
        <v xml:space="preserve"> </v>
      </c>
      <c r="E358" s="240" t="str">
        <f t="shared" si="171"/>
        <v xml:space="preserve"> </v>
      </c>
      <c r="F358" s="240" t="str">
        <f t="shared" si="171"/>
        <v xml:space="preserve"> </v>
      </c>
      <c r="G358" s="240" t="str">
        <f t="shared" si="171"/>
        <v xml:space="preserve"> </v>
      </c>
      <c r="H358" s="240" t="str">
        <f t="shared" si="171"/>
        <v xml:space="preserve"> </v>
      </c>
      <c r="I358" s="251" t="str">
        <f t="shared" si="171"/>
        <v xml:space="preserve"> </v>
      </c>
      <c r="J358" s="253"/>
      <c r="K358" s="254"/>
      <c r="CA358" s="238" t="str">
        <f t="shared" si="172"/>
        <v xml:space="preserve"> </v>
      </c>
      <c r="CB358" s="253"/>
      <c r="CC358" s="247"/>
      <c r="CD358" s="240" t="str">
        <f t="shared" si="173"/>
        <v xml:space="preserve"> </v>
      </c>
      <c r="CE358" s="240" t="str">
        <f t="shared" si="173"/>
        <v xml:space="preserve"> </v>
      </c>
      <c r="CF358" s="240" t="str">
        <f t="shared" si="173"/>
        <v xml:space="preserve"> </v>
      </c>
      <c r="CG358" s="240" t="str">
        <f t="shared" si="173"/>
        <v xml:space="preserve"> </v>
      </c>
      <c r="CH358" s="240" t="str">
        <f t="shared" si="173"/>
        <v xml:space="preserve"> </v>
      </c>
      <c r="CI358" s="251" t="str">
        <f t="shared" si="173"/>
        <v xml:space="preserve"> </v>
      </c>
      <c r="CJ358" s="253"/>
      <c r="CK358" s="254"/>
    </row>
    <row r="359" spans="1:89">
      <c r="A359" s="166" t="str">
        <f t="shared" si="170"/>
        <v xml:space="preserve"> </v>
      </c>
      <c r="B359" s="101"/>
      <c r="C359" s="100"/>
      <c r="D359" s="167" t="str">
        <f t="shared" ref="D359:I363" si="174">IF(AND(D1059&gt;0,$D$2&gt;2),D1059," ")</f>
        <v xml:space="preserve"> </v>
      </c>
      <c r="E359" s="167" t="str">
        <f t="shared" si="174"/>
        <v xml:space="preserve"> </v>
      </c>
      <c r="F359" s="167" t="str">
        <f t="shared" si="174"/>
        <v xml:space="preserve"> </v>
      </c>
      <c r="G359" s="167" t="str">
        <f t="shared" si="174"/>
        <v xml:space="preserve"> </v>
      </c>
      <c r="H359" s="167" t="str">
        <f t="shared" si="174"/>
        <v xml:space="preserve"> </v>
      </c>
      <c r="I359" s="168" t="str">
        <f t="shared" si="174"/>
        <v xml:space="preserve"> </v>
      </c>
      <c r="J359" s="101"/>
      <c r="K359" s="165"/>
      <c r="CA359" s="166" t="str">
        <f t="shared" si="172"/>
        <v xml:space="preserve"> </v>
      </c>
      <c r="CB359" s="101"/>
      <c r="CC359" s="100"/>
      <c r="CD359" s="167" t="str">
        <f t="shared" ref="CD359:CI363" si="175">IF(AND(CD1059&gt;0,$D$2&gt;2),CD1059," ")</f>
        <v xml:space="preserve"> </v>
      </c>
      <c r="CE359" s="167" t="str">
        <f t="shared" si="175"/>
        <v xml:space="preserve"> </v>
      </c>
      <c r="CF359" s="167" t="str">
        <f t="shared" si="175"/>
        <v xml:space="preserve"> </v>
      </c>
      <c r="CG359" s="167" t="str">
        <f t="shared" si="175"/>
        <v xml:space="preserve"> </v>
      </c>
      <c r="CH359" s="167" t="str">
        <f t="shared" si="175"/>
        <v xml:space="preserve"> </v>
      </c>
      <c r="CI359" s="168" t="str">
        <f t="shared" si="175"/>
        <v xml:space="preserve"> </v>
      </c>
      <c r="CJ359" s="101"/>
      <c r="CK359" s="165"/>
    </row>
    <row r="360" spans="1:89">
      <c r="A360" s="238" t="str">
        <f t="shared" si="170"/>
        <v xml:space="preserve"> </v>
      </c>
      <c r="B360" s="253"/>
      <c r="C360" s="247"/>
      <c r="D360" s="240" t="str">
        <f t="shared" si="174"/>
        <v xml:space="preserve"> </v>
      </c>
      <c r="E360" s="240" t="str">
        <f t="shared" si="174"/>
        <v xml:space="preserve"> </v>
      </c>
      <c r="F360" s="240" t="str">
        <f t="shared" si="174"/>
        <v xml:space="preserve"> </v>
      </c>
      <c r="G360" s="240" t="str">
        <f t="shared" si="174"/>
        <v xml:space="preserve"> </v>
      </c>
      <c r="H360" s="240" t="str">
        <f t="shared" si="174"/>
        <v xml:space="preserve"> </v>
      </c>
      <c r="I360" s="251" t="str">
        <f t="shared" si="174"/>
        <v xml:space="preserve"> </v>
      </c>
      <c r="J360" s="253"/>
      <c r="K360" s="254"/>
      <c r="CA360" s="238" t="str">
        <f t="shared" si="172"/>
        <v xml:space="preserve"> </v>
      </c>
      <c r="CB360" s="253"/>
      <c r="CC360" s="247"/>
      <c r="CD360" s="240" t="str">
        <f t="shared" si="175"/>
        <v xml:space="preserve"> </v>
      </c>
      <c r="CE360" s="240" t="str">
        <f t="shared" si="175"/>
        <v xml:space="preserve"> </v>
      </c>
      <c r="CF360" s="240" t="str">
        <f t="shared" si="175"/>
        <v xml:space="preserve"> </v>
      </c>
      <c r="CG360" s="240" t="str">
        <f t="shared" si="175"/>
        <v xml:space="preserve"> </v>
      </c>
      <c r="CH360" s="240" t="str">
        <f t="shared" si="175"/>
        <v xml:space="preserve"> </v>
      </c>
      <c r="CI360" s="251" t="str">
        <f t="shared" si="175"/>
        <v xml:space="preserve"> </v>
      </c>
      <c r="CJ360" s="253"/>
      <c r="CK360" s="254"/>
    </row>
    <row r="361" spans="1:89">
      <c r="A361" s="166" t="str">
        <f t="shared" si="170"/>
        <v xml:space="preserve"> </v>
      </c>
      <c r="B361" s="101"/>
      <c r="C361" s="100"/>
      <c r="D361" s="167" t="str">
        <f t="shared" si="174"/>
        <v xml:space="preserve"> </v>
      </c>
      <c r="E361" s="167" t="str">
        <f t="shared" si="174"/>
        <v xml:space="preserve"> </v>
      </c>
      <c r="F361" s="167" t="str">
        <f t="shared" si="174"/>
        <v xml:space="preserve"> </v>
      </c>
      <c r="G361" s="167" t="str">
        <f t="shared" si="174"/>
        <v xml:space="preserve"> </v>
      </c>
      <c r="H361" s="167" t="str">
        <f t="shared" si="174"/>
        <v xml:space="preserve"> </v>
      </c>
      <c r="I361" s="168" t="str">
        <f t="shared" si="174"/>
        <v xml:space="preserve"> </v>
      </c>
      <c r="J361" s="101"/>
      <c r="K361" s="165"/>
      <c r="CA361" s="166" t="str">
        <f t="shared" si="172"/>
        <v xml:space="preserve"> </v>
      </c>
      <c r="CB361" s="101"/>
      <c r="CC361" s="100"/>
      <c r="CD361" s="167" t="str">
        <f t="shared" si="175"/>
        <v xml:space="preserve"> </v>
      </c>
      <c r="CE361" s="167" t="str">
        <f t="shared" si="175"/>
        <v xml:space="preserve"> </v>
      </c>
      <c r="CF361" s="167" t="str">
        <f t="shared" si="175"/>
        <v xml:space="preserve"> </v>
      </c>
      <c r="CG361" s="167" t="str">
        <f t="shared" si="175"/>
        <v xml:space="preserve"> </v>
      </c>
      <c r="CH361" s="167" t="str">
        <f t="shared" si="175"/>
        <v xml:space="preserve"> </v>
      </c>
      <c r="CI361" s="168" t="str">
        <f t="shared" si="175"/>
        <v xml:space="preserve"> </v>
      </c>
      <c r="CJ361" s="101"/>
      <c r="CK361" s="165"/>
    </row>
    <row r="362" spans="1:89">
      <c r="A362" s="238" t="str">
        <f t="shared" si="170"/>
        <v xml:space="preserve"> </v>
      </c>
      <c r="B362" s="253"/>
      <c r="C362" s="247"/>
      <c r="D362" s="240" t="str">
        <f t="shared" si="174"/>
        <v xml:space="preserve"> </v>
      </c>
      <c r="E362" s="240" t="str">
        <f t="shared" si="174"/>
        <v xml:space="preserve"> </v>
      </c>
      <c r="F362" s="240" t="str">
        <f t="shared" si="174"/>
        <v xml:space="preserve"> </v>
      </c>
      <c r="G362" s="240" t="str">
        <f t="shared" si="174"/>
        <v xml:space="preserve"> </v>
      </c>
      <c r="H362" s="240" t="str">
        <f t="shared" si="174"/>
        <v xml:space="preserve"> </v>
      </c>
      <c r="I362" s="251" t="str">
        <f t="shared" si="174"/>
        <v xml:space="preserve"> </v>
      </c>
      <c r="J362" s="253"/>
      <c r="K362" s="254"/>
      <c r="CA362" s="238" t="str">
        <f t="shared" si="172"/>
        <v xml:space="preserve"> </v>
      </c>
      <c r="CB362" s="253"/>
      <c r="CC362" s="247"/>
      <c r="CD362" s="240" t="str">
        <f t="shared" si="175"/>
        <v xml:space="preserve"> </v>
      </c>
      <c r="CE362" s="240" t="str">
        <f t="shared" si="175"/>
        <v xml:space="preserve"> </v>
      </c>
      <c r="CF362" s="240" t="str">
        <f t="shared" si="175"/>
        <v xml:space="preserve"> </v>
      </c>
      <c r="CG362" s="240" t="str">
        <f t="shared" si="175"/>
        <v xml:space="preserve"> </v>
      </c>
      <c r="CH362" s="240" t="str">
        <f t="shared" si="175"/>
        <v xml:space="preserve"> </v>
      </c>
      <c r="CI362" s="251" t="str">
        <f t="shared" si="175"/>
        <v xml:space="preserve"> </v>
      </c>
      <c r="CJ362" s="253"/>
      <c r="CK362" s="254"/>
    </row>
    <row r="363" spans="1:89">
      <c r="A363" s="181" t="str">
        <f t="shared" si="170"/>
        <v xml:space="preserve"> </v>
      </c>
      <c r="B363" s="103"/>
      <c r="C363" s="100"/>
      <c r="D363" s="100" t="str">
        <f t="shared" si="174"/>
        <v xml:space="preserve"> </v>
      </c>
      <c r="E363" s="100" t="str">
        <f t="shared" si="174"/>
        <v xml:space="preserve"> </v>
      </c>
      <c r="F363" s="100" t="str">
        <f t="shared" si="174"/>
        <v xml:space="preserve"> </v>
      </c>
      <c r="G363" s="100" t="str">
        <f t="shared" si="174"/>
        <v xml:space="preserve"> </v>
      </c>
      <c r="H363" s="100" t="str">
        <f t="shared" si="174"/>
        <v xml:space="preserve"> </v>
      </c>
      <c r="I363" s="177" t="str">
        <f t="shared" si="174"/>
        <v xml:space="preserve"> </v>
      </c>
      <c r="J363" s="103"/>
      <c r="K363" s="182"/>
      <c r="CA363" s="181" t="str">
        <f t="shared" si="172"/>
        <v xml:space="preserve"> </v>
      </c>
      <c r="CB363" s="103"/>
      <c r="CC363" s="100"/>
      <c r="CD363" s="100" t="str">
        <f t="shared" si="175"/>
        <v xml:space="preserve"> </v>
      </c>
      <c r="CE363" s="100" t="str">
        <f t="shared" si="175"/>
        <v xml:space="preserve"> </v>
      </c>
      <c r="CF363" s="100" t="str">
        <f t="shared" si="175"/>
        <v xml:space="preserve"> </v>
      </c>
      <c r="CG363" s="100" t="str">
        <f t="shared" si="175"/>
        <v xml:space="preserve"> </v>
      </c>
      <c r="CH363" s="100" t="str">
        <f t="shared" si="175"/>
        <v xml:space="preserve"> </v>
      </c>
      <c r="CI363" s="177" t="str">
        <f t="shared" si="175"/>
        <v xml:space="preserve"> </v>
      </c>
      <c r="CJ363" s="103"/>
      <c r="CK363" s="182"/>
    </row>
    <row r="364" spans="1:89">
      <c r="A364" s="179" t="s">
        <v>5025</v>
      </c>
      <c r="B364" s="102"/>
      <c r="C364" s="175" t="s">
        <v>5018</v>
      </c>
      <c r="D364" s="175" t="s">
        <v>5701</v>
      </c>
      <c r="E364" s="175" t="s">
        <v>5019</v>
      </c>
      <c r="F364" s="175" t="s">
        <v>5020</v>
      </c>
      <c r="G364" s="175" t="s">
        <v>5021</v>
      </c>
      <c r="H364" s="175" t="s">
        <v>5022</v>
      </c>
      <c r="I364" s="221" t="s">
        <v>5316</v>
      </c>
      <c r="J364" s="176"/>
      <c r="K364" s="180"/>
      <c r="CA364" s="179" t="s">
        <v>5025</v>
      </c>
      <c r="CB364" s="102"/>
      <c r="CC364" s="175" t="s">
        <v>5018</v>
      </c>
      <c r="CD364" s="175" t="s">
        <v>5701</v>
      </c>
      <c r="CE364" s="175" t="s">
        <v>5019</v>
      </c>
      <c r="CF364" s="175" t="s">
        <v>5020</v>
      </c>
      <c r="CG364" s="175" t="s">
        <v>5021</v>
      </c>
      <c r="CH364" s="175" t="s">
        <v>5022</v>
      </c>
      <c r="CI364" s="221" t="s">
        <v>5316</v>
      </c>
      <c r="CJ364" s="176"/>
      <c r="CK364" s="180"/>
    </row>
    <row r="365" spans="1:89">
      <c r="A365" s="166" t="str">
        <f t="shared" ref="A365:A382" si="176">IF(AND(A1065&gt;0,$D$2&gt;3),A1065," ")</f>
        <v xml:space="preserve"> </v>
      </c>
      <c r="B365" s="101"/>
      <c r="C365" s="100"/>
      <c r="D365" s="167" t="str">
        <f t="shared" ref="D365:I380" si="177">IF(AND(D1065&gt;0,$D$2&gt;3),D1065," ")</f>
        <v xml:space="preserve"> </v>
      </c>
      <c r="E365" s="167" t="str">
        <f t="shared" si="177"/>
        <v xml:space="preserve"> </v>
      </c>
      <c r="F365" s="167" t="str">
        <f t="shared" si="177"/>
        <v xml:space="preserve"> </v>
      </c>
      <c r="G365" s="167" t="str">
        <f t="shared" si="177"/>
        <v xml:space="preserve"> </v>
      </c>
      <c r="H365" s="167" t="str">
        <f t="shared" si="177"/>
        <v xml:space="preserve"> </v>
      </c>
      <c r="I365" s="168" t="str">
        <f t="shared" si="177"/>
        <v xml:space="preserve"> </v>
      </c>
      <c r="J365" s="101"/>
      <c r="K365" s="165"/>
      <c r="CA365" s="166" t="str">
        <f t="shared" ref="CA365:CA382" si="178">IF(AND(CA1065&gt;0,$D$2&gt;3),CA1065," ")</f>
        <v xml:space="preserve"> </v>
      </c>
      <c r="CB365" s="101"/>
      <c r="CC365" s="100"/>
      <c r="CD365" s="167" t="str">
        <f t="shared" ref="CD365:CI380" si="179">IF(AND(CD1065&gt;0,$D$2&gt;3),CD1065," ")</f>
        <v xml:space="preserve"> </v>
      </c>
      <c r="CE365" s="167" t="str">
        <f t="shared" si="179"/>
        <v xml:space="preserve"> </v>
      </c>
      <c r="CF365" s="167" t="str">
        <f t="shared" si="179"/>
        <v xml:space="preserve"> </v>
      </c>
      <c r="CG365" s="167" t="str">
        <f t="shared" si="179"/>
        <v xml:space="preserve"> </v>
      </c>
      <c r="CH365" s="167" t="str">
        <f t="shared" si="179"/>
        <v xml:space="preserve"> </v>
      </c>
      <c r="CI365" s="168" t="str">
        <f t="shared" si="179"/>
        <v xml:space="preserve"> </v>
      </c>
      <c r="CJ365" s="101"/>
      <c r="CK365" s="165"/>
    </row>
    <row r="366" spans="1:89">
      <c r="A366" s="238" t="str">
        <f t="shared" si="176"/>
        <v xml:space="preserve"> </v>
      </c>
      <c r="B366" s="253"/>
      <c r="C366" s="247"/>
      <c r="D366" s="240" t="str">
        <f t="shared" si="177"/>
        <v xml:space="preserve"> </v>
      </c>
      <c r="E366" s="240" t="str">
        <f t="shared" si="177"/>
        <v xml:space="preserve"> </v>
      </c>
      <c r="F366" s="240" t="str">
        <f t="shared" si="177"/>
        <v xml:space="preserve"> </v>
      </c>
      <c r="G366" s="240" t="str">
        <f t="shared" si="177"/>
        <v xml:space="preserve"> </v>
      </c>
      <c r="H366" s="240" t="str">
        <f t="shared" si="177"/>
        <v xml:space="preserve"> </v>
      </c>
      <c r="I366" s="251" t="str">
        <f t="shared" si="177"/>
        <v xml:space="preserve"> </v>
      </c>
      <c r="J366" s="253"/>
      <c r="K366" s="254"/>
      <c r="CA366" s="238" t="str">
        <f t="shared" si="178"/>
        <v xml:space="preserve"> </v>
      </c>
      <c r="CB366" s="253"/>
      <c r="CC366" s="247"/>
      <c r="CD366" s="240" t="str">
        <f t="shared" si="179"/>
        <v xml:space="preserve"> </v>
      </c>
      <c r="CE366" s="240" t="str">
        <f t="shared" si="179"/>
        <v xml:space="preserve"> </v>
      </c>
      <c r="CF366" s="240" t="str">
        <f t="shared" si="179"/>
        <v xml:space="preserve"> </v>
      </c>
      <c r="CG366" s="240" t="str">
        <f t="shared" si="179"/>
        <v xml:space="preserve"> </v>
      </c>
      <c r="CH366" s="240" t="str">
        <f t="shared" si="179"/>
        <v xml:space="preserve"> </v>
      </c>
      <c r="CI366" s="251" t="str">
        <f t="shared" si="179"/>
        <v xml:space="preserve"> </v>
      </c>
      <c r="CJ366" s="253"/>
      <c r="CK366" s="254"/>
    </row>
    <row r="367" spans="1:89">
      <c r="A367" s="166" t="str">
        <f t="shared" si="176"/>
        <v xml:space="preserve"> </v>
      </c>
      <c r="B367" s="101"/>
      <c r="C367" s="100"/>
      <c r="D367" s="167" t="str">
        <f t="shared" si="177"/>
        <v xml:space="preserve"> </v>
      </c>
      <c r="E367" s="167" t="str">
        <f t="shared" si="177"/>
        <v xml:space="preserve"> </v>
      </c>
      <c r="F367" s="167" t="str">
        <f t="shared" si="177"/>
        <v xml:space="preserve"> </v>
      </c>
      <c r="G367" s="167" t="str">
        <f t="shared" si="177"/>
        <v xml:space="preserve"> </v>
      </c>
      <c r="H367" s="167" t="str">
        <f t="shared" si="177"/>
        <v xml:space="preserve"> </v>
      </c>
      <c r="I367" s="168" t="str">
        <f t="shared" si="177"/>
        <v xml:space="preserve"> </v>
      </c>
      <c r="J367" s="101"/>
      <c r="K367" s="165"/>
      <c r="CA367" s="166" t="str">
        <f t="shared" si="178"/>
        <v xml:space="preserve"> </v>
      </c>
      <c r="CB367" s="101"/>
      <c r="CC367" s="100"/>
      <c r="CD367" s="167" t="str">
        <f t="shared" si="179"/>
        <v xml:space="preserve"> </v>
      </c>
      <c r="CE367" s="167" t="str">
        <f t="shared" si="179"/>
        <v xml:space="preserve"> </v>
      </c>
      <c r="CF367" s="167" t="str">
        <f t="shared" si="179"/>
        <v xml:space="preserve"> </v>
      </c>
      <c r="CG367" s="167" t="str">
        <f t="shared" si="179"/>
        <v xml:space="preserve"> </v>
      </c>
      <c r="CH367" s="167" t="str">
        <f t="shared" si="179"/>
        <v xml:space="preserve"> </v>
      </c>
      <c r="CI367" s="168" t="str">
        <f t="shared" si="179"/>
        <v xml:space="preserve"> </v>
      </c>
      <c r="CJ367" s="101"/>
      <c r="CK367" s="165"/>
    </row>
    <row r="368" spans="1:89">
      <c r="A368" s="238" t="str">
        <f t="shared" si="176"/>
        <v xml:space="preserve"> </v>
      </c>
      <c r="B368" s="253"/>
      <c r="C368" s="247"/>
      <c r="D368" s="240" t="str">
        <f t="shared" si="177"/>
        <v xml:space="preserve"> </v>
      </c>
      <c r="E368" s="240" t="str">
        <f t="shared" si="177"/>
        <v xml:space="preserve"> </v>
      </c>
      <c r="F368" s="240" t="str">
        <f t="shared" si="177"/>
        <v xml:space="preserve"> </v>
      </c>
      <c r="G368" s="240" t="str">
        <f t="shared" si="177"/>
        <v xml:space="preserve"> </v>
      </c>
      <c r="H368" s="240" t="str">
        <f t="shared" si="177"/>
        <v xml:space="preserve"> </v>
      </c>
      <c r="I368" s="251" t="str">
        <f t="shared" si="177"/>
        <v xml:space="preserve"> </v>
      </c>
      <c r="J368" s="253"/>
      <c r="K368" s="254"/>
      <c r="CA368" s="238" t="str">
        <f t="shared" si="178"/>
        <v xml:space="preserve"> </v>
      </c>
      <c r="CB368" s="253"/>
      <c r="CC368" s="247"/>
      <c r="CD368" s="240" t="str">
        <f t="shared" si="179"/>
        <v xml:space="preserve"> </v>
      </c>
      <c r="CE368" s="240" t="str">
        <f t="shared" si="179"/>
        <v xml:space="preserve"> </v>
      </c>
      <c r="CF368" s="240" t="str">
        <f t="shared" si="179"/>
        <v xml:space="preserve"> </v>
      </c>
      <c r="CG368" s="240" t="str">
        <f t="shared" si="179"/>
        <v xml:space="preserve"> </v>
      </c>
      <c r="CH368" s="240" t="str">
        <f t="shared" si="179"/>
        <v xml:space="preserve"> </v>
      </c>
      <c r="CI368" s="251" t="str">
        <f t="shared" si="179"/>
        <v xml:space="preserve"> </v>
      </c>
      <c r="CJ368" s="253"/>
      <c r="CK368" s="254"/>
    </row>
    <row r="369" spans="1:89">
      <c r="A369" s="166" t="str">
        <f t="shared" si="176"/>
        <v xml:space="preserve"> </v>
      </c>
      <c r="B369" s="101"/>
      <c r="C369" s="100"/>
      <c r="D369" s="167" t="str">
        <f t="shared" si="177"/>
        <v xml:space="preserve"> </v>
      </c>
      <c r="E369" s="167" t="str">
        <f t="shared" si="177"/>
        <v xml:space="preserve"> </v>
      </c>
      <c r="F369" s="167" t="str">
        <f t="shared" si="177"/>
        <v xml:space="preserve"> </v>
      </c>
      <c r="G369" s="167" t="str">
        <f t="shared" si="177"/>
        <v xml:space="preserve"> </v>
      </c>
      <c r="H369" s="167" t="str">
        <f t="shared" si="177"/>
        <v xml:space="preserve"> </v>
      </c>
      <c r="I369" s="168" t="str">
        <f t="shared" si="177"/>
        <v xml:space="preserve"> </v>
      </c>
      <c r="J369" s="101"/>
      <c r="K369" s="165"/>
      <c r="CA369" s="166" t="str">
        <f t="shared" si="178"/>
        <v xml:space="preserve"> </v>
      </c>
      <c r="CB369" s="101"/>
      <c r="CC369" s="100"/>
      <c r="CD369" s="167" t="str">
        <f t="shared" si="179"/>
        <v xml:space="preserve"> </v>
      </c>
      <c r="CE369" s="167" t="str">
        <f t="shared" si="179"/>
        <v xml:space="preserve"> </v>
      </c>
      <c r="CF369" s="167" t="str">
        <f t="shared" si="179"/>
        <v xml:space="preserve"> </v>
      </c>
      <c r="CG369" s="167" t="str">
        <f t="shared" si="179"/>
        <v xml:space="preserve"> </v>
      </c>
      <c r="CH369" s="167" t="str">
        <f t="shared" si="179"/>
        <v xml:space="preserve"> </v>
      </c>
      <c r="CI369" s="168" t="str">
        <f t="shared" si="179"/>
        <v xml:space="preserve"> </v>
      </c>
      <c r="CJ369" s="101"/>
      <c r="CK369" s="165"/>
    </row>
    <row r="370" spans="1:89">
      <c r="A370" s="238" t="str">
        <f t="shared" si="176"/>
        <v xml:space="preserve"> </v>
      </c>
      <c r="B370" s="253"/>
      <c r="C370" s="247"/>
      <c r="D370" s="240" t="str">
        <f t="shared" si="177"/>
        <v xml:space="preserve"> </v>
      </c>
      <c r="E370" s="240" t="str">
        <f t="shared" si="177"/>
        <v xml:space="preserve"> </v>
      </c>
      <c r="F370" s="240" t="str">
        <f t="shared" si="177"/>
        <v xml:space="preserve"> </v>
      </c>
      <c r="G370" s="240" t="str">
        <f t="shared" si="177"/>
        <v xml:space="preserve"> </v>
      </c>
      <c r="H370" s="240" t="str">
        <f t="shared" si="177"/>
        <v xml:space="preserve"> </v>
      </c>
      <c r="I370" s="251" t="str">
        <f t="shared" si="177"/>
        <v xml:space="preserve"> </v>
      </c>
      <c r="J370" s="253"/>
      <c r="K370" s="254"/>
      <c r="CA370" s="238" t="str">
        <f t="shared" si="178"/>
        <v xml:space="preserve"> </v>
      </c>
      <c r="CB370" s="253"/>
      <c r="CC370" s="247"/>
      <c r="CD370" s="240" t="str">
        <f t="shared" si="179"/>
        <v xml:space="preserve"> </v>
      </c>
      <c r="CE370" s="240" t="str">
        <f t="shared" si="179"/>
        <v xml:space="preserve"> </v>
      </c>
      <c r="CF370" s="240" t="str">
        <f t="shared" si="179"/>
        <v xml:space="preserve"> </v>
      </c>
      <c r="CG370" s="240" t="str">
        <f t="shared" si="179"/>
        <v xml:space="preserve"> </v>
      </c>
      <c r="CH370" s="240" t="str">
        <f t="shared" si="179"/>
        <v xml:space="preserve"> </v>
      </c>
      <c r="CI370" s="251" t="str">
        <f t="shared" si="179"/>
        <v xml:space="preserve"> </v>
      </c>
      <c r="CJ370" s="253"/>
      <c r="CK370" s="254"/>
    </row>
    <row r="371" spans="1:89">
      <c r="A371" s="166" t="str">
        <f t="shared" si="176"/>
        <v xml:space="preserve"> </v>
      </c>
      <c r="B371" s="101"/>
      <c r="C371" s="100"/>
      <c r="D371" s="167" t="str">
        <f t="shared" si="177"/>
        <v xml:space="preserve"> </v>
      </c>
      <c r="E371" s="167" t="str">
        <f t="shared" si="177"/>
        <v xml:space="preserve"> </v>
      </c>
      <c r="F371" s="167" t="str">
        <f t="shared" si="177"/>
        <v xml:space="preserve"> </v>
      </c>
      <c r="G371" s="167" t="str">
        <f t="shared" si="177"/>
        <v xml:space="preserve"> </v>
      </c>
      <c r="H371" s="167" t="str">
        <f t="shared" si="177"/>
        <v xml:space="preserve"> </v>
      </c>
      <c r="I371" s="168" t="str">
        <f t="shared" si="177"/>
        <v xml:space="preserve"> </v>
      </c>
      <c r="J371" s="101"/>
      <c r="K371" s="165"/>
      <c r="CA371" s="166" t="str">
        <f t="shared" si="178"/>
        <v xml:space="preserve"> </v>
      </c>
      <c r="CB371" s="101"/>
      <c r="CC371" s="100"/>
      <c r="CD371" s="167" t="str">
        <f t="shared" si="179"/>
        <v xml:space="preserve"> </v>
      </c>
      <c r="CE371" s="167" t="str">
        <f t="shared" si="179"/>
        <v xml:space="preserve"> </v>
      </c>
      <c r="CF371" s="167" t="str">
        <f t="shared" si="179"/>
        <v xml:space="preserve"> </v>
      </c>
      <c r="CG371" s="167" t="str">
        <f t="shared" si="179"/>
        <v xml:space="preserve"> </v>
      </c>
      <c r="CH371" s="167" t="str">
        <f t="shared" si="179"/>
        <v xml:space="preserve"> </v>
      </c>
      <c r="CI371" s="168" t="str">
        <f t="shared" si="179"/>
        <v xml:space="preserve"> </v>
      </c>
      <c r="CJ371" s="101"/>
      <c r="CK371" s="165"/>
    </row>
    <row r="372" spans="1:89">
      <c r="A372" s="238" t="str">
        <f t="shared" si="176"/>
        <v xml:space="preserve"> </v>
      </c>
      <c r="B372" s="253"/>
      <c r="C372" s="247"/>
      <c r="D372" s="240" t="str">
        <f t="shared" si="177"/>
        <v xml:space="preserve"> </v>
      </c>
      <c r="E372" s="240" t="str">
        <f t="shared" si="177"/>
        <v xml:space="preserve"> </v>
      </c>
      <c r="F372" s="240" t="str">
        <f t="shared" si="177"/>
        <v xml:space="preserve"> </v>
      </c>
      <c r="G372" s="240" t="str">
        <f t="shared" si="177"/>
        <v xml:space="preserve"> </v>
      </c>
      <c r="H372" s="240" t="str">
        <f t="shared" si="177"/>
        <v xml:space="preserve"> </v>
      </c>
      <c r="I372" s="251" t="str">
        <f t="shared" si="177"/>
        <v xml:space="preserve"> </v>
      </c>
      <c r="J372" s="253"/>
      <c r="K372" s="254"/>
      <c r="CA372" s="238" t="str">
        <f t="shared" si="178"/>
        <v xml:space="preserve"> </v>
      </c>
      <c r="CB372" s="253"/>
      <c r="CC372" s="247"/>
      <c r="CD372" s="240" t="str">
        <f t="shared" si="179"/>
        <v xml:space="preserve"> </v>
      </c>
      <c r="CE372" s="240" t="str">
        <f t="shared" si="179"/>
        <v xml:space="preserve"> </v>
      </c>
      <c r="CF372" s="240" t="str">
        <f t="shared" si="179"/>
        <v xml:space="preserve"> </v>
      </c>
      <c r="CG372" s="240" t="str">
        <f t="shared" si="179"/>
        <v xml:space="preserve"> </v>
      </c>
      <c r="CH372" s="240" t="str">
        <f t="shared" si="179"/>
        <v xml:space="preserve"> </v>
      </c>
      <c r="CI372" s="251" t="str">
        <f t="shared" si="179"/>
        <v xml:space="preserve"> </v>
      </c>
      <c r="CJ372" s="253"/>
      <c r="CK372" s="254"/>
    </row>
    <row r="373" spans="1:89">
      <c r="A373" s="166" t="str">
        <f t="shared" si="176"/>
        <v xml:space="preserve"> </v>
      </c>
      <c r="B373" s="101"/>
      <c r="C373" s="100"/>
      <c r="D373" s="167" t="str">
        <f t="shared" si="177"/>
        <v xml:space="preserve"> </v>
      </c>
      <c r="E373" s="167" t="str">
        <f t="shared" si="177"/>
        <v xml:space="preserve"> </v>
      </c>
      <c r="F373" s="167" t="str">
        <f t="shared" si="177"/>
        <v xml:space="preserve"> </v>
      </c>
      <c r="G373" s="167" t="str">
        <f t="shared" si="177"/>
        <v xml:space="preserve"> </v>
      </c>
      <c r="H373" s="167" t="str">
        <f t="shared" si="177"/>
        <v xml:space="preserve"> </v>
      </c>
      <c r="I373" s="168" t="str">
        <f t="shared" si="177"/>
        <v xml:space="preserve"> </v>
      </c>
      <c r="J373" s="101"/>
      <c r="K373" s="165"/>
      <c r="CA373" s="166" t="str">
        <f t="shared" si="178"/>
        <v xml:space="preserve"> </v>
      </c>
      <c r="CB373" s="101"/>
      <c r="CC373" s="100"/>
      <c r="CD373" s="167" t="str">
        <f t="shared" si="179"/>
        <v xml:space="preserve"> </v>
      </c>
      <c r="CE373" s="167" t="str">
        <f t="shared" si="179"/>
        <v xml:space="preserve"> </v>
      </c>
      <c r="CF373" s="167" t="str">
        <f t="shared" si="179"/>
        <v xml:space="preserve"> </v>
      </c>
      <c r="CG373" s="167" t="str">
        <f t="shared" si="179"/>
        <v xml:space="preserve"> </v>
      </c>
      <c r="CH373" s="167" t="str">
        <f t="shared" si="179"/>
        <v xml:space="preserve"> </v>
      </c>
      <c r="CI373" s="168" t="str">
        <f t="shared" si="179"/>
        <v xml:space="preserve"> </v>
      </c>
      <c r="CJ373" s="101"/>
      <c r="CK373" s="165"/>
    </row>
    <row r="374" spans="1:89">
      <c r="A374" s="238" t="str">
        <f t="shared" si="176"/>
        <v xml:space="preserve"> </v>
      </c>
      <c r="B374" s="253"/>
      <c r="C374" s="247"/>
      <c r="D374" s="240" t="str">
        <f t="shared" si="177"/>
        <v xml:space="preserve"> </v>
      </c>
      <c r="E374" s="240" t="str">
        <f t="shared" si="177"/>
        <v xml:space="preserve"> </v>
      </c>
      <c r="F374" s="240" t="str">
        <f t="shared" si="177"/>
        <v xml:space="preserve"> </v>
      </c>
      <c r="G374" s="240" t="str">
        <f t="shared" si="177"/>
        <v xml:space="preserve"> </v>
      </c>
      <c r="H374" s="240" t="str">
        <f t="shared" si="177"/>
        <v xml:space="preserve"> </v>
      </c>
      <c r="I374" s="251" t="str">
        <f t="shared" si="177"/>
        <v xml:space="preserve"> </v>
      </c>
      <c r="J374" s="253"/>
      <c r="K374" s="254"/>
      <c r="CA374" s="238" t="str">
        <f t="shared" si="178"/>
        <v xml:space="preserve"> </v>
      </c>
      <c r="CB374" s="253"/>
      <c r="CC374" s="247"/>
      <c r="CD374" s="240" t="str">
        <f t="shared" si="179"/>
        <v xml:space="preserve"> </v>
      </c>
      <c r="CE374" s="240" t="str">
        <f t="shared" si="179"/>
        <v xml:space="preserve"> </v>
      </c>
      <c r="CF374" s="240" t="str">
        <f t="shared" si="179"/>
        <v xml:space="preserve"> </v>
      </c>
      <c r="CG374" s="240" t="str">
        <f t="shared" si="179"/>
        <v xml:space="preserve"> </v>
      </c>
      <c r="CH374" s="240" t="str">
        <f t="shared" si="179"/>
        <v xml:space="preserve"> </v>
      </c>
      <c r="CI374" s="251" t="str">
        <f t="shared" si="179"/>
        <v xml:space="preserve"> </v>
      </c>
      <c r="CJ374" s="253"/>
      <c r="CK374" s="254"/>
    </row>
    <row r="375" spans="1:89">
      <c r="A375" s="166" t="str">
        <f t="shared" si="176"/>
        <v xml:space="preserve"> </v>
      </c>
      <c r="B375" s="101"/>
      <c r="C375" s="100"/>
      <c r="D375" s="167" t="str">
        <f t="shared" si="177"/>
        <v xml:space="preserve"> </v>
      </c>
      <c r="E375" s="167" t="str">
        <f t="shared" si="177"/>
        <v xml:space="preserve"> </v>
      </c>
      <c r="F375" s="167" t="str">
        <f t="shared" si="177"/>
        <v xml:space="preserve"> </v>
      </c>
      <c r="G375" s="167" t="str">
        <f t="shared" si="177"/>
        <v xml:space="preserve"> </v>
      </c>
      <c r="H375" s="167" t="str">
        <f t="shared" si="177"/>
        <v xml:space="preserve"> </v>
      </c>
      <c r="I375" s="168" t="str">
        <f t="shared" si="177"/>
        <v xml:space="preserve"> </v>
      </c>
      <c r="J375" s="101"/>
      <c r="K375" s="165"/>
      <c r="CA375" s="166" t="str">
        <f t="shared" si="178"/>
        <v xml:space="preserve"> </v>
      </c>
      <c r="CB375" s="101"/>
      <c r="CC375" s="100"/>
      <c r="CD375" s="167" t="str">
        <f t="shared" si="179"/>
        <v xml:space="preserve"> </v>
      </c>
      <c r="CE375" s="167" t="str">
        <f t="shared" si="179"/>
        <v xml:space="preserve"> </v>
      </c>
      <c r="CF375" s="167" t="str">
        <f t="shared" si="179"/>
        <v xml:space="preserve"> </v>
      </c>
      <c r="CG375" s="167" t="str">
        <f t="shared" si="179"/>
        <v xml:space="preserve"> </v>
      </c>
      <c r="CH375" s="167" t="str">
        <f t="shared" si="179"/>
        <v xml:space="preserve"> </v>
      </c>
      <c r="CI375" s="168" t="str">
        <f t="shared" si="179"/>
        <v xml:space="preserve"> </v>
      </c>
      <c r="CJ375" s="101"/>
      <c r="CK375" s="165"/>
    </row>
    <row r="376" spans="1:89">
      <c r="A376" s="238" t="str">
        <f t="shared" si="176"/>
        <v xml:space="preserve"> </v>
      </c>
      <c r="B376" s="253"/>
      <c r="C376" s="247"/>
      <c r="D376" s="240" t="str">
        <f t="shared" si="177"/>
        <v xml:space="preserve"> </v>
      </c>
      <c r="E376" s="240" t="str">
        <f t="shared" si="177"/>
        <v xml:space="preserve"> </v>
      </c>
      <c r="F376" s="240" t="str">
        <f t="shared" si="177"/>
        <v xml:space="preserve"> </v>
      </c>
      <c r="G376" s="240" t="str">
        <f t="shared" si="177"/>
        <v xml:space="preserve"> </v>
      </c>
      <c r="H376" s="240" t="str">
        <f t="shared" si="177"/>
        <v xml:space="preserve"> </v>
      </c>
      <c r="I376" s="251" t="str">
        <f t="shared" si="177"/>
        <v xml:space="preserve"> </v>
      </c>
      <c r="J376" s="253"/>
      <c r="K376" s="254"/>
      <c r="CA376" s="238" t="str">
        <f t="shared" si="178"/>
        <v xml:space="preserve"> </v>
      </c>
      <c r="CB376" s="253"/>
      <c r="CC376" s="247"/>
      <c r="CD376" s="240" t="str">
        <f t="shared" si="179"/>
        <v xml:space="preserve"> </v>
      </c>
      <c r="CE376" s="240" t="str">
        <f t="shared" si="179"/>
        <v xml:space="preserve"> </v>
      </c>
      <c r="CF376" s="240" t="str">
        <f t="shared" si="179"/>
        <v xml:space="preserve"> </v>
      </c>
      <c r="CG376" s="240" t="str">
        <f t="shared" si="179"/>
        <v xml:space="preserve"> </v>
      </c>
      <c r="CH376" s="240" t="str">
        <f t="shared" si="179"/>
        <v xml:space="preserve"> </v>
      </c>
      <c r="CI376" s="251" t="str">
        <f t="shared" si="179"/>
        <v xml:space="preserve"> </v>
      </c>
      <c r="CJ376" s="253"/>
      <c r="CK376" s="254"/>
    </row>
    <row r="377" spans="1:89">
      <c r="A377" s="166" t="str">
        <f t="shared" si="176"/>
        <v xml:space="preserve"> </v>
      </c>
      <c r="B377" s="101"/>
      <c r="C377" s="100"/>
      <c r="D377" s="167" t="str">
        <f t="shared" si="177"/>
        <v xml:space="preserve"> </v>
      </c>
      <c r="E377" s="167" t="str">
        <f t="shared" si="177"/>
        <v xml:space="preserve"> </v>
      </c>
      <c r="F377" s="167" t="str">
        <f t="shared" si="177"/>
        <v xml:space="preserve"> </v>
      </c>
      <c r="G377" s="167" t="str">
        <f t="shared" si="177"/>
        <v xml:space="preserve"> </v>
      </c>
      <c r="H377" s="167" t="str">
        <f t="shared" si="177"/>
        <v xml:space="preserve"> </v>
      </c>
      <c r="I377" s="168" t="str">
        <f t="shared" si="177"/>
        <v xml:space="preserve"> </v>
      </c>
      <c r="J377" s="101"/>
      <c r="K377" s="165"/>
      <c r="CA377" s="166" t="str">
        <f t="shared" si="178"/>
        <v xml:space="preserve"> </v>
      </c>
      <c r="CB377" s="101"/>
      <c r="CC377" s="100"/>
      <c r="CD377" s="167" t="str">
        <f t="shared" si="179"/>
        <v xml:space="preserve"> </v>
      </c>
      <c r="CE377" s="167" t="str">
        <f t="shared" si="179"/>
        <v xml:space="preserve"> </v>
      </c>
      <c r="CF377" s="167" t="str">
        <f t="shared" si="179"/>
        <v xml:space="preserve"> </v>
      </c>
      <c r="CG377" s="167" t="str">
        <f t="shared" si="179"/>
        <v xml:space="preserve"> </v>
      </c>
      <c r="CH377" s="167" t="str">
        <f t="shared" si="179"/>
        <v xml:space="preserve"> </v>
      </c>
      <c r="CI377" s="168" t="str">
        <f t="shared" si="179"/>
        <v xml:space="preserve"> </v>
      </c>
      <c r="CJ377" s="101"/>
      <c r="CK377" s="165"/>
    </row>
    <row r="378" spans="1:89">
      <c r="A378" s="238" t="str">
        <f t="shared" si="176"/>
        <v xml:space="preserve"> </v>
      </c>
      <c r="B378" s="253"/>
      <c r="C378" s="247"/>
      <c r="D378" s="240" t="str">
        <f t="shared" si="177"/>
        <v xml:space="preserve"> </v>
      </c>
      <c r="E378" s="240" t="str">
        <f t="shared" si="177"/>
        <v xml:space="preserve"> </v>
      </c>
      <c r="F378" s="240" t="str">
        <f t="shared" si="177"/>
        <v xml:space="preserve"> </v>
      </c>
      <c r="G378" s="240" t="str">
        <f t="shared" si="177"/>
        <v xml:space="preserve"> </v>
      </c>
      <c r="H378" s="240" t="str">
        <f t="shared" si="177"/>
        <v xml:space="preserve"> </v>
      </c>
      <c r="I378" s="251" t="str">
        <f t="shared" si="177"/>
        <v xml:space="preserve"> </v>
      </c>
      <c r="J378" s="253"/>
      <c r="K378" s="254"/>
      <c r="CA378" s="238" t="str">
        <f t="shared" si="178"/>
        <v xml:space="preserve"> </v>
      </c>
      <c r="CB378" s="253"/>
      <c r="CC378" s="247"/>
      <c r="CD378" s="240" t="str">
        <f t="shared" si="179"/>
        <v xml:space="preserve"> </v>
      </c>
      <c r="CE378" s="240" t="str">
        <f t="shared" si="179"/>
        <v xml:space="preserve"> </v>
      </c>
      <c r="CF378" s="240" t="str">
        <f t="shared" si="179"/>
        <v xml:space="preserve"> </v>
      </c>
      <c r="CG378" s="240" t="str">
        <f t="shared" si="179"/>
        <v xml:space="preserve"> </v>
      </c>
      <c r="CH378" s="240" t="str">
        <f t="shared" si="179"/>
        <v xml:space="preserve"> </v>
      </c>
      <c r="CI378" s="251" t="str">
        <f t="shared" si="179"/>
        <v xml:space="preserve"> </v>
      </c>
      <c r="CJ378" s="253"/>
      <c r="CK378" s="254"/>
    </row>
    <row r="379" spans="1:89">
      <c r="A379" s="166" t="str">
        <f t="shared" si="176"/>
        <v xml:space="preserve"> </v>
      </c>
      <c r="B379" s="101"/>
      <c r="C379" s="100"/>
      <c r="D379" s="167" t="str">
        <f t="shared" si="177"/>
        <v xml:space="preserve"> </v>
      </c>
      <c r="E379" s="167" t="str">
        <f t="shared" si="177"/>
        <v xml:space="preserve"> </v>
      </c>
      <c r="F379" s="167" t="str">
        <f t="shared" si="177"/>
        <v xml:space="preserve"> </v>
      </c>
      <c r="G379" s="167" t="str">
        <f t="shared" si="177"/>
        <v xml:space="preserve"> </v>
      </c>
      <c r="H379" s="167" t="str">
        <f t="shared" si="177"/>
        <v xml:space="preserve"> </v>
      </c>
      <c r="I379" s="168" t="str">
        <f t="shared" si="177"/>
        <v xml:space="preserve"> </v>
      </c>
      <c r="J379" s="101"/>
      <c r="K379" s="165"/>
      <c r="CA379" s="166" t="str">
        <f t="shared" si="178"/>
        <v xml:space="preserve"> </v>
      </c>
      <c r="CB379" s="101"/>
      <c r="CC379" s="100"/>
      <c r="CD379" s="167" t="str">
        <f t="shared" si="179"/>
        <v xml:space="preserve"> </v>
      </c>
      <c r="CE379" s="167" t="str">
        <f t="shared" si="179"/>
        <v xml:space="preserve"> </v>
      </c>
      <c r="CF379" s="167" t="str">
        <f t="shared" si="179"/>
        <v xml:space="preserve"> </v>
      </c>
      <c r="CG379" s="167" t="str">
        <f t="shared" si="179"/>
        <v xml:space="preserve"> </v>
      </c>
      <c r="CH379" s="167" t="str">
        <f t="shared" si="179"/>
        <v xml:space="preserve"> </v>
      </c>
      <c r="CI379" s="168" t="str">
        <f t="shared" si="179"/>
        <v xml:space="preserve"> </v>
      </c>
      <c r="CJ379" s="101"/>
      <c r="CK379" s="165"/>
    </row>
    <row r="380" spans="1:89">
      <c r="A380" s="238" t="str">
        <f t="shared" si="176"/>
        <v xml:space="preserve"> </v>
      </c>
      <c r="B380" s="253"/>
      <c r="C380" s="247"/>
      <c r="D380" s="240" t="str">
        <f t="shared" si="177"/>
        <v xml:space="preserve"> </v>
      </c>
      <c r="E380" s="240" t="str">
        <f t="shared" si="177"/>
        <v xml:space="preserve"> </v>
      </c>
      <c r="F380" s="240" t="str">
        <f t="shared" si="177"/>
        <v xml:space="preserve"> </v>
      </c>
      <c r="G380" s="240" t="str">
        <f t="shared" si="177"/>
        <v xml:space="preserve"> </v>
      </c>
      <c r="H380" s="240" t="str">
        <f t="shared" si="177"/>
        <v xml:space="preserve"> </v>
      </c>
      <c r="I380" s="251" t="str">
        <f t="shared" si="177"/>
        <v xml:space="preserve"> </v>
      </c>
      <c r="J380" s="253"/>
      <c r="K380" s="254"/>
      <c r="CA380" s="238" t="str">
        <f t="shared" si="178"/>
        <v xml:space="preserve"> </v>
      </c>
      <c r="CB380" s="253"/>
      <c r="CC380" s="247"/>
      <c r="CD380" s="240" t="str">
        <f t="shared" si="179"/>
        <v xml:space="preserve"> </v>
      </c>
      <c r="CE380" s="240" t="str">
        <f t="shared" si="179"/>
        <v xml:space="preserve"> </v>
      </c>
      <c r="CF380" s="240" t="str">
        <f t="shared" si="179"/>
        <v xml:space="preserve"> </v>
      </c>
      <c r="CG380" s="240" t="str">
        <f t="shared" si="179"/>
        <v xml:space="preserve"> </v>
      </c>
      <c r="CH380" s="240" t="str">
        <f t="shared" si="179"/>
        <v xml:space="preserve"> </v>
      </c>
      <c r="CI380" s="251" t="str">
        <f t="shared" si="179"/>
        <v xml:space="preserve"> </v>
      </c>
      <c r="CJ380" s="253"/>
      <c r="CK380" s="254"/>
    </row>
    <row r="381" spans="1:89">
      <c r="A381" s="166" t="str">
        <f t="shared" si="176"/>
        <v xml:space="preserve"> </v>
      </c>
      <c r="B381" s="101"/>
      <c r="C381" s="100"/>
      <c r="D381" s="167" t="str">
        <f t="shared" ref="D381:I382" si="180">IF(AND(D1081&gt;0,$D$2&gt;3),D1081," ")</f>
        <v xml:space="preserve"> </v>
      </c>
      <c r="E381" s="167" t="str">
        <f t="shared" si="180"/>
        <v xml:space="preserve"> </v>
      </c>
      <c r="F381" s="167" t="str">
        <f t="shared" si="180"/>
        <v xml:space="preserve"> </v>
      </c>
      <c r="G381" s="167" t="str">
        <f t="shared" si="180"/>
        <v xml:space="preserve"> </v>
      </c>
      <c r="H381" s="167" t="str">
        <f t="shared" si="180"/>
        <v xml:space="preserve"> </v>
      </c>
      <c r="I381" s="168" t="str">
        <f t="shared" si="180"/>
        <v xml:space="preserve"> </v>
      </c>
      <c r="J381" s="101"/>
      <c r="K381" s="165"/>
      <c r="CA381" s="166" t="str">
        <f t="shared" si="178"/>
        <v xml:space="preserve"> </v>
      </c>
      <c r="CB381" s="101"/>
      <c r="CC381" s="100"/>
      <c r="CD381" s="167" t="str">
        <f t="shared" ref="CD381:CI382" si="181">IF(AND(CD1081&gt;0,$D$2&gt;3),CD1081," ")</f>
        <v xml:space="preserve"> </v>
      </c>
      <c r="CE381" s="167" t="str">
        <f t="shared" si="181"/>
        <v xml:space="preserve"> </v>
      </c>
      <c r="CF381" s="167" t="str">
        <f t="shared" si="181"/>
        <v xml:space="preserve"> </v>
      </c>
      <c r="CG381" s="167" t="str">
        <f t="shared" si="181"/>
        <v xml:space="preserve"> </v>
      </c>
      <c r="CH381" s="167" t="str">
        <f t="shared" si="181"/>
        <v xml:space="preserve"> </v>
      </c>
      <c r="CI381" s="168" t="str">
        <f t="shared" si="181"/>
        <v xml:space="preserve"> </v>
      </c>
      <c r="CJ381" s="101"/>
      <c r="CK381" s="165"/>
    </row>
    <row r="382" spans="1:89">
      <c r="A382" s="246" t="str">
        <f t="shared" si="176"/>
        <v xml:space="preserve"> </v>
      </c>
      <c r="B382" s="258"/>
      <c r="C382" s="247"/>
      <c r="D382" s="247" t="str">
        <f t="shared" si="180"/>
        <v xml:space="preserve"> </v>
      </c>
      <c r="E382" s="247" t="str">
        <f t="shared" si="180"/>
        <v xml:space="preserve"> </v>
      </c>
      <c r="F382" s="247" t="str">
        <f t="shared" si="180"/>
        <v xml:space="preserve"> </v>
      </c>
      <c r="G382" s="247" t="str">
        <f t="shared" si="180"/>
        <v xml:space="preserve"> </v>
      </c>
      <c r="H382" s="247" t="str">
        <f t="shared" si="180"/>
        <v xml:space="preserve"> </v>
      </c>
      <c r="I382" s="256" t="str">
        <f t="shared" si="180"/>
        <v xml:space="preserve"> </v>
      </c>
      <c r="J382" s="258"/>
      <c r="K382" s="259"/>
      <c r="CA382" s="246" t="str">
        <f t="shared" si="178"/>
        <v xml:space="preserve"> </v>
      </c>
      <c r="CB382" s="258"/>
      <c r="CC382" s="247"/>
      <c r="CD382" s="247" t="str">
        <f t="shared" si="181"/>
        <v xml:space="preserve"> </v>
      </c>
      <c r="CE382" s="247" t="str">
        <f t="shared" si="181"/>
        <v xml:space="preserve"> </v>
      </c>
      <c r="CF382" s="247" t="str">
        <f t="shared" si="181"/>
        <v xml:space="preserve"> </v>
      </c>
      <c r="CG382" s="247" t="str">
        <f t="shared" si="181"/>
        <v xml:space="preserve"> </v>
      </c>
      <c r="CH382" s="247" t="str">
        <f t="shared" si="181"/>
        <v xml:space="preserve"> </v>
      </c>
      <c r="CI382" s="256" t="str">
        <f t="shared" si="181"/>
        <v xml:space="preserve"> </v>
      </c>
      <c r="CJ382" s="258"/>
      <c r="CK382" s="259"/>
    </row>
    <row r="383" spans="1:89">
      <c r="A383" s="179" t="s">
        <v>5026</v>
      </c>
      <c r="B383" s="102"/>
      <c r="C383" s="175" t="s">
        <v>5018</v>
      </c>
      <c r="D383" s="175" t="s">
        <v>5701</v>
      </c>
      <c r="E383" s="175" t="s">
        <v>5019</v>
      </c>
      <c r="F383" s="175" t="s">
        <v>5020</v>
      </c>
      <c r="G383" s="175" t="s">
        <v>5021</v>
      </c>
      <c r="H383" s="175" t="s">
        <v>5022</v>
      </c>
      <c r="I383" s="221" t="s">
        <v>5316</v>
      </c>
      <c r="J383" s="176"/>
      <c r="K383" s="180"/>
      <c r="CA383" s="179" t="s">
        <v>5026</v>
      </c>
      <c r="CB383" s="102"/>
      <c r="CC383" s="175" t="s">
        <v>5018</v>
      </c>
      <c r="CD383" s="175" t="s">
        <v>5701</v>
      </c>
      <c r="CE383" s="175" t="s">
        <v>5019</v>
      </c>
      <c r="CF383" s="175" t="s">
        <v>5020</v>
      </c>
      <c r="CG383" s="175" t="s">
        <v>5021</v>
      </c>
      <c r="CH383" s="175" t="s">
        <v>5022</v>
      </c>
      <c r="CI383" s="221" t="s">
        <v>5316</v>
      </c>
      <c r="CJ383" s="176"/>
      <c r="CK383" s="180"/>
    </row>
    <row r="384" spans="1:89">
      <c r="A384" s="166" t="str">
        <f t="shared" ref="A384:A402" si="182">IF(AND(A1084&gt;0,$D$2&gt;4),A1084," ")</f>
        <v xml:space="preserve"> </v>
      </c>
      <c r="B384" s="101"/>
      <c r="C384" s="100"/>
      <c r="D384" s="167" t="str">
        <f t="shared" ref="D384:I399" si="183">IF(AND(D1084&gt;0,$D$2&gt;4),D1084," ")</f>
        <v xml:space="preserve"> </v>
      </c>
      <c r="E384" s="167" t="str">
        <f t="shared" si="183"/>
        <v xml:space="preserve"> </v>
      </c>
      <c r="F384" s="167" t="str">
        <f t="shared" si="183"/>
        <v xml:space="preserve"> </v>
      </c>
      <c r="G384" s="167" t="str">
        <f t="shared" si="183"/>
        <v xml:space="preserve"> </v>
      </c>
      <c r="H384" s="167" t="str">
        <f t="shared" si="183"/>
        <v xml:space="preserve"> </v>
      </c>
      <c r="I384" s="168" t="str">
        <f t="shared" si="183"/>
        <v xml:space="preserve"> </v>
      </c>
      <c r="J384" s="101"/>
      <c r="K384" s="165"/>
      <c r="CA384" s="166" t="str">
        <f t="shared" ref="CA384:CA402" si="184">IF(AND(CA1084&gt;0,$D$2&gt;4),CA1084," ")</f>
        <v xml:space="preserve"> </v>
      </c>
      <c r="CB384" s="101"/>
      <c r="CC384" s="100"/>
      <c r="CD384" s="167" t="str">
        <f t="shared" ref="CD384:CI399" si="185">IF(AND(CD1084&gt;0,$D$2&gt;4),CD1084," ")</f>
        <v xml:space="preserve"> </v>
      </c>
      <c r="CE384" s="167" t="str">
        <f t="shared" si="185"/>
        <v xml:space="preserve"> </v>
      </c>
      <c r="CF384" s="167" t="str">
        <f t="shared" si="185"/>
        <v xml:space="preserve"> </v>
      </c>
      <c r="CG384" s="167" t="str">
        <f t="shared" si="185"/>
        <v xml:space="preserve"> </v>
      </c>
      <c r="CH384" s="167" t="str">
        <f t="shared" si="185"/>
        <v xml:space="preserve"> </v>
      </c>
      <c r="CI384" s="168" t="str">
        <f t="shared" si="185"/>
        <v xml:space="preserve"> </v>
      </c>
      <c r="CJ384" s="101"/>
      <c r="CK384" s="165"/>
    </row>
    <row r="385" spans="1:89">
      <c r="A385" s="238" t="str">
        <f t="shared" si="182"/>
        <v xml:space="preserve"> </v>
      </c>
      <c r="B385" s="253"/>
      <c r="C385" s="247"/>
      <c r="D385" s="240" t="str">
        <f t="shared" si="183"/>
        <v xml:space="preserve"> </v>
      </c>
      <c r="E385" s="240" t="str">
        <f t="shared" si="183"/>
        <v xml:space="preserve"> </v>
      </c>
      <c r="F385" s="240" t="str">
        <f t="shared" si="183"/>
        <v xml:space="preserve"> </v>
      </c>
      <c r="G385" s="240" t="str">
        <f t="shared" si="183"/>
        <v xml:space="preserve"> </v>
      </c>
      <c r="H385" s="240" t="str">
        <f t="shared" si="183"/>
        <v xml:space="preserve"> </v>
      </c>
      <c r="I385" s="251" t="str">
        <f t="shared" si="183"/>
        <v xml:space="preserve"> </v>
      </c>
      <c r="J385" s="253"/>
      <c r="K385" s="254"/>
      <c r="CA385" s="238" t="str">
        <f t="shared" si="184"/>
        <v xml:space="preserve"> </v>
      </c>
      <c r="CB385" s="253"/>
      <c r="CC385" s="247"/>
      <c r="CD385" s="240" t="str">
        <f t="shared" si="185"/>
        <v xml:space="preserve"> </v>
      </c>
      <c r="CE385" s="240" t="str">
        <f t="shared" si="185"/>
        <v xml:space="preserve"> </v>
      </c>
      <c r="CF385" s="240" t="str">
        <f t="shared" si="185"/>
        <v xml:space="preserve"> </v>
      </c>
      <c r="CG385" s="240" t="str">
        <f t="shared" si="185"/>
        <v xml:space="preserve"> </v>
      </c>
      <c r="CH385" s="240" t="str">
        <f t="shared" si="185"/>
        <v xml:space="preserve"> </v>
      </c>
      <c r="CI385" s="251" t="str">
        <f t="shared" si="185"/>
        <v xml:space="preserve"> </v>
      </c>
      <c r="CJ385" s="253"/>
      <c r="CK385" s="254"/>
    </row>
    <row r="386" spans="1:89">
      <c r="A386" s="166" t="str">
        <f t="shared" si="182"/>
        <v xml:space="preserve"> </v>
      </c>
      <c r="B386" s="101"/>
      <c r="C386" s="100"/>
      <c r="D386" s="167" t="str">
        <f t="shared" si="183"/>
        <v xml:space="preserve"> </v>
      </c>
      <c r="E386" s="167" t="str">
        <f t="shared" si="183"/>
        <v xml:space="preserve"> </v>
      </c>
      <c r="F386" s="167" t="str">
        <f t="shared" si="183"/>
        <v xml:space="preserve"> </v>
      </c>
      <c r="G386" s="167" t="str">
        <f t="shared" si="183"/>
        <v xml:space="preserve"> </v>
      </c>
      <c r="H386" s="167" t="str">
        <f t="shared" si="183"/>
        <v xml:space="preserve"> </v>
      </c>
      <c r="I386" s="168" t="str">
        <f t="shared" si="183"/>
        <v xml:space="preserve"> </v>
      </c>
      <c r="J386" s="101"/>
      <c r="K386" s="165"/>
      <c r="CA386" s="166" t="str">
        <f t="shared" si="184"/>
        <v xml:space="preserve"> </v>
      </c>
      <c r="CB386" s="101"/>
      <c r="CC386" s="100"/>
      <c r="CD386" s="167" t="str">
        <f t="shared" si="185"/>
        <v xml:space="preserve"> </v>
      </c>
      <c r="CE386" s="167" t="str">
        <f t="shared" si="185"/>
        <v xml:space="preserve"> </v>
      </c>
      <c r="CF386" s="167" t="str">
        <f t="shared" si="185"/>
        <v xml:space="preserve"> </v>
      </c>
      <c r="CG386" s="167" t="str">
        <f t="shared" si="185"/>
        <v xml:space="preserve"> </v>
      </c>
      <c r="CH386" s="167" t="str">
        <f t="shared" si="185"/>
        <v xml:space="preserve"> </v>
      </c>
      <c r="CI386" s="168" t="str">
        <f t="shared" si="185"/>
        <v xml:space="preserve"> </v>
      </c>
      <c r="CJ386" s="101"/>
      <c r="CK386" s="165"/>
    </row>
    <row r="387" spans="1:89">
      <c r="A387" s="238" t="str">
        <f t="shared" si="182"/>
        <v xml:space="preserve"> </v>
      </c>
      <c r="B387" s="253"/>
      <c r="C387" s="247"/>
      <c r="D387" s="240" t="str">
        <f t="shared" si="183"/>
        <v xml:space="preserve"> </v>
      </c>
      <c r="E387" s="240" t="str">
        <f t="shared" si="183"/>
        <v xml:space="preserve"> </v>
      </c>
      <c r="F387" s="240" t="str">
        <f t="shared" si="183"/>
        <v xml:space="preserve"> </v>
      </c>
      <c r="G387" s="240" t="str">
        <f t="shared" si="183"/>
        <v xml:space="preserve"> </v>
      </c>
      <c r="H387" s="240" t="str">
        <f t="shared" si="183"/>
        <v xml:space="preserve"> </v>
      </c>
      <c r="I387" s="251" t="str">
        <f t="shared" si="183"/>
        <v xml:space="preserve"> </v>
      </c>
      <c r="J387" s="253"/>
      <c r="K387" s="254"/>
      <c r="CA387" s="238" t="str">
        <f t="shared" si="184"/>
        <v xml:space="preserve"> </v>
      </c>
      <c r="CB387" s="253"/>
      <c r="CC387" s="247"/>
      <c r="CD387" s="240" t="str">
        <f t="shared" si="185"/>
        <v xml:space="preserve"> </v>
      </c>
      <c r="CE387" s="240" t="str">
        <f t="shared" si="185"/>
        <v xml:space="preserve"> </v>
      </c>
      <c r="CF387" s="240" t="str">
        <f t="shared" si="185"/>
        <v xml:space="preserve"> </v>
      </c>
      <c r="CG387" s="240" t="str">
        <f t="shared" si="185"/>
        <v xml:space="preserve"> </v>
      </c>
      <c r="CH387" s="240" t="str">
        <f t="shared" si="185"/>
        <v xml:space="preserve"> </v>
      </c>
      <c r="CI387" s="251" t="str">
        <f t="shared" si="185"/>
        <v xml:space="preserve"> </v>
      </c>
      <c r="CJ387" s="253"/>
      <c r="CK387" s="254"/>
    </row>
    <row r="388" spans="1:89">
      <c r="A388" s="166" t="str">
        <f t="shared" si="182"/>
        <v xml:space="preserve"> </v>
      </c>
      <c r="B388" s="101"/>
      <c r="C388" s="100"/>
      <c r="D388" s="167" t="str">
        <f t="shared" si="183"/>
        <v xml:space="preserve"> </v>
      </c>
      <c r="E388" s="167" t="str">
        <f t="shared" si="183"/>
        <v xml:space="preserve"> </v>
      </c>
      <c r="F388" s="167" t="str">
        <f t="shared" si="183"/>
        <v xml:space="preserve"> </v>
      </c>
      <c r="G388" s="167" t="str">
        <f t="shared" si="183"/>
        <v xml:space="preserve"> </v>
      </c>
      <c r="H388" s="167" t="str">
        <f t="shared" si="183"/>
        <v xml:space="preserve"> </v>
      </c>
      <c r="I388" s="168" t="str">
        <f t="shared" si="183"/>
        <v xml:space="preserve"> </v>
      </c>
      <c r="J388" s="101"/>
      <c r="K388" s="165"/>
      <c r="CA388" s="166" t="str">
        <f t="shared" si="184"/>
        <v xml:space="preserve"> </v>
      </c>
      <c r="CB388" s="101"/>
      <c r="CC388" s="100"/>
      <c r="CD388" s="167" t="str">
        <f t="shared" si="185"/>
        <v xml:space="preserve"> </v>
      </c>
      <c r="CE388" s="167" t="str">
        <f t="shared" si="185"/>
        <v xml:space="preserve"> </v>
      </c>
      <c r="CF388" s="167" t="str">
        <f t="shared" si="185"/>
        <v xml:space="preserve"> </v>
      </c>
      <c r="CG388" s="167" t="str">
        <f t="shared" si="185"/>
        <v xml:space="preserve"> </v>
      </c>
      <c r="CH388" s="167" t="str">
        <f t="shared" si="185"/>
        <v xml:space="preserve"> </v>
      </c>
      <c r="CI388" s="168" t="str">
        <f t="shared" si="185"/>
        <v xml:space="preserve"> </v>
      </c>
      <c r="CJ388" s="101"/>
      <c r="CK388" s="165"/>
    </row>
    <row r="389" spans="1:89">
      <c r="A389" s="238" t="str">
        <f t="shared" si="182"/>
        <v xml:space="preserve"> </v>
      </c>
      <c r="B389" s="253"/>
      <c r="C389" s="247"/>
      <c r="D389" s="240" t="str">
        <f t="shared" si="183"/>
        <v xml:space="preserve"> </v>
      </c>
      <c r="E389" s="240" t="str">
        <f t="shared" si="183"/>
        <v xml:space="preserve"> </v>
      </c>
      <c r="F389" s="240" t="str">
        <f t="shared" si="183"/>
        <v xml:space="preserve"> </v>
      </c>
      <c r="G389" s="240" t="str">
        <f t="shared" si="183"/>
        <v xml:space="preserve"> </v>
      </c>
      <c r="H389" s="240" t="str">
        <f t="shared" si="183"/>
        <v xml:space="preserve"> </v>
      </c>
      <c r="I389" s="251" t="str">
        <f t="shared" si="183"/>
        <v xml:space="preserve"> </v>
      </c>
      <c r="J389" s="253"/>
      <c r="K389" s="254"/>
      <c r="CA389" s="238" t="str">
        <f t="shared" si="184"/>
        <v xml:space="preserve"> </v>
      </c>
      <c r="CB389" s="253"/>
      <c r="CC389" s="247"/>
      <c r="CD389" s="240" t="str">
        <f t="shared" si="185"/>
        <v xml:space="preserve"> </v>
      </c>
      <c r="CE389" s="240" t="str">
        <f t="shared" si="185"/>
        <v xml:space="preserve"> </v>
      </c>
      <c r="CF389" s="240" t="str">
        <f t="shared" si="185"/>
        <v xml:space="preserve"> </v>
      </c>
      <c r="CG389" s="240" t="str">
        <f t="shared" si="185"/>
        <v xml:space="preserve"> </v>
      </c>
      <c r="CH389" s="240" t="str">
        <f t="shared" si="185"/>
        <v xml:space="preserve"> </v>
      </c>
      <c r="CI389" s="251" t="str">
        <f t="shared" si="185"/>
        <v xml:space="preserve"> </v>
      </c>
      <c r="CJ389" s="253"/>
      <c r="CK389" s="254"/>
    </row>
    <row r="390" spans="1:89">
      <c r="A390" s="166" t="str">
        <f t="shared" si="182"/>
        <v xml:space="preserve"> </v>
      </c>
      <c r="B390" s="101"/>
      <c r="C390" s="100"/>
      <c r="D390" s="167" t="str">
        <f t="shared" si="183"/>
        <v xml:space="preserve"> </v>
      </c>
      <c r="E390" s="167" t="str">
        <f t="shared" si="183"/>
        <v xml:space="preserve"> </v>
      </c>
      <c r="F390" s="167" t="str">
        <f t="shared" si="183"/>
        <v xml:space="preserve"> </v>
      </c>
      <c r="G390" s="167" t="str">
        <f t="shared" si="183"/>
        <v xml:space="preserve"> </v>
      </c>
      <c r="H390" s="167" t="str">
        <f t="shared" si="183"/>
        <v xml:space="preserve"> </v>
      </c>
      <c r="I390" s="168" t="str">
        <f t="shared" si="183"/>
        <v xml:space="preserve"> </v>
      </c>
      <c r="J390" s="101"/>
      <c r="K390" s="165"/>
      <c r="CA390" s="166" t="str">
        <f t="shared" si="184"/>
        <v xml:space="preserve"> </v>
      </c>
      <c r="CB390" s="101"/>
      <c r="CC390" s="100"/>
      <c r="CD390" s="167" t="str">
        <f t="shared" si="185"/>
        <v xml:space="preserve"> </v>
      </c>
      <c r="CE390" s="167" t="str">
        <f t="shared" si="185"/>
        <v xml:space="preserve"> </v>
      </c>
      <c r="CF390" s="167" t="str">
        <f t="shared" si="185"/>
        <v xml:space="preserve"> </v>
      </c>
      <c r="CG390" s="167" t="str">
        <f t="shared" si="185"/>
        <v xml:space="preserve"> </v>
      </c>
      <c r="CH390" s="167" t="str">
        <f t="shared" si="185"/>
        <v xml:space="preserve"> </v>
      </c>
      <c r="CI390" s="168" t="str">
        <f t="shared" si="185"/>
        <v xml:space="preserve"> </v>
      </c>
      <c r="CJ390" s="101"/>
      <c r="CK390" s="165"/>
    </row>
    <row r="391" spans="1:89">
      <c r="A391" s="238" t="str">
        <f t="shared" si="182"/>
        <v xml:space="preserve"> </v>
      </c>
      <c r="B391" s="253"/>
      <c r="C391" s="247"/>
      <c r="D391" s="240" t="str">
        <f t="shared" si="183"/>
        <v xml:space="preserve"> </v>
      </c>
      <c r="E391" s="240" t="str">
        <f t="shared" si="183"/>
        <v xml:space="preserve"> </v>
      </c>
      <c r="F391" s="240" t="str">
        <f t="shared" si="183"/>
        <v xml:space="preserve"> </v>
      </c>
      <c r="G391" s="240" t="str">
        <f t="shared" si="183"/>
        <v xml:space="preserve"> </v>
      </c>
      <c r="H391" s="240" t="str">
        <f t="shared" si="183"/>
        <v xml:space="preserve"> </v>
      </c>
      <c r="I391" s="251" t="str">
        <f t="shared" si="183"/>
        <v xml:space="preserve"> </v>
      </c>
      <c r="J391" s="253"/>
      <c r="K391" s="254"/>
      <c r="CA391" s="238" t="str">
        <f t="shared" si="184"/>
        <v xml:space="preserve"> </v>
      </c>
      <c r="CB391" s="253"/>
      <c r="CC391" s="247"/>
      <c r="CD391" s="240" t="str">
        <f t="shared" si="185"/>
        <v xml:space="preserve"> </v>
      </c>
      <c r="CE391" s="240" t="str">
        <f t="shared" si="185"/>
        <v xml:space="preserve"> </v>
      </c>
      <c r="CF391" s="240" t="str">
        <f t="shared" si="185"/>
        <v xml:space="preserve"> </v>
      </c>
      <c r="CG391" s="240" t="str">
        <f t="shared" si="185"/>
        <v xml:space="preserve"> </v>
      </c>
      <c r="CH391" s="240" t="str">
        <f t="shared" si="185"/>
        <v xml:space="preserve"> </v>
      </c>
      <c r="CI391" s="251" t="str">
        <f t="shared" si="185"/>
        <v xml:space="preserve"> </v>
      </c>
      <c r="CJ391" s="253"/>
      <c r="CK391" s="254"/>
    </row>
    <row r="392" spans="1:89">
      <c r="A392" s="166" t="str">
        <f t="shared" si="182"/>
        <v xml:space="preserve"> </v>
      </c>
      <c r="B392" s="101"/>
      <c r="C392" s="100"/>
      <c r="D392" s="167" t="str">
        <f t="shared" si="183"/>
        <v xml:space="preserve"> </v>
      </c>
      <c r="E392" s="167" t="str">
        <f t="shared" si="183"/>
        <v xml:space="preserve"> </v>
      </c>
      <c r="F392" s="167" t="str">
        <f t="shared" si="183"/>
        <v xml:space="preserve"> </v>
      </c>
      <c r="G392" s="167" t="str">
        <f t="shared" si="183"/>
        <v xml:space="preserve"> </v>
      </c>
      <c r="H392" s="167" t="str">
        <f t="shared" si="183"/>
        <v xml:space="preserve"> </v>
      </c>
      <c r="I392" s="168" t="str">
        <f t="shared" si="183"/>
        <v xml:space="preserve"> </v>
      </c>
      <c r="J392" s="101"/>
      <c r="K392" s="165"/>
      <c r="CA392" s="166" t="str">
        <f t="shared" si="184"/>
        <v xml:space="preserve"> </v>
      </c>
      <c r="CB392" s="101"/>
      <c r="CC392" s="100"/>
      <c r="CD392" s="167" t="str">
        <f t="shared" si="185"/>
        <v xml:space="preserve"> </v>
      </c>
      <c r="CE392" s="167" t="str">
        <f t="shared" si="185"/>
        <v xml:space="preserve"> </v>
      </c>
      <c r="CF392" s="167" t="str">
        <f t="shared" si="185"/>
        <v xml:space="preserve"> </v>
      </c>
      <c r="CG392" s="167" t="str">
        <f t="shared" si="185"/>
        <v xml:space="preserve"> </v>
      </c>
      <c r="CH392" s="167" t="str">
        <f t="shared" si="185"/>
        <v xml:space="preserve"> </v>
      </c>
      <c r="CI392" s="168" t="str">
        <f t="shared" si="185"/>
        <v xml:space="preserve"> </v>
      </c>
      <c r="CJ392" s="101"/>
      <c r="CK392" s="165"/>
    </row>
    <row r="393" spans="1:89">
      <c r="A393" s="238" t="str">
        <f t="shared" si="182"/>
        <v xml:space="preserve"> </v>
      </c>
      <c r="B393" s="253"/>
      <c r="C393" s="247"/>
      <c r="D393" s="240" t="str">
        <f t="shared" si="183"/>
        <v xml:space="preserve"> </v>
      </c>
      <c r="E393" s="240" t="str">
        <f t="shared" si="183"/>
        <v xml:space="preserve"> </v>
      </c>
      <c r="F393" s="240" t="str">
        <f t="shared" si="183"/>
        <v xml:space="preserve"> </v>
      </c>
      <c r="G393" s="240" t="str">
        <f t="shared" si="183"/>
        <v xml:space="preserve"> </v>
      </c>
      <c r="H393" s="240" t="str">
        <f t="shared" si="183"/>
        <v xml:space="preserve"> </v>
      </c>
      <c r="I393" s="251" t="str">
        <f t="shared" si="183"/>
        <v xml:space="preserve"> </v>
      </c>
      <c r="J393" s="253"/>
      <c r="K393" s="254"/>
      <c r="CA393" s="238" t="str">
        <f t="shared" si="184"/>
        <v xml:space="preserve"> </v>
      </c>
      <c r="CB393" s="253"/>
      <c r="CC393" s="247"/>
      <c r="CD393" s="240" t="str">
        <f t="shared" si="185"/>
        <v xml:space="preserve"> </v>
      </c>
      <c r="CE393" s="240" t="str">
        <f t="shared" si="185"/>
        <v xml:space="preserve"> </v>
      </c>
      <c r="CF393" s="240" t="str">
        <f t="shared" si="185"/>
        <v xml:space="preserve"> </v>
      </c>
      <c r="CG393" s="240" t="str">
        <f t="shared" si="185"/>
        <v xml:space="preserve"> </v>
      </c>
      <c r="CH393" s="240" t="str">
        <f t="shared" si="185"/>
        <v xml:space="preserve"> </v>
      </c>
      <c r="CI393" s="251" t="str">
        <f t="shared" si="185"/>
        <v xml:space="preserve"> </v>
      </c>
      <c r="CJ393" s="253"/>
      <c r="CK393" s="254"/>
    </row>
    <row r="394" spans="1:89">
      <c r="A394" s="166" t="str">
        <f t="shared" si="182"/>
        <v xml:space="preserve"> </v>
      </c>
      <c r="B394" s="101"/>
      <c r="C394" s="100"/>
      <c r="D394" s="167" t="str">
        <f t="shared" si="183"/>
        <v xml:space="preserve"> </v>
      </c>
      <c r="E394" s="167" t="str">
        <f t="shared" si="183"/>
        <v xml:space="preserve"> </v>
      </c>
      <c r="F394" s="167" t="str">
        <f t="shared" si="183"/>
        <v xml:space="preserve"> </v>
      </c>
      <c r="G394" s="167" t="str">
        <f t="shared" si="183"/>
        <v xml:space="preserve"> </v>
      </c>
      <c r="H394" s="167" t="str">
        <f t="shared" si="183"/>
        <v xml:space="preserve"> </v>
      </c>
      <c r="I394" s="168" t="str">
        <f t="shared" si="183"/>
        <v xml:space="preserve"> </v>
      </c>
      <c r="J394" s="101"/>
      <c r="K394" s="165"/>
      <c r="CA394" s="166" t="str">
        <f t="shared" si="184"/>
        <v xml:space="preserve"> </v>
      </c>
      <c r="CB394" s="101"/>
      <c r="CC394" s="100"/>
      <c r="CD394" s="167" t="str">
        <f t="shared" si="185"/>
        <v xml:space="preserve"> </v>
      </c>
      <c r="CE394" s="167" t="str">
        <f t="shared" si="185"/>
        <v xml:space="preserve"> </v>
      </c>
      <c r="CF394" s="167" t="str">
        <f t="shared" si="185"/>
        <v xml:space="preserve"> </v>
      </c>
      <c r="CG394" s="167" t="str">
        <f t="shared" si="185"/>
        <v xml:space="preserve"> </v>
      </c>
      <c r="CH394" s="167" t="str">
        <f t="shared" si="185"/>
        <v xml:space="preserve"> </v>
      </c>
      <c r="CI394" s="168" t="str">
        <f t="shared" si="185"/>
        <v xml:space="preserve"> </v>
      </c>
      <c r="CJ394" s="101"/>
      <c r="CK394" s="165"/>
    </row>
    <row r="395" spans="1:89">
      <c r="A395" s="238" t="str">
        <f t="shared" si="182"/>
        <v xml:space="preserve"> </v>
      </c>
      <c r="B395" s="253"/>
      <c r="C395" s="247"/>
      <c r="D395" s="240" t="str">
        <f t="shared" si="183"/>
        <v xml:space="preserve"> </v>
      </c>
      <c r="E395" s="240" t="str">
        <f t="shared" si="183"/>
        <v xml:space="preserve"> </v>
      </c>
      <c r="F395" s="240" t="str">
        <f t="shared" si="183"/>
        <v xml:space="preserve"> </v>
      </c>
      <c r="G395" s="240" t="str">
        <f t="shared" si="183"/>
        <v xml:space="preserve"> </v>
      </c>
      <c r="H395" s="240" t="str">
        <f t="shared" si="183"/>
        <v xml:space="preserve"> </v>
      </c>
      <c r="I395" s="251" t="str">
        <f t="shared" si="183"/>
        <v xml:space="preserve"> </v>
      </c>
      <c r="J395" s="253"/>
      <c r="K395" s="254"/>
      <c r="CA395" s="238" t="str">
        <f t="shared" si="184"/>
        <v xml:space="preserve"> </v>
      </c>
      <c r="CB395" s="253"/>
      <c r="CC395" s="247"/>
      <c r="CD395" s="240" t="str">
        <f t="shared" si="185"/>
        <v xml:space="preserve"> </v>
      </c>
      <c r="CE395" s="240" t="str">
        <f t="shared" si="185"/>
        <v xml:space="preserve"> </v>
      </c>
      <c r="CF395" s="240" t="str">
        <f t="shared" si="185"/>
        <v xml:space="preserve"> </v>
      </c>
      <c r="CG395" s="240" t="str">
        <f t="shared" si="185"/>
        <v xml:space="preserve"> </v>
      </c>
      <c r="CH395" s="240" t="str">
        <f t="shared" si="185"/>
        <v xml:space="preserve"> </v>
      </c>
      <c r="CI395" s="251" t="str">
        <f t="shared" si="185"/>
        <v xml:space="preserve"> </v>
      </c>
      <c r="CJ395" s="253"/>
      <c r="CK395" s="254"/>
    </row>
    <row r="396" spans="1:89">
      <c r="A396" s="166" t="str">
        <f t="shared" si="182"/>
        <v xml:space="preserve"> </v>
      </c>
      <c r="B396" s="101"/>
      <c r="C396" s="100"/>
      <c r="D396" s="167" t="str">
        <f t="shared" si="183"/>
        <v xml:space="preserve"> </v>
      </c>
      <c r="E396" s="167" t="str">
        <f t="shared" si="183"/>
        <v xml:space="preserve"> </v>
      </c>
      <c r="F396" s="167" t="str">
        <f t="shared" si="183"/>
        <v xml:space="preserve"> </v>
      </c>
      <c r="G396" s="167" t="str">
        <f t="shared" si="183"/>
        <v xml:space="preserve"> </v>
      </c>
      <c r="H396" s="167" t="str">
        <f t="shared" si="183"/>
        <v xml:space="preserve"> </v>
      </c>
      <c r="I396" s="168" t="str">
        <f t="shared" si="183"/>
        <v xml:space="preserve"> </v>
      </c>
      <c r="J396" s="101"/>
      <c r="K396" s="165"/>
      <c r="CA396" s="166" t="str">
        <f t="shared" si="184"/>
        <v xml:space="preserve"> </v>
      </c>
      <c r="CB396" s="101"/>
      <c r="CC396" s="100"/>
      <c r="CD396" s="167" t="str">
        <f t="shared" si="185"/>
        <v xml:space="preserve"> </v>
      </c>
      <c r="CE396" s="167" t="str">
        <f t="shared" si="185"/>
        <v xml:space="preserve"> </v>
      </c>
      <c r="CF396" s="167" t="str">
        <f t="shared" si="185"/>
        <v xml:space="preserve"> </v>
      </c>
      <c r="CG396" s="167" t="str">
        <f t="shared" si="185"/>
        <v xml:space="preserve"> </v>
      </c>
      <c r="CH396" s="167" t="str">
        <f t="shared" si="185"/>
        <v xml:space="preserve"> </v>
      </c>
      <c r="CI396" s="168" t="str">
        <f t="shared" si="185"/>
        <v xml:space="preserve"> </v>
      </c>
      <c r="CJ396" s="101"/>
      <c r="CK396" s="165"/>
    </row>
    <row r="397" spans="1:89">
      <c r="A397" s="238" t="str">
        <f t="shared" si="182"/>
        <v xml:space="preserve"> </v>
      </c>
      <c r="B397" s="253"/>
      <c r="C397" s="247"/>
      <c r="D397" s="240" t="str">
        <f t="shared" si="183"/>
        <v xml:space="preserve"> </v>
      </c>
      <c r="E397" s="240" t="str">
        <f t="shared" si="183"/>
        <v xml:space="preserve"> </v>
      </c>
      <c r="F397" s="240" t="str">
        <f t="shared" si="183"/>
        <v xml:space="preserve"> </v>
      </c>
      <c r="G397" s="240" t="str">
        <f t="shared" si="183"/>
        <v xml:space="preserve"> </v>
      </c>
      <c r="H397" s="240" t="str">
        <f t="shared" si="183"/>
        <v xml:space="preserve"> </v>
      </c>
      <c r="I397" s="251" t="str">
        <f t="shared" si="183"/>
        <v xml:space="preserve"> </v>
      </c>
      <c r="J397" s="253"/>
      <c r="K397" s="254"/>
      <c r="CA397" s="238" t="str">
        <f t="shared" si="184"/>
        <v xml:space="preserve"> </v>
      </c>
      <c r="CB397" s="253"/>
      <c r="CC397" s="247"/>
      <c r="CD397" s="240" t="str">
        <f t="shared" si="185"/>
        <v xml:space="preserve"> </v>
      </c>
      <c r="CE397" s="240" t="str">
        <f t="shared" si="185"/>
        <v xml:space="preserve"> </v>
      </c>
      <c r="CF397" s="240" t="str">
        <f t="shared" si="185"/>
        <v xml:space="preserve"> </v>
      </c>
      <c r="CG397" s="240" t="str">
        <f t="shared" si="185"/>
        <v xml:space="preserve"> </v>
      </c>
      <c r="CH397" s="240" t="str">
        <f t="shared" si="185"/>
        <v xml:space="preserve"> </v>
      </c>
      <c r="CI397" s="251" t="str">
        <f t="shared" si="185"/>
        <v xml:space="preserve"> </v>
      </c>
      <c r="CJ397" s="253"/>
      <c r="CK397" s="254"/>
    </row>
    <row r="398" spans="1:89">
      <c r="A398" s="166" t="str">
        <f t="shared" si="182"/>
        <v xml:space="preserve"> </v>
      </c>
      <c r="B398" s="101"/>
      <c r="C398" s="100"/>
      <c r="D398" s="167" t="str">
        <f t="shared" si="183"/>
        <v xml:space="preserve"> </v>
      </c>
      <c r="E398" s="167" t="str">
        <f t="shared" si="183"/>
        <v xml:space="preserve"> </v>
      </c>
      <c r="F398" s="167" t="str">
        <f t="shared" si="183"/>
        <v xml:space="preserve"> </v>
      </c>
      <c r="G398" s="167" t="str">
        <f t="shared" si="183"/>
        <v xml:space="preserve"> </v>
      </c>
      <c r="H398" s="167" t="str">
        <f t="shared" si="183"/>
        <v xml:space="preserve"> </v>
      </c>
      <c r="I398" s="168" t="str">
        <f t="shared" si="183"/>
        <v xml:space="preserve"> </v>
      </c>
      <c r="J398" s="101"/>
      <c r="K398" s="165"/>
      <c r="CA398" s="166" t="str">
        <f t="shared" si="184"/>
        <v xml:space="preserve"> </v>
      </c>
      <c r="CB398" s="101"/>
      <c r="CC398" s="100"/>
      <c r="CD398" s="167" t="str">
        <f t="shared" si="185"/>
        <v xml:space="preserve"> </v>
      </c>
      <c r="CE398" s="167" t="str">
        <f t="shared" si="185"/>
        <v xml:space="preserve"> </v>
      </c>
      <c r="CF398" s="167" t="str">
        <f t="shared" si="185"/>
        <v xml:space="preserve"> </v>
      </c>
      <c r="CG398" s="167" t="str">
        <f t="shared" si="185"/>
        <v xml:space="preserve"> </v>
      </c>
      <c r="CH398" s="167" t="str">
        <f t="shared" si="185"/>
        <v xml:space="preserve"> </v>
      </c>
      <c r="CI398" s="168" t="str">
        <f t="shared" si="185"/>
        <v xml:space="preserve"> </v>
      </c>
      <c r="CJ398" s="101"/>
      <c r="CK398" s="165"/>
    </row>
    <row r="399" spans="1:89">
      <c r="A399" s="238" t="str">
        <f t="shared" si="182"/>
        <v xml:space="preserve"> </v>
      </c>
      <c r="B399" s="253"/>
      <c r="C399" s="247"/>
      <c r="D399" s="240" t="str">
        <f t="shared" si="183"/>
        <v xml:space="preserve"> </v>
      </c>
      <c r="E399" s="240" t="str">
        <f t="shared" si="183"/>
        <v xml:space="preserve"> </v>
      </c>
      <c r="F399" s="240" t="str">
        <f t="shared" si="183"/>
        <v xml:space="preserve"> </v>
      </c>
      <c r="G399" s="240" t="str">
        <f t="shared" si="183"/>
        <v xml:space="preserve"> </v>
      </c>
      <c r="H399" s="240" t="str">
        <f t="shared" si="183"/>
        <v xml:space="preserve"> </v>
      </c>
      <c r="I399" s="251" t="str">
        <f t="shared" si="183"/>
        <v xml:space="preserve"> </v>
      </c>
      <c r="J399" s="253"/>
      <c r="K399" s="254"/>
      <c r="CA399" s="238" t="str">
        <f t="shared" si="184"/>
        <v xml:space="preserve"> </v>
      </c>
      <c r="CB399" s="253"/>
      <c r="CC399" s="247"/>
      <c r="CD399" s="240" t="str">
        <f t="shared" si="185"/>
        <v xml:space="preserve"> </v>
      </c>
      <c r="CE399" s="240" t="str">
        <f t="shared" si="185"/>
        <v xml:space="preserve"> </v>
      </c>
      <c r="CF399" s="240" t="str">
        <f t="shared" si="185"/>
        <v xml:space="preserve"> </v>
      </c>
      <c r="CG399" s="240" t="str">
        <f t="shared" si="185"/>
        <v xml:space="preserve"> </v>
      </c>
      <c r="CH399" s="240" t="str">
        <f t="shared" si="185"/>
        <v xml:space="preserve"> </v>
      </c>
      <c r="CI399" s="251" t="str">
        <f t="shared" si="185"/>
        <v xml:space="preserve"> </v>
      </c>
      <c r="CJ399" s="253"/>
      <c r="CK399" s="254"/>
    </row>
    <row r="400" spans="1:89">
      <c r="A400" s="166" t="str">
        <f t="shared" si="182"/>
        <v xml:space="preserve"> </v>
      </c>
      <c r="B400" s="101"/>
      <c r="C400" s="100"/>
      <c r="D400" s="167" t="str">
        <f t="shared" ref="D400:I402" si="186">IF(AND(D1100&gt;0,$D$2&gt;4),D1100," ")</f>
        <v xml:space="preserve"> </v>
      </c>
      <c r="E400" s="167" t="str">
        <f t="shared" si="186"/>
        <v xml:space="preserve"> </v>
      </c>
      <c r="F400" s="167" t="str">
        <f t="shared" si="186"/>
        <v xml:space="preserve"> </v>
      </c>
      <c r="G400" s="167" t="str">
        <f t="shared" si="186"/>
        <v xml:space="preserve"> </v>
      </c>
      <c r="H400" s="167" t="str">
        <f t="shared" si="186"/>
        <v xml:space="preserve"> </v>
      </c>
      <c r="I400" s="168" t="str">
        <f t="shared" si="186"/>
        <v xml:space="preserve"> </v>
      </c>
      <c r="J400" s="101"/>
      <c r="K400" s="165"/>
      <c r="CA400" s="166" t="str">
        <f t="shared" si="184"/>
        <v xml:space="preserve"> </v>
      </c>
      <c r="CB400" s="101"/>
      <c r="CC400" s="100"/>
      <c r="CD400" s="167" t="str">
        <f t="shared" ref="CD400:CI402" si="187">IF(AND(CD1100&gt;0,$D$2&gt;4),CD1100," ")</f>
        <v xml:space="preserve"> </v>
      </c>
      <c r="CE400" s="167" t="str">
        <f t="shared" si="187"/>
        <v xml:space="preserve"> </v>
      </c>
      <c r="CF400" s="167" t="str">
        <f t="shared" si="187"/>
        <v xml:space="preserve"> </v>
      </c>
      <c r="CG400" s="167" t="str">
        <f t="shared" si="187"/>
        <v xml:space="preserve"> </v>
      </c>
      <c r="CH400" s="167" t="str">
        <f t="shared" si="187"/>
        <v xml:space="preserve"> </v>
      </c>
      <c r="CI400" s="168" t="str">
        <f t="shared" si="187"/>
        <v xml:space="preserve"> </v>
      </c>
      <c r="CJ400" s="101"/>
      <c r="CK400" s="165"/>
    </row>
    <row r="401" spans="1:89">
      <c r="A401" s="238" t="str">
        <f t="shared" si="182"/>
        <v xml:space="preserve"> </v>
      </c>
      <c r="B401" s="253"/>
      <c r="C401" s="247"/>
      <c r="D401" s="240" t="str">
        <f t="shared" si="186"/>
        <v xml:space="preserve"> </v>
      </c>
      <c r="E401" s="240" t="str">
        <f t="shared" si="186"/>
        <v xml:space="preserve"> </v>
      </c>
      <c r="F401" s="240" t="str">
        <f t="shared" si="186"/>
        <v xml:space="preserve"> </v>
      </c>
      <c r="G401" s="240" t="str">
        <f t="shared" si="186"/>
        <v xml:space="preserve"> </v>
      </c>
      <c r="H401" s="240" t="str">
        <f t="shared" si="186"/>
        <v xml:space="preserve"> </v>
      </c>
      <c r="I401" s="251" t="str">
        <f t="shared" si="186"/>
        <v xml:space="preserve"> </v>
      </c>
      <c r="J401" s="253"/>
      <c r="K401" s="254"/>
      <c r="CA401" s="238" t="str">
        <f t="shared" si="184"/>
        <v xml:space="preserve"> </v>
      </c>
      <c r="CB401" s="253"/>
      <c r="CC401" s="247"/>
      <c r="CD401" s="240" t="str">
        <f t="shared" si="187"/>
        <v xml:space="preserve"> </v>
      </c>
      <c r="CE401" s="240" t="str">
        <f t="shared" si="187"/>
        <v xml:space="preserve"> </v>
      </c>
      <c r="CF401" s="240" t="str">
        <f t="shared" si="187"/>
        <v xml:space="preserve"> </v>
      </c>
      <c r="CG401" s="240" t="str">
        <f t="shared" si="187"/>
        <v xml:space="preserve"> </v>
      </c>
      <c r="CH401" s="240" t="str">
        <f t="shared" si="187"/>
        <v xml:space="preserve"> </v>
      </c>
      <c r="CI401" s="251" t="str">
        <f t="shared" si="187"/>
        <v xml:space="preserve"> </v>
      </c>
      <c r="CJ401" s="253"/>
      <c r="CK401" s="254"/>
    </row>
    <row r="402" spans="1:89">
      <c r="A402" s="181" t="str">
        <f t="shared" si="182"/>
        <v xml:space="preserve"> </v>
      </c>
      <c r="B402" s="103"/>
      <c r="C402" s="100"/>
      <c r="D402" s="100" t="str">
        <f t="shared" si="186"/>
        <v xml:space="preserve"> </v>
      </c>
      <c r="E402" s="100" t="str">
        <f t="shared" si="186"/>
        <v xml:space="preserve"> </v>
      </c>
      <c r="F402" s="100" t="str">
        <f t="shared" si="186"/>
        <v xml:space="preserve"> </v>
      </c>
      <c r="G402" s="100" t="str">
        <f t="shared" si="186"/>
        <v xml:space="preserve"> </v>
      </c>
      <c r="H402" s="100" t="str">
        <f t="shared" si="186"/>
        <v xml:space="preserve"> </v>
      </c>
      <c r="I402" s="177" t="str">
        <f t="shared" si="186"/>
        <v xml:space="preserve"> </v>
      </c>
      <c r="J402" s="103"/>
      <c r="K402" s="182"/>
      <c r="CA402" s="181" t="str">
        <f t="shared" si="184"/>
        <v xml:space="preserve"> </v>
      </c>
      <c r="CB402" s="103"/>
      <c r="CC402" s="100"/>
      <c r="CD402" s="100" t="str">
        <f t="shared" si="187"/>
        <v xml:space="preserve"> </v>
      </c>
      <c r="CE402" s="100" t="str">
        <f t="shared" si="187"/>
        <v xml:space="preserve"> </v>
      </c>
      <c r="CF402" s="100" t="str">
        <f t="shared" si="187"/>
        <v xml:space="preserve"> </v>
      </c>
      <c r="CG402" s="100" t="str">
        <f t="shared" si="187"/>
        <v xml:space="preserve"> </v>
      </c>
      <c r="CH402" s="100" t="str">
        <f t="shared" si="187"/>
        <v xml:space="preserve"> </v>
      </c>
      <c r="CI402" s="177" t="str">
        <f t="shared" si="187"/>
        <v xml:space="preserve"> </v>
      </c>
      <c r="CJ402" s="103"/>
      <c r="CK402" s="182"/>
    </row>
    <row r="403" spans="1:89">
      <c r="A403" s="179" t="s">
        <v>5027</v>
      </c>
      <c r="B403" s="102"/>
      <c r="C403" s="175" t="s">
        <v>5018</v>
      </c>
      <c r="D403" s="175" t="s">
        <v>5701</v>
      </c>
      <c r="E403" s="175" t="s">
        <v>5019</v>
      </c>
      <c r="F403" s="175" t="s">
        <v>5020</v>
      </c>
      <c r="G403" s="175" t="s">
        <v>5021</v>
      </c>
      <c r="H403" s="175" t="s">
        <v>5022</v>
      </c>
      <c r="I403" s="221" t="s">
        <v>5316</v>
      </c>
      <c r="J403" s="176"/>
      <c r="K403" s="180"/>
      <c r="CA403" s="179" t="s">
        <v>5027</v>
      </c>
      <c r="CB403" s="102"/>
      <c r="CC403" s="175" t="s">
        <v>5018</v>
      </c>
      <c r="CD403" s="175" t="s">
        <v>5701</v>
      </c>
      <c r="CE403" s="175" t="s">
        <v>5019</v>
      </c>
      <c r="CF403" s="175" t="s">
        <v>5020</v>
      </c>
      <c r="CG403" s="175" t="s">
        <v>5021</v>
      </c>
      <c r="CH403" s="175" t="s">
        <v>5022</v>
      </c>
      <c r="CI403" s="221" t="s">
        <v>5316</v>
      </c>
      <c r="CJ403" s="176"/>
      <c r="CK403" s="180"/>
    </row>
    <row r="404" spans="1:89">
      <c r="A404" s="166" t="str">
        <f t="shared" ref="A404:A415" si="188">IF(AND(A1104&gt;0,$D$2&gt;5),A1104," ")</f>
        <v xml:space="preserve"> </v>
      </c>
      <c r="B404" s="101"/>
      <c r="C404" s="100"/>
      <c r="D404" s="167" t="str">
        <f t="shared" ref="D404:I415" si="189">IF(AND(D1104&gt;0,$D$2&gt;5),D1104," ")</f>
        <v xml:space="preserve"> </v>
      </c>
      <c r="E404" s="167" t="str">
        <f t="shared" si="189"/>
        <v xml:space="preserve"> </v>
      </c>
      <c r="F404" s="167" t="str">
        <f t="shared" si="189"/>
        <v xml:space="preserve"> </v>
      </c>
      <c r="G404" s="167" t="str">
        <f t="shared" si="189"/>
        <v xml:space="preserve"> </v>
      </c>
      <c r="H404" s="167" t="str">
        <f t="shared" si="189"/>
        <v xml:space="preserve"> </v>
      </c>
      <c r="I404" s="168" t="str">
        <f t="shared" si="189"/>
        <v xml:space="preserve"> </v>
      </c>
      <c r="J404" s="101"/>
      <c r="K404" s="165"/>
      <c r="CA404" s="166" t="str">
        <f t="shared" ref="CA404:CA415" si="190">IF(AND(CA1104&gt;0,$D$2&gt;5),CA1104," ")</f>
        <v xml:space="preserve"> </v>
      </c>
      <c r="CB404" s="101"/>
      <c r="CC404" s="100"/>
      <c r="CD404" s="167" t="str">
        <f t="shared" ref="CD404:CI415" si="191">IF(AND(CD1104&gt;0,$D$2&gt;5),CD1104," ")</f>
        <v xml:space="preserve"> </v>
      </c>
      <c r="CE404" s="167" t="str">
        <f t="shared" si="191"/>
        <v xml:space="preserve"> </v>
      </c>
      <c r="CF404" s="167" t="str">
        <f t="shared" si="191"/>
        <v xml:space="preserve"> </v>
      </c>
      <c r="CG404" s="167" t="str">
        <f t="shared" si="191"/>
        <v xml:space="preserve"> </v>
      </c>
      <c r="CH404" s="167" t="str">
        <f t="shared" si="191"/>
        <v xml:space="preserve"> </v>
      </c>
      <c r="CI404" s="168" t="str">
        <f t="shared" si="191"/>
        <v xml:space="preserve"> </v>
      </c>
      <c r="CJ404" s="101"/>
      <c r="CK404" s="165"/>
    </row>
    <row r="405" spans="1:89">
      <c r="A405" s="238" t="str">
        <f t="shared" si="188"/>
        <v xml:space="preserve"> </v>
      </c>
      <c r="B405" s="253"/>
      <c r="C405" s="247"/>
      <c r="D405" s="240" t="str">
        <f t="shared" si="189"/>
        <v xml:space="preserve"> </v>
      </c>
      <c r="E405" s="240" t="str">
        <f t="shared" si="189"/>
        <v xml:space="preserve"> </v>
      </c>
      <c r="F405" s="240" t="str">
        <f t="shared" si="189"/>
        <v xml:space="preserve"> </v>
      </c>
      <c r="G405" s="240" t="str">
        <f t="shared" si="189"/>
        <v xml:space="preserve"> </v>
      </c>
      <c r="H405" s="240" t="str">
        <f t="shared" si="189"/>
        <v xml:space="preserve"> </v>
      </c>
      <c r="I405" s="251" t="str">
        <f t="shared" si="189"/>
        <v xml:space="preserve"> </v>
      </c>
      <c r="J405" s="253"/>
      <c r="K405" s="254"/>
      <c r="CA405" s="238" t="str">
        <f t="shared" si="190"/>
        <v xml:space="preserve"> </v>
      </c>
      <c r="CB405" s="253"/>
      <c r="CC405" s="247"/>
      <c r="CD405" s="240" t="str">
        <f t="shared" si="191"/>
        <v xml:space="preserve"> </v>
      </c>
      <c r="CE405" s="240" t="str">
        <f t="shared" si="191"/>
        <v xml:space="preserve"> </v>
      </c>
      <c r="CF405" s="240" t="str">
        <f t="shared" si="191"/>
        <v xml:space="preserve"> </v>
      </c>
      <c r="CG405" s="240" t="str">
        <f t="shared" si="191"/>
        <v xml:space="preserve"> </v>
      </c>
      <c r="CH405" s="240" t="str">
        <f t="shared" si="191"/>
        <v xml:space="preserve"> </v>
      </c>
      <c r="CI405" s="251" t="str">
        <f t="shared" si="191"/>
        <v xml:space="preserve"> </v>
      </c>
      <c r="CJ405" s="253"/>
      <c r="CK405" s="254"/>
    </row>
    <row r="406" spans="1:89">
      <c r="A406" s="166" t="str">
        <f t="shared" si="188"/>
        <v xml:space="preserve"> </v>
      </c>
      <c r="B406" s="101"/>
      <c r="C406" s="100"/>
      <c r="D406" s="167" t="str">
        <f t="shared" si="189"/>
        <v xml:space="preserve"> </v>
      </c>
      <c r="E406" s="167" t="str">
        <f t="shared" si="189"/>
        <v xml:space="preserve"> </v>
      </c>
      <c r="F406" s="167" t="str">
        <f t="shared" si="189"/>
        <v xml:space="preserve"> </v>
      </c>
      <c r="G406" s="167" t="str">
        <f t="shared" si="189"/>
        <v xml:space="preserve"> </v>
      </c>
      <c r="H406" s="167" t="str">
        <f t="shared" si="189"/>
        <v xml:space="preserve"> </v>
      </c>
      <c r="I406" s="168" t="str">
        <f t="shared" si="189"/>
        <v xml:space="preserve"> </v>
      </c>
      <c r="J406" s="101"/>
      <c r="K406" s="165"/>
      <c r="CA406" s="166" t="str">
        <f t="shared" si="190"/>
        <v xml:space="preserve"> </v>
      </c>
      <c r="CB406" s="101"/>
      <c r="CC406" s="100"/>
      <c r="CD406" s="167" t="str">
        <f t="shared" si="191"/>
        <v xml:space="preserve"> </v>
      </c>
      <c r="CE406" s="167" t="str">
        <f t="shared" si="191"/>
        <v xml:space="preserve"> </v>
      </c>
      <c r="CF406" s="167" t="str">
        <f t="shared" si="191"/>
        <v xml:space="preserve"> </v>
      </c>
      <c r="CG406" s="167" t="str">
        <f t="shared" si="191"/>
        <v xml:space="preserve"> </v>
      </c>
      <c r="CH406" s="167" t="str">
        <f t="shared" si="191"/>
        <v xml:space="preserve"> </v>
      </c>
      <c r="CI406" s="168" t="str">
        <f t="shared" si="191"/>
        <v xml:space="preserve"> </v>
      </c>
      <c r="CJ406" s="101"/>
      <c r="CK406" s="165"/>
    </row>
    <row r="407" spans="1:89">
      <c r="A407" s="238" t="str">
        <f t="shared" si="188"/>
        <v xml:space="preserve"> </v>
      </c>
      <c r="B407" s="253"/>
      <c r="C407" s="247"/>
      <c r="D407" s="240" t="str">
        <f t="shared" si="189"/>
        <v xml:space="preserve"> </v>
      </c>
      <c r="E407" s="240" t="str">
        <f t="shared" si="189"/>
        <v xml:space="preserve"> </v>
      </c>
      <c r="F407" s="240" t="str">
        <f t="shared" si="189"/>
        <v xml:space="preserve"> </v>
      </c>
      <c r="G407" s="240" t="str">
        <f t="shared" si="189"/>
        <v xml:space="preserve"> </v>
      </c>
      <c r="H407" s="240" t="str">
        <f t="shared" si="189"/>
        <v xml:space="preserve"> </v>
      </c>
      <c r="I407" s="251" t="str">
        <f t="shared" si="189"/>
        <v xml:space="preserve"> </v>
      </c>
      <c r="J407" s="253"/>
      <c r="K407" s="254"/>
      <c r="CA407" s="238" t="str">
        <f t="shared" si="190"/>
        <v xml:space="preserve"> </v>
      </c>
      <c r="CB407" s="253"/>
      <c r="CC407" s="247"/>
      <c r="CD407" s="240" t="str">
        <f t="shared" si="191"/>
        <v xml:space="preserve"> </v>
      </c>
      <c r="CE407" s="240" t="str">
        <f t="shared" si="191"/>
        <v xml:space="preserve"> </v>
      </c>
      <c r="CF407" s="240" t="str">
        <f t="shared" si="191"/>
        <v xml:space="preserve"> </v>
      </c>
      <c r="CG407" s="240" t="str">
        <f t="shared" si="191"/>
        <v xml:space="preserve"> </v>
      </c>
      <c r="CH407" s="240" t="str">
        <f t="shared" si="191"/>
        <v xml:space="preserve"> </v>
      </c>
      <c r="CI407" s="251" t="str">
        <f t="shared" si="191"/>
        <v xml:space="preserve"> </v>
      </c>
      <c r="CJ407" s="253"/>
      <c r="CK407" s="254"/>
    </row>
    <row r="408" spans="1:89">
      <c r="A408" s="166" t="str">
        <f t="shared" si="188"/>
        <v xml:space="preserve"> </v>
      </c>
      <c r="B408" s="101"/>
      <c r="C408" s="100"/>
      <c r="D408" s="167" t="str">
        <f t="shared" si="189"/>
        <v xml:space="preserve"> </v>
      </c>
      <c r="E408" s="167" t="str">
        <f t="shared" si="189"/>
        <v xml:space="preserve"> </v>
      </c>
      <c r="F408" s="167" t="str">
        <f t="shared" si="189"/>
        <v xml:space="preserve"> </v>
      </c>
      <c r="G408" s="167" t="str">
        <f t="shared" si="189"/>
        <v xml:space="preserve"> </v>
      </c>
      <c r="H408" s="167" t="str">
        <f t="shared" si="189"/>
        <v xml:space="preserve"> </v>
      </c>
      <c r="I408" s="168" t="str">
        <f t="shared" si="189"/>
        <v xml:space="preserve"> </v>
      </c>
      <c r="J408" s="101"/>
      <c r="K408" s="165"/>
      <c r="CA408" s="166" t="str">
        <f t="shared" si="190"/>
        <v xml:space="preserve"> </v>
      </c>
      <c r="CB408" s="101"/>
      <c r="CC408" s="100"/>
      <c r="CD408" s="167" t="str">
        <f t="shared" si="191"/>
        <v xml:space="preserve"> </v>
      </c>
      <c r="CE408" s="167" t="str">
        <f t="shared" si="191"/>
        <v xml:space="preserve"> </v>
      </c>
      <c r="CF408" s="167" t="str">
        <f t="shared" si="191"/>
        <v xml:space="preserve"> </v>
      </c>
      <c r="CG408" s="167" t="str">
        <f t="shared" si="191"/>
        <v xml:space="preserve"> </v>
      </c>
      <c r="CH408" s="167" t="str">
        <f t="shared" si="191"/>
        <v xml:space="preserve"> </v>
      </c>
      <c r="CI408" s="168" t="str">
        <f t="shared" si="191"/>
        <v xml:space="preserve"> </v>
      </c>
      <c r="CJ408" s="101"/>
      <c r="CK408" s="165"/>
    </row>
    <row r="409" spans="1:89">
      <c r="A409" s="238" t="str">
        <f t="shared" si="188"/>
        <v xml:space="preserve"> </v>
      </c>
      <c r="B409" s="253"/>
      <c r="C409" s="247"/>
      <c r="D409" s="240" t="str">
        <f t="shared" si="189"/>
        <v xml:space="preserve"> </v>
      </c>
      <c r="E409" s="240" t="str">
        <f t="shared" si="189"/>
        <v xml:space="preserve"> </v>
      </c>
      <c r="F409" s="240" t="str">
        <f t="shared" si="189"/>
        <v xml:space="preserve"> </v>
      </c>
      <c r="G409" s="240" t="str">
        <f t="shared" si="189"/>
        <v xml:space="preserve"> </v>
      </c>
      <c r="H409" s="240" t="str">
        <f t="shared" si="189"/>
        <v xml:space="preserve"> </v>
      </c>
      <c r="I409" s="251" t="str">
        <f t="shared" si="189"/>
        <v xml:space="preserve"> </v>
      </c>
      <c r="J409" s="253"/>
      <c r="K409" s="254"/>
      <c r="CA409" s="238" t="str">
        <f t="shared" si="190"/>
        <v xml:space="preserve"> </v>
      </c>
      <c r="CB409" s="253"/>
      <c r="CC409" s="247"/>
      <c r="CD409" s="240" t="str">
        <f t="shared" si="191"/>
        <v xml:space="preserve"> </v>
      </c>
      <c r="CE409" s="240" t="str">
        <f t="shared" si="191"/>
        <v xml:space="preserve"> </v>
      </c>
      <c r="CF409" s="240" t="str">
        <f t="shared" si="191"/>
        <v xml:space="preserve"> </v>
      </c>
      <c r="CG409" s="240" t="str">
        <f t="shared" si="191"/>
        <v xml:space="preserve"> </v>
      </c>
      <c r="CH409" s="240" t="str">
        <f t="shared" si="191"/>
        <v xml:space="preserve"> </v>
      </c>
      <c r="CI409" s="251" t="str">
        <f t="shared" si="191"/>
        <v xml:space="preserve"> </v>
      </c>
      <c r="CJ409" s="253"/>
      <c r="CK409" s="254"/>
    </row>
    <row r="410" spans="1:89">
      <c r="A410" s="166" t="str">
        <f t="shared" si="188"/>
        <v xml:space="preserve"> </v>
      </c>
      <c r="B410" s="101"/>
      <c r="C410" s="100"/>
      <c r="D410" s="167" t="str">
        <f t="shared" si="189"/>
        <v xml:space="preserve"> </v>
      </c>
      <c r="E410" s="167" t="str">
        <f t="shared" si="189"/>
        <v xml:space="preserve"> </v>
      </c>
      <c r="F410" s="167" t="str">
        <f t="shared" si="189"/>
        <v xml:space="preserve"> </v>
      </c>
      <c r="G410" s="167" t="str">
        <f t="shared" si="189"/>
        <v xml:space="preserve"> </v>
      </c>
      <c r="H410" s="167" t="str">
        <f t="shared" si="189"/>
        <v xml:space="preserve"> </v>
      </c>
      <c r="I410" s="168" t="str">
        <f t="shared" si="189"/>
        <v xml:space="preserve"> </v>
      </c>
      <c r="J410" s="101"/>
      <c r="K410" s="165"/>
      <c r="CA410" s="166" t="str">
        <f t="shared" si="190"/>
        <v xml:space="preserve"> </v>
      </c>
      <c r="CB410" s="101"/>
      <c r="CC410" s="100"/>
      <c r="CD410" s="167" t="str">
        <f t="shared" si="191"/>
        <v xml:space="preserve"> </v>
      </c>
      <c r="CE410" s="167" t="str">
        <f t="shared" si="191"/>
        <v xml:space="preserve"> </v>
      </c>
      <c r="CF410" s="167" t="str">
        <f t="shared" si="191"/>
        <v xml:space="preserve"> </v>
      </c>
      <c r="CG410" s="167" t="str">
        <f t="shared" si="191"/>
        <v xml:space="preserve"> </v>
      </c>
      <c r="CH410" s="167" t="str">
        <f t="shared" si="191"/>
        <v xml:space="preserve"> </v>
      </c>
      <c r="CI410" s="168" t="str">
        <f t="shared" si="191"/>
        <v xml:space="preserve"> </v>
      </c>
      <c r="CJ410" s="101"/>
      <c r="CK410" s="165"/>
    </row>
    <row r="411" spans="1:89">
      <c r="A411" s="238" t="str">
        <f t="shared" si="188"/>
        <v xml:space="preserve"> </v>
      </c>
      <c r="B411" s="253"/>
      <c r="C411" s="247"/>
      <c r="D411" s="240" t="str">
        <f t="shared" si="189"/>
        <v xml:space="preserve"> </v>
      </c>
      <c r="E411" s="240" t="str">
        <f t="shared" si="189"/>
        <v xml:space="preserve"> </v>
      </c>
      <c r="F411" s="240" t="str">
        <f t="shared" si="189"/>
        <v xml:space="preserve"> </v>
      </c>
      <c r="G411" s="240" t="str">
        <f t="shared" si="189"/>
        <v xml:space="preserve"> </v>
      </c>
      <c r="H411" s="240" t="str">
        <f t="shared" si="189"/>
        <v xml:space="preserve"> </v>
      </c>
      <c r="I411" s="251" t="str">
        <f t="shared" si="189"/>
        <v xml:space="preserve"> </v>
      </c>
      <c r="J411" s="253"/>
      <c r="K411" s="254"/>
      <c r="CA411" s="238" t="str">
        <f t="shared" si="190"/>
        <v xml:space="preserve"> </v>
      </c>
      <c r="CB411" s="253"/>
      <c r="CC411" s="247"/>
      <c r="CD411" s="240" t="str">
        <f t="shared" si="191"/>
        <v xml:space="preserve"> </v>
      </c>
      <c r="CE411" s="240" t="str">
        <f t="shared" si="191"/>
        <v xml:space="preserve"> </v>
      </c>
      <c r="CF411" s="240" t="str">
        <f t="shared" si="191"/>
        <v xml:space="preserve"> </v>
      </c>
      <c r="CG411" s="240" t="str">
        <f t="shared" si="191"/>
        <v xml:space="preserve"> </v>
      </c>
      <c r="CH411" s="240" t="str">
        <f t="shared" si="191"/>
        <v xml:space="preserve"> </v>
      </c>
      <c r="CI411" s="251" t="str">
        <f t="shared" si="191"/>
        <v xml:space="preserve"> </v>
      </c>
      <c r="CJ411" s="253"/>
      <c r="CK411" s="254"/>
    </row>
    <row r="412" spans="1:89">
      <c r="A412" s="166" t="str">
        <f t="shared" si="188"/>
        <v xml:space="preserve"> </v>
      </c>
      <c r="B412" s="101"/>
      <c r="C412" s="100"/>
      <c r="D412" s="167" t="str">
        <f t="shared" si="189"/>
        <v xml:space="preserve"> </v>
      </c>
      <c r="E412" s="167" t="str">
        <f t="shared" si="189"/>
        <v xml:space="preserve"> </v>
      </c>
      <c r="F412" s="167" t="str">
        <f t="shared" si="189"/>
        <v xml:space="preserve"> </v>
      </c>
      <c r="G412" s="167" t="str">
        <f t="shared" si="189"/>
        <v xml:space="preserve"> </v>
      </c>
      <c r="H412" s="167" t="str">
        <f t="shared" si="189"/>
        <v xml:space="preserve"> </v>
      </c>
      <c r="I412" s="168" t="str">
        <f t="shared" si="189"/>
        <v xml:space="preserve"> </v>
      </c>
      <c r="J412" s="101"/>
      <c r="K412" s="165"/>
      <c r="CA412" s="166" t="str">
        <f t="shared" si="190"/>
        <v xml:space="preserve"> </v>
      </c>
      <c r="CB412" s="101"/>
      <c r="CC412" s="100"/>
      <c r="CD412" s="167" t="str">
        <f t="shared" si="191"/>
        <v xml:space="preserve"> </v>
      </c>
      <c r="CE412" s="167" t="str">
        <f t="shared" si="191"/>
        <v xml:space="preserve"> </v>
      </c>
      <c r="CF412" s="167" t="str">
        <f t="shared" si="191"/>
        <v xml:space="preserve"> </v>
      </c>
      <c r="CG412" s="167" t="str">
        <f t="shared" si="191"/>
        <v xml:space="preserve"> </v>
      </c>
      <c r="CH412" s="167" t="str">
        <f t="shared" si="191"/>
        <v xml:space="preserve"> </v>
      </c>
      <c r="CI412" s="168" t="str">
        <f t="shared" si="191"/>
        <v xml:space="preserve"> </v>
      </c>
      <c r="CJ412" s="101"/>
      <c r="CK412" s="165"/>
    </row>
    <row r="413" spans="1:89">
      <c r="A413" s="238" t="str">
        <f t="shared" si="188"/>
        <v xml:space="preserve"> </v>
      </c>
      <c r="B413" s="253"/>
      <c r="C413" s="247"/>
      <c r="D413" s="240" t="str">
        <f t="shared" si="189"/>
        <v xml:space="preserve"> </v>
      </c>
      <c r="E413" s="240" t="str">
        <f t="shared" si="189"/>
        <v xml:space="preserve"> </v>
      </c>
      <c r="F413" s="240" t="str">
        <f t="shared" si="189"/>
        <v xml:space="preserve"> </v>
      </c>
      <c r="G413" s="240" t="str">
        <f t="shared" si="189"/>
        <v xml:space="preserve"> </v>
      </c>
      <c r="H413" s="240" t="str">
        <f t="shared" si="189"/>
        <v xml:space="preserve"> </v>
      </c>
      <c r="I413" s="251" t="str">
        <f t="shared" si="189"/>
        <v xml:space="preserve"> </v>
      </c>
      <c r="J413" s="253"/>
      <c r="K413" s="254"/>
      <c r="CA413" s="238" t="str">
        <f t="shared" si="190"/>
        <v xml:space="preserve"> </v>
      </c>
      <c r="CB413" s="253"/>
      <c r="CC413" s="247"/>
      <c r="CD413" s="240" t="str">
        <f t="shared" si="191"/>
        <v xml:space="preserve"> </v>
      </c>
      <c r="CE413" s="240" t="str">
        <f t="shared" si="191"/>
        <v xml:space="preserve"> </v>
      </c>
      <c r="CF413" s="240" t="str">
        <f t="shared" si="191"/>
        <v xml:space="preserve"> </v>
      </c>
      <c r="CG413" s="240" t="str">
        <f t="shared" si="191"/>
        <v xml:space="preserve"> </v>
      </c>
      <c r="CH413" s="240" t="str">
        <f t="shared" si="191"/>
        <v xml:space="preserve"> </v>
      </c>
      <c r="CI413" s="251" t="str">
        <f t="shared" si="191"/>
        <v xml:space="preserve"> </v>
      </c>
      <c r="CJ413" s="253"/>
      <c r="CK413" s="254"/>
    </row>
    <row r="414" spans="1:89">
      <c r="A414" s="166" t="str">
        <f t="shared" si="188"/>
        <v xml:space="preserve"> </v>
      </c>
      <c r="B414" s="101"/>
      <c r="C414" s="100"/>
      <c r="D414" s="167" t="str">
        <f t="shared" si="189"/>
        <v xml:space="preserve"> </v>
      </c>
      <c r="E414" s="167" t="str">
        <f t="shared" si="189"/>
        <v xml:space="preserve"> </v>
      </c>
      <c r="F414" s="167" t="str">
        <f t="shared" si="189"/>
        <v xml:space="preserve"> </v>
      </c>
      <c r="G414" s="167" t="str">
        <f t="shared" si="189"/>
        <v xml:space="preserve"> </v>
      </c>
      <c r="H414" s="167" t="str">
        <f t="shared" si="189"/>
        <v xml:space="preserve"> </v>
      </c>
      <c r="I414" s="168" t="str">
        <f t="shared" si="189"/>
        <v xml:space="preserve"> </v>
      </c>
      <c r="J414" s="101"/>
      <c r="K414" s="165"/>
      <c r="CA414" s="166" t="str">
        <f t="shared" si="190"/>
        <v xml:space="preserve"> </v>
      </c>
      <c r="CB414" s="101"/>
      <c r="CC414" s="100"/>
      <c r="CD414" s="167" t="str">
        <f t="shared" si="191"/>
        <v xml:space="preserve"> </v>
      </c>
      <c r="CE414" s="167" t="str">
        <f t="shared" si="191"/>
        <v xml:space="preserve"> </v>
      </c>
      <c r="CF414" s="167" t="str">
        <f t="shared" si="191"/>
        <v xml:space="preserve"> </v>
      </c>
      <c r="CG414" s="167" t="str">
        <f t="shared" si="191"/>
        <v xml:space="preserve"> </v>
      </c>
      <c r="CH414" s="167" t="str">
        <f t="shared" si="191"/>
        <v xml:space="preserve"> </v>
      </c>
      <c r="CI414" s="168" t="str">
        <f t="shared" si="191"/>
        <v xml:space="preserve"> </v>
      </c>
      <c r="CJ414" s="101"/>
      <c r="CK414" s="165"/>
    </row>
    <row r="415" spans="1:89">
      <c r="A415" s="238" t="str">
        <f t="shared" si="188"/>
        <v xml:space="preserve"> </v>
      </c>
      <c r="B415" s="253"/>
      <c r="C415" s="247"/>
      <c r="D415" s="240" t="str">
        <f t="shared" si="189"/>
        <v xml:space="preserve"> </v>
      </c>
      <c r="E415" s="240" t="str">
        <f t="shared" si="189"/>
        <v xml:space="preserve"> </v>
      </c>
      <c r="F415" s="240" t="str">
        <f t="shared" si="189"/>
        <v xml:space="preserve"> </v>
      </c>
      <c r="G415" s="240" t="str">
        <f t="shared" si="189"/>
        <v xml:space="preserve"> </v>
      </c>
      <c r="H415" s="240" t="str">
        <f t="shared" si="189"/>
        <v xml:space="preserve"> </v>
      </c>
      <c r="I415" s="251" t="str">
        <f t="shared" si="189"/>
        <v xml:space="preserve"> </v>
      </c>
      <c r="J415" s="253"/>
      <c r="K415" s="254"/>
      <c r="CA415" s="238" t="str">
        <f t="shared" si="190"/>
        <v xml:space="preserve"> </v>
      </c>
      <c r="CB415" s="253"/>
      <c r="CC415" s="247"/>
      <c r="CD415" s="240" t="str">
        <f t="shared" si="191"/>
        <v xml:space="preserve"> </v>
      </c>
      <c r="CE415" s="240" t="str">
        <f t="shared" si="191"/>
        <v xml:space="preserve"> </v>
      </c>
      <c r="CF415" s="240" t="str">
        <f t="shared" si="191"/>
        <v xml:space="preserve"> </v>
      </c>
      <c r="CG415" s="240" t="str">
        <f t="shared" si="191"/>
        <v xml:space="preserve"> </v>
      </c>
      <c r="CH415" s="240" t="str">
        <f t="shared" si="191"/>
        <v xml:space="preserve"> </v>
      </c>
      <c r="CI415" s="251" t="str">
        <f t="shared" si="191"/>
        <v xml:space="preserve"> </v>
      </c>
      <c r="CJ415" s="253"/>
      <c r="CK415" s="254"/>
    </row>
    <row r="416" spans="1:89">
      <c r="A416" s="179" t="s">
        <v>5217</v>
      </c>
      <c r="B416" s="102"/>
      <c r="C416" s="175" t="s">
        <v>5018</v>
      </c>
      <c r="D416" s="175" t="s">
        <v>5701</v>
      </c>
      <c r="E416" s="175" t="s">
        <v>5019</v>
      </c>
      <c r="F416" s="175" t="s">
        <v>5020</v>
      </c>
      <c r="G416" s="175" t="s">
        <v>5021</v>
      </c>
      <c r="H416" s="175" t="s">
        <v>5022</v>
      </c>
      <c r="I416" s="221" t="s">
        <v>5316</v>
      </c>
      <c r="J416" s="176"/>
      <c r="K416" s="180"/>
      <c r="CA416" s="179" t="s">
        <v>5217</v>
      </c>
      <c r="CB416" s="102"/>
      <c r="CC416" s="175" t="s">
        <v>5018</v>
      </c>
      <c r="CD416" s="175" t="s">
        <v>5701</v>
      </c>
      <c r="CE416" s="175" t="s">
        <v>5019</v>
      </c>
      <c r="CF416" s="175" t="s">
        <v>5020</v>
      </c>
      <c r="CG416" s="175" t="s">
        <v>5021</v>
      </c>
      <c r="CH416" s="175" t="s">
        <v>5022</v>
      </c>
      <c r="CI416" s="221" t="s">
        <v>5316</v>
      </c>
      <c r="CJ416" s="176"/>
      <c r="CK416" s="180"/>
    </row>
    <row r="417" spans="1:89">
      <c r="A417" s="166" t="str">
        <f t="shared" ref="A417:A432" si="192">IF(AND(A1117&gt;0,$D$2&gt;6),A1117," ")</f>
        <v xml:space="preserve"> </v>
      </c>
      <c r="B417" s="101"/>
      <c r="C417" s="100"/>
      <c r="D417" s="167" t="str">
        <f t="shared" ref="D417:I417" si="193">IF(AND(D1117&gt;0,$D$2&gt;6),D1117," ")</f>
        <v xml:space="preserve"> </v>
      </c>
      <c r="E417" s="167" t="str">
        <f t="shared" si="193"/>
        <v xml:space="preserve"> </v>
      </c>
      <c r="F417" s="167" t="str">
        <f t="shared" si="193"/>
        <v xml:space="preserve"> </v>
      </c>
      <c r="G417" s="167" t="str">
        <f t="shared" si="193"/>
        <v xml:space="preserve"> </v>
      </c>
      <c r="H417" s="167" t="str">
        <f t="shared" si="193"/>
        <v xml:space="preserve"> </v>
      </c>
      <c r="I417" s="168" t="str">
        <f t="shared" si="193"/>
        <v xml:space="preserve"> </v>
      </c>
      <c r="J417" s="101"/>
      <c r="K417" s="165"/>
      <c r="CA417" s="166" t="str">
        <f t="shared" ref="CA417:CA432" si="194">IF(AND(CA1117&gt;0,$D$2&gt;6),CA1117," ")</f>
        <v xml:space="preserve"> </v>
      </c>
      <c r="CB417" s="101"/>
      <c r="CC417" s="100"/>
      <c r="CD417" s="167" t="str">
        <f t="shared" ref="CD417:CI417" si="195">IF(AND(CD1117&gt;0,$D$2&gt;6),CD1117," ")</f>
        <v xml:space="preserve"> </v>
      </c>
      <c r="CE417" s="167" t="str">
        <f t="shared" si="195"/>
        <v xml:space="preserve"> </v>
      </c>
      <c r="CF417" s="167" t="str">
        <f t="shared" si="195"/>
        <v xml:space="preserve"> </v>
      </c>
      <c r="CG417" s="167" t="str">
        <f t="shared" si="195"/>
        <v xml:space="preserve"> </v>
      </c>
      <c r="CH417" s="167" t="str">
        <f t="shared" si="195"/>
        <v xml:space="preserve"> </v>
      </c>
      <c r="CI417" s="168" t="str">
        <f t="shared" si="195"/>
        <v xml:space="preserve"> </v>
      </c>
      <c r="CJ417" s="101"/>
      <c r="CK417" s="165"/>
    </row>
    <row r="418" spans="1:89">
      <c r="A418" s="238" t="str">
        <f t="shared" si="192"/>
        <v xml:space="preserve"> </v>
      </c>
      <c r="B418" s="253"/>
      <c r="C418" s="247"/>
      <c r="D418" s="240" t="str">
        <f t="shared" ref="D418:I432" si="196">IF(AND(D1118&gt;0,$D$2&gt;6),D1118," ")</f>
        <v xml:space="preserve"> </v>
      </c>
      <c r="E418" s="240" t="str">
        <f t="shared" si="196"/>
        <v xml:space="preserve"> </v>
      </c>
      <c r="F418" s="240" t="str">
        <f t="shared" si="196"/>
        <v xml:space="preserve"> </v>
      </c>
      <c r="G418" s="240" t="str">
        <f t="shared" si="196"/>
        <v xml:space="preserve"> </v>
      </c>
      <c r="H418" s="240" t="str">
        <f t="shared" si="196"/>
        <v xml:space="preserve"> </v>
      </c>
      <c r="I418" s="251" t="str">
        <f t="shared" si="196"/>
        <v xml:space="preserve"> </v>
      </c>
      <c r="J418" s="253"/>
      <c r="K418" s="254"/>
      <c r="CA418" s="238" t="str">
        <f t="shared" si="194"/>
        <v xml:space="preserve"> </v>
      </c>
      <c r="CB418" s="253"/>
      <c r="CC418" s="247"/>
      <c r="CD418" s="240" t="str">
        <f t="shared" ref="CD418:CI432" si="197">IF(AND(CD1118&gt;0,$D$2&gt;6),CD1118," ")</f>
        <v xml:space="preserve"> </v>
      </c>
      <c r="CE418" s="240" t="str">
        <f t="shared" si="197"/>
        <v xml:space="preserve"> </v>
      </c>
      <c r="CF418" s="240" t="str">
        <f t="shared" si="197"/>
        <v xml:space="preserve"> </v>
      </c>
      <c r="CG418" s="240" t="str">
        <f t="shared" si="197"/>
        <v xml:space="preserve"> </v>
      </c>
      <c r="CH418" s="240" t="str">
        <f t="shared" si="197"/>
        <v xml:space="preserve"> </v>
      </c>
      <c r="CI418" s="251" t="str">
        <f t="shared" si="197"/>
        <v xml:space="preserve"> </v>
      </c>
      <c r="CJ418" s="253"/>
      <c r="CK418" s="254"/>
    </row>
    <row r="419" spans="1:89">
      <c r="A419" s="166" t="str">
        <f t="shared" si="192"/>
        <v xml:space="preserve"> </v>
      </c>
      <c r="B419" s="101"/>
      <c r="C419" s="100"/>
      <c r="D419" s="167" t="str">
        <f t="shared" si="196"/>
        <v xml:space="preserve"> </v>
      </c>
      <c r="E419" s="167" t="str">
        <f t="shared" si="196"/>
        <v xml:space="preserve"> </v>
      </c>
      <c r="F419" s="167" t="str">
        <f t="shared" si="196"/>
        <v xml:space="preserve"> </v>
      </c>
      <c r="G419" s="167" t="str">
        <f t="shared" si="196"/>
        <v xml:space="preserve"> </v>
      </c>
      <c r="H419" s="167" t="str">
        <f t="shared" si="196"/>
        <v xml:space="preserve"> </v>
      </c>
      <c r="I419" s="168" t="str">
        <f t="shared" si="196"/>
        <v xml:space="preserve"> </v>
      </c>
      <c r="J419" s="101"/>
      <c r="K419" s="165"/>
      <c r="CA419" s="166" t="str">
        <f t="shared" si="194"/>
        <v xml:space="preserve"> </v>
      </c>
      <c r="CB419" s="101"/>
      <c r="CC419" s="100"/>
      <c r="CD419" s="167" t="str">
        <f t="shared" si="197"/>
        <v xml:space="preserve"> </v>
      </c>
      <c r="CE419" s="167" t="str">
        <f t="shared" si="197"/>
        <v xml:space="preserve"> </v>
      </c>
      <c r="CF419" s="167" t="str">
        <f t="shared" si="197"/>
        <v xml:space="preserve"> </v>
      </c>
      <c r="CG419" s="167" t="str">
        <f t="shared" si="197"/>
        <v xml:space="preserve"> </v>
      </c>
      <c r="CH419" s="167" t="str">
        <f t="shared" si="197"/>
        <v xml:space="preserve"> </v>
      </c>
      <c r="CI419" s="168" t="str">
        <f t="shared" si="197"/>
        <v xml:space="preserve"> </v>
      </c>
      <c r="CJ419" s="101"/>
      <c r="CK419" s="165"/>
    </row>
    <row r="420" spans="1:89">
      <c r="A420" s="238" t="str">
        <f t="shared" si="192"/>
        <v xml:space="preserve"> </v>
      </c>
      <c r="B420" s="253"/>
      <c r="C420" s="247"/>
      <c r="D420" s="240" t="str">
        <f t="shared" si="196"/>
        <v xml:space="preserve"> </v>
      </c>
      <c r="E420" s="240" t="str">
        <f t="shared" si="196"/>
        <v xml:space="preserve"> </v>
      </c>
      <c r="F420" s="240" t="str">
        <f t="shared" si="196"/>
        <v xml:space="preserve"> </v>
      </c>
      <c r="G420" s="240" t="str">
        <f t="shared" si="196"/>
        <v xml:space="preserve"> </v>
      </c>
      <c r="H420" s="240" t="str">
        <f t="shared" si="196"/>
        <v xml:space="preserve"> </v>
      </c>
      <c r="I420" s="251" t="str">
        <f t="shared" si="196"/>
        <v xml:space="preserve"> </v>
      </c>
      <c r="J420" s="253"/>
      <c r="K420" s="254"/>
      <c r="CA420" s="238" t="str">
        <f t="shared" si="194"/>
        <v xml:space="preserve"> </v>
      </c>
      <c r="CB420" s="253"/>
      <c r="CC420" s="247"/>
      <c r="CD420" s="240" t="str">
        <f t="shared" si="197"/>
        <v xml:space="preserve"> </v>
      </c>
      <c r="CE420" s="240" t="str">
        <f t="shared" si="197"/>
        <v xml:space="preserve"> </v>
      </c>
      <c r="CF420" s="240" t="str">
        <f t="shared" si="197"/>
        <v xml:space="preserve"> </v>
      </c>
      <c r="CG420" s="240" t="str">
        <f t="shared" si="197"/>
        <v xml:space="preserve"> </v>
      </c>
      <c r="CH420" s="240" t="str">
        <f t="shared" si="197"/>
        <v xml:space="preserve"> </v>
      </c>
      <c r="CI420" s="251" t="str">
        <f t="shared" si="197"/>
        <v xml:space="preserve"> </v>
      </c>
      <c r="CJ420" s="253"/>
      <c r="CK420" s="254"/>
    </row>
    <row r="421" spans="1:89">
      <c r="A421" s="166" t="str">
        <f t="shared" si="192"/>
        <v xml:space="preserve"> </v>
      </c>
      <c r="B421" s="101"/>
      <c r="C421" s="100"/>
      <c r="D421" s="167" t="str">
        <f t="shared" si="196"/>
        <v xml:space="preserve"> </v>
      </c>
      <c r="E421" s="167" t="str">
        <f t="shared" si="196"/>
        <v xml:space="preserve"> </v>
      </c>
      <c r="F421" s="167" t="str">
        <f t="shared" si="196"/>
        <v xml:space="preserve"> </v>
      </c>
      <c r="G421" s="167" t="str">
        <f t="shared" si="196"/>
        <v xml:space="preserve"> </v>
      </c>
      <c r="H421" s="167" t="str">
        <f t="shared" si="196"/>
        <v xml:space="preserve"> </v>
      </c>
      <c r="I421" s="168" t="str">
        <f t="shared" si="196"/>
        <v xml:space="preserve"> </v>
      </c>
      <c r="J421" s="101"/>
      <c r="K421" s="165"/>
      <c r="CA421" s="166" t="str">
        <f t="shared" si="194"/>
        <v xml:space="preserve"> </v>
      </c>
      <c r="CB421" s="101"/>
      <c r="CC421" s="100"/>
      <c r="CD421" s="167" t="str">
        <f t="shared" si="197"/>
        <v xml:space="preserve"> </v>
      </c>
      <c r="CE421" s="167" t="str">
        <f t="shared" si="197"/>
        <v xml:space="preserve"> </v>
      </c>
      <c r="CF421" s="167" t="str">
        <f t="shared" si="197"/>
        <v xml:space="preserve"> </v>
      </c>
      <c r="CG421" s="167" t="str">
        <f t="shared" si="197"/>
        <v xml:space="preserve"> </v>
      </c>
      <c r="CH421" s="167" t="str">
        <f t="shared" si="197"/>
        <v xml:space="preserve"> </v>
      </c>
      <c r="CI421" s="168" t="str">
        <f t="shared" si="197"/>
        <v xml:space="preserve"> </v>
      </c>
      <c r="CJ421" s="101"/>
      <c r="CK421" s="165"/>
    </row>
    <row r="422" spans="1:89">
      <c r="A422" s="238" t="str">
        <f t="shared" si="192"/>
        <v xml:space="preserve"> </v>
      </c>
      <c r="B422" s="253"/>
      <c r="C422" s="247"/>
      <c r="D422" s="240" t="str">
        <f t="shared" si="196"/>
        <v xml:space="preserve"> </v>
      </c>
      <c r="E422" s="240" t="str">
        <f t="shared" si="196"/>
        <v xml:space="preserve"> </v>
      </c>
      <c r="F422" s="240" t="str">
        <f t="shared" si="196"/>
        <v xml:space="preserve"> </v>
      </c>
      <c r="G422" s="240" t="str">
        <f t="shared" si="196"/>
        <v xml:space="preserve"> </v>
      </c>
      <c r="H422" s="240" t="str">
        <f t="shared" si="196"/>
        <v xml:space="preserve"> </v>
      </c>
      <c r="I422" s="251" t="str">
        <f t="shared" si="196"/>
        <v xml:space="preserve"> </v>
      </c>
      <c r="J422" s="253"/>
      <c r="K422" s="254"/>
      <c r="CA422" s="238" t="str">
        <f t="shared" si="194"/>
        <v xml:space="preserve"> </v>
      </c>
      <c r="CB422" s="253"/>
      <c r="CC422" s="247"/>
      <c r="CD422" s="240" t="str">
        <f t="shared" si="197"/>
        <v xml:space="preserve"> </v>
      </c>
      <c r="CE422" s="240" t="str">
        <f t="shared" si="197"/>
        <v xml:space="preserve"> </v>
      </c>
      <c r="CF422" s="240" t="str">
        <f t="shared" si="197"/>
        <v xml:space="preserve"> </v>
      </c>
      <c r="CG422" s="240" t="str">
        <f t="shared" si="197"/>
        <v xml:space="preserve"> </v>
      </c>
      <c r="CH422" s="240" t="str">
        <f t="shared" si="197"/>
        <v xml:space="preserve"> </v>
      </c>
      <c r="CI422" s="251" t="str">
        <f t="shared" si="197"/>
        <v xml:space="preserve"> </v>
      </c>
      <c r="CJ422" s="253"/>
      <c r="CK422" s="254"/>
    </row>
    <row r="423" spans="1:89">
      <c r="A423" s="166" t="str">
        <f t="shared" si="192"/>
        <v xml:space="preserve"> </v>
      </c>
      <c r="B423" s="101"/>
      <c r="C423" s="100"/>
      <c r="D423" s="167" t="str">
        <f t="shared" si="196"/>
        <v xml:space="preserve"> </v>
      </c>
      <c r="E423" s="167" t="str">
        <f t="shared" si="196"/>
        <v xml:space="preserve"> </v>
      </c>
      <c r="F423" s="167" t="str">
        <f t="shared" si="196"/>
        <v xml:space="preserve"> </v>
      </c>
      <c r="G423" s="167" t="str">
        <f t="shared" si="196"/>
        <v xml:space="preserve"> </v>
      </c>
      <c r="H423" s="167" t="str">
        <f t="shared" si="196"/>
        <v xml:space="preserve"> </v>
      </c>
      <c r="I423" s="168" t="str">
        <f t="shared" si="196"/>
        <v xml:space="preserve"> </v>
      </c>
      <c r="J423" s="101"/>
      <c r="K423" s="165"/>
      <c r="CA423" s="166" t="str">
        <f t="shared" si="194"/>
        <v xml:space="preserve"> </v>
      </c>
      <c r="CB423" s="101"/>
      <c r="CC423" s="100"/>
      <c r="CD423" s="167" t="str">
        <f t="shared" si="197"/>
        <v xml:space="preserve"> </v>
      </c>
      <c r="CE423" s="167" t="str">
        <f t="shared" si="197"/>
        <v xml:space="preserve"> </v>
      </c>
      <c r="CF423" s="167" t="str">
        <f t="shared" si="197"/>
        <v xml:space="preserve"> </v>
      </c>
      <c r="CG423" s="167" t="str">
        <f t="shared" si="197"/>
        <v xml:space="preserve"> </v>
      </c>
      <c r="CH423" s="167" t="str">
        <f t="shared" si="197"/>
        <v xml:space="preserve"> </v>
      </c>
      <c r="CI423" s="168" t="str">
        <f t="shared" si="197"/>
        <v xml:space="preserve"> </v>
      </c>
      <c r="CJ423" s="101"/>
      <c r="CK423" s="165"/>
    </row>
    <row r="424" spans="1:89">
      <c r="A424" s="238" t="str">
        <f t="shared" si="192"/>
        <v xml:space="preserve"> </v>
      </c>
      <c r="B424" s="253"/>
      <c r="C424" s="247"/>
      <c r="D424" s="240" t="str">
        <f t="shared" si="196"/>
        <v xml:space="preserve"> </v>
      </c>
      <c r="E424" s="240" t="str">
        <f t="shared" si="196"/>
        <v xml:space="preserve"> </v>
      </c>
      <c r="F424" s="240" t="str">
        <f t="shared" si="196"/>
        <v xml:space="preserve"> </v>
      </c>
      <c r="G424" s="240" t="str">
        <f t="shared" si="196"/>
        <v xml:space="preserve"> </v>
      </c>
      <c r="H424" s="240" t="str">
        <f t="shared" si="196"/>
        <v xml:space="preserve"> </v>
      </c>
      <c r="I424" s="251" t="str">
        <f t="shared" si="196"/>
        <v xml:space="preserve"> </v>
      </c>
      <c r="J424" s="253"/>
      <c r="K424" s="254"/>
      <c r="CA424" s="238" t="str">
        <f t="shared" si="194"/>
        <v xml:space="preserve"> </v>
      </c>
      <c r="CB424" s="253"/>
      <c r="CC424" s="247"/>
      <c r="CD424" s="240" t="str">
        <f t="shared" si="197"/>
        <v xml:space="preserve"> </v>
      </c>
      <c r="CE424" s="240" t="str">
        <f t="shared" si="197"/>
        <v xml:space="preserve"> </v>
      </c>
      <c r="CF424" s="240" t="str">
        <f t="shared" si="197"/>
        <v xml:space="preserve"> </v>
      </c>
      <c r="CG424" s="240" t="str">
        <f t="shared" si="197"/>
        <v xml:space="preserve"> </v>
      </c>
      <c r="CH424" s="240" t="str">
        <f t="shared" si="197"/>
        <v xml:space="preserve"> </v>
      </c>
      <c r="CI424" s="251" t="str">
        <f t="shared" si="197"/>
        <v xml:space="preserve"> </v>
      </c>
      <c r="CJ424" s="253"/>
      <c r="CK424" s="254"/>
    </row>
    <row r="425" spans="1:89">
      <c r="A425" s="166" t="str">
        <f t="shared" si="192"/>
        <v xml:space="preserve"> </v>
      </c>
      <c r="B425" s="101"/>
      <c r="C425" s="100"/>
      <c r="D425" s="167" t="str">
        <f t="shared" si="196"/>
        <v xml:space="preserve"> </v>
      </c>
      <c r="E425" s="167" t="str">
        <f t="shared" si="196"/>
        <v xml:space="preserve"> </v>
      </c>
      <c r="F425" s="167" t="str">
        <f t="shared" si="196"/>
        <v xml:space="preserve"> </v>
      </c>
      <c r="G425" s="167" t="str">
        <f t="shared" si="196"/>
        <v xml:space="preserve"> </v>
      </c>
      <c r="H425" s="167" t="str">
        <f t="shared" si="196"/>
        <v xml:space="preserve"> </v>
      </c>
      <c r="I425" s="168" t="str">
        <f t="shared" si="196"/>
        <v xml:space="preserve"> </v>
      </c>
      <c r="J425" s="101"/>
      <c r="K425" s="165"/>
      <c r="CA425" s="166" t="str">
        <f t="shared" si="194"/>
        <v xml:space="preserve"> </v>
      </c>
      <c r="CB425" s="101"/>
      <c r="CC425" s="100"/>
      <c r="CD425" s="167" t="str">
        <f t="shared" si="197"/>
        <v xml:space="preserve"> </v>
      </c>
      <c r="CE425" s="167" t="str">
        <f t="shared" si="197"/>
        <v xml:space="preserve"> </v>
      </c>
      <c r="CF425" s="167" t="str">
        <f t="shared" si="197"/>
        <v xml:space="preserve"> </v>
      </c>
      <c r="CG425" s="167" t="str">
        <f t="shared" si="197"/>
        <v xml:space="preserve"> </v>
      </c>
      <c r="CH425" s="167" t="str">
        <f t="shared" si="197"/>
        <v xml:space="preserve"> </v>
      </c>
      <c r="CI425" s="168" t="str">
        <f t="shared" si="197"/>
        <v xml:space="preserve"> </v>
      </c>
      <c r="CJ425" s="101"/>
      <c r="CK425" s="165"/>
    </row>
    <row r="426" spans="1:89">
      <c r="A426" s="238" t="str">
        <f t="shared" si="192"/>
        <v xml:space="preserve"> </v>
      </c>
      <c r="B426" s="253"/>
      <c r="C426" s="247"/>
      <c r="D426" s="240" t="str">
        <f t="shared" si="196"/>
        <v xml:space="preserve"> </v>
      </c>
      <c r="E426" s="240" t="str">
        <f t="shared" si="196"/>
        <v xml:space="preserve"> </v>
      </c>
      <c r="F426" s="240" t="str">
        <f t="shared" si="196"/>
        <v xml:space="preserve"> </v>
      </c>
      <c r="G426" s="240" t="str">
        <f t="shared" si="196"/>
        <v xml:space="preserve"> </v>
      </c>
      <c r="H426" s="240" t="str">
        <f t="shared" si="196"/>
        <v xml:space="preserve"> </v>
      </c>
      <c r="I426" s="251" t="str">
        <f t="shared" si="196"/>
        <v xml:space="preserve"> </v>
      </c>
      <c r="J426" s="253"/>
      <c r="K426" s="254"/>
      <c r="CA426" s="238" t="str">
        <f t="shared" si="194"/>
        <v xml:space="preserve"> </v>
      </c>
      <c r="CB426" s="253"/>
      <c r="CC426" s="247"/>
      <c r="CD426" s="240" t="str">
        <f t="shared" si="197"/>
        <v xml:space="preserve"> </v>
      </c>
      <c r="CE426" s="240" t="str">
        <f t="shared" si="197"/>
        <v xml:space="preserve"> </v>
      </c>
      <c r="CF426" s="240" t="str">
        <f t="shared" si="197"/>
        <v xml:space="preserve"> </v>
      </c>
      <c r="CG426" s="240" t="str">
        <f t="shared" si="197"/>
        <v xml:space="preserve"> </v>
      </c>
      <c r="CH426" s="240" t="str">
        <f t="shared" si="197"/>
        <v xml:space="preserve"> </v>
      </c>
      <c r="CI426" s="251" t="str">
        <f t="shared" si="197"/>
        <v xml:space="preserve"> </v>
      </c>
      <c r="CJ426" s="253"/>
      <c r="CK426" s="254"/>
    </row>
    <row r="427" spans="1:89">
      <c r="A427" s="166" t="str">
        <f t="shared" si="192"/>
        <v xml:space="preserve"> </v>
      </c>
      <c r="B427" s="101"/>
      <c r="C427" s="100"/>
      <c r="D427" s="167" t="str">
        <f t="shared" si="196"/>
        <v xml:space="preserve"> </v>
      </c>
      <c r="E427" s="167" t="str">
        <f t="shared" si="196"/>
        <v xml:space="preserve"> </v>
      </c>
      <c r="F427" s="167" t="str">
        <f t="shared" si="196"/>
        <v xml:space="preserve"> </v>
      </c>
      <c r="G427" s="167" t="str">
        <f t="shared" si="196"/>
        <v xml:space="preserve"> </v>
      </c>
      <c r="H427" s="167" t="str">
        <f t="shared" si="196"/>
        <v xml:space="preserve"> </v>
      </c>
      <c r="I427" s="168" t="str">
        <f t="shared" si="196"/>
        <v xml:space="preserve"> </v>
      </c>
      <c r="J427" s="101"/>
      <c r="K427" s="165"/>
      <c r="CA427" s="166" t="str">
        <f t="shared" si="194"/>
        <v xml:space="preserve"> </v>
      </c>
      <c r="CB427" s="101"/>
      <c r="CC427" s="100"/>
      <c r="CD427" s="167" t="str">
        <f t="shared" si="197"/>
        <v xml:space="preserve"> </v>
      </c>
      <c r="CE427" s="167" t="str">
        <f t="shared" si="197"/>
        <v xml:space="preserve"> </v>
      </c>
      <c r="CF427" s="167" t="str">
        <f t="shared" si="197"/>
        <v xml:space="preserve"> </v>
      </c>
      <c r="CG427" s="167" t="str">
        <f t="shared" si="197"/>
        <v xml:space="preserve"> </v>
      </c>
      <c r="CH427" s="167" t="str">
        <f t="shared" si="197"/>
        <v xml:space="preserve"> </v>
      </c>
      <c r="CI427" s="168" t="str">
        <f t="shared" si="197"/>
        <v xml:space="preserve"> </v>
      </c>
      <c r="CJ427" s="101"/>
      <c r="CK427" s="165"/>
    </row>
    <row r="428" spans="1:89">
      <c r="A428" s="238" t="str">
        <f t="shared" si="192"/>
        <v xml:space="preserve"> </v>
      </c>
      <c r="B428" s="253"/>
      <c r="C428" s="247"/>
      <c r="D428" s="240" t="str">
        <f t="shared" si="196"/>
        <v xml:space="preserve"> </v>
      </c>
      <c r="E428" s="240" t="str">
        <f t="shared" si="196"/>
        <v xml:space="preserve"> </v>
      </c>
      <c r="F428" s="240" t="str">
        <f t="shared" si="196"/>
        <v xml:space="preserve"> </v>
      </c>
      <c r="G428" s="240" t="str">
        <f t="shared" si="196"/>
        <v xml:space="preserve"> </v>
      </c>
      <c r="H428" s="240" t="str">
        <f t="shared" si="196"/>
        <v xml:space="preserve"> </v>
      </c>
      <c r="I428" s="251" t="str">
        <f t="shared" si="196"/>
        <v xml:space="preserve"> </v>
      </c>
      <c r="J428" s="253"/>
      <c r="K428" s="254"/>
      <c r="CA428" s="238" t="str">
        <f t="shared" si="194"/>
        <v xml:space="preserve"> </v>
      </c>
      <c r="CB428" s="253"/>
      <c r="CC428" s="247"/>
      <c r="CD428" s="240" t="str">
        <f t="shared" si="197"/>
        <v xml:space="preserve"> </v>
      </c>
      <c r="CE428" s="240" t="str">
        <f t="shared" si="197"/>
        <v xml:space="preserve"> </v>
      </c>
      <c r="CF428" s="240" t="str">
        <f t="shared" si="197"/>
        <v xml:space="preserve"> </v>
      </c>
      <c r="CG428" s="240" t="str">
        <f t="shared" si="197"/>
        <v xml:space="preserve"> </v>
      </c>
      <c r="CH428" s="240" t="str">
        <f t="shared" si="197"/>
        <v xml:space="preserve"> </v>
      </c>
      <c r="CI428" s="251" t="str">
        <f t="shared" si="197"/>
        <v xml:space="preserve"> </v>
      </c>
      <c r="CJ428" s="253"/>
      <c r="CK428" s="254"/>
    </row>
    <row r="429" spans="1:89">
      <c r="A429" s="166" t="str">
        <f t="shared" si="192"/>
        <v xml:space="preserve"> </v>
      </c>
      <c r="B429" s="101"/>
      <c r="C429" s="100"/>
      <c r="D429" s="167" t="str">
        <f t="shared" si="196"/>
        <v xml:space="preserve"> </v>
      </c>
      <c r="E429" s="167" t="str">
        <f t="shared" si="196"/>
        <v xml:space="preserve"> </v>
      </c>
      <c r="F429" s="167" t="str">
        <f t="shared" si="196"/>
        <v xml:space="preserve"> </v>
      </c>
      <c r="G429" s="167" t="str">
        <f t="shared" si="196"/>
        <v xml:space="preserve"> </v>
      </c>
      <c r="H429" s="167" t="str">
        <f t="shared" si="196"/>
        <v xml:space="preserve"> </v>
      </c>
      <c r="I429" s="168" t="str">
        <f t="shared" si="196"/>
        <v xml:space="preserve"> </v>
      </c>
      <c r="J429" s="101"/>
      <c r="K429" s="165"/>
      <c r="CA429" s="166" t="str">
        <f t="shared" si="194"/>
        <v xml:space="preserve"> </v>
      </c>
      <c r="CB429" s="101"/>
      <c r="CC429" s="100"/>
      <c r="CD429" s="167" t="str">
        <f t="shared" si="197"/>
        <v xml:space="preserve"> </v>
      </c>
      <c r="CE429" s="167" t="str">
        <f t="shared" si="197"/>
        <v xml:space="preserve"> </v>
      </c>
      <c r="CF429" s="167" t="str">
        <f t="shared" si="197"/>
        <v xml:space="preserve"> </v>
      </c>
      <c r="CG429" s="167" t="str">
        <f t="shared" si="197"/>
        <v xml:space="preserve"> </v>
      </c>
      <c r="CH429" s="167" t="str">
        <f t="shared" si="197"/>
        <v xml:space="preserve"> </v>
      </c>
      <c r="CI429" s="168" t="str">
        <f t="shared" si="197"/>
        <v xml:space="preserve"> </v>
      </c>
      <c r="CJ429" s="101"/>
      <c r="CK429" s="165"/>
    </row>
    <row r="430" spans="1:89">
      <c r="A430" s="238" t="str">
        <f t="shared" si="192"/>
        <v xml:space="preserve"> </v>
      </c>
      <c r="B430" s="253"/>
      <c r="C430" s="247"/>
      <c r="D430" s="240" t="str">
        <f t="shared" si="196"/>
        <v xml:space="preserve"> </v>
      </c>
      <c r="E430" s="240" t="str">
        <f t="shared" si="196"/>
        <v xml:space="preserve"> </v>
      </c>
      <c r="F430" s="240" t="str">
        <f t="shared" si="196"/>
        <v xml:space="preserve"> </v>
      </c>
      <c r="G430" s="240" t="str">
        <f t="shared" si="196"/>
        <v xml:space="preserve"> </v>
      </c>
      <c r="H430" s="240" t="str">
        <f t="shared" si="196"/>
        <v xml:space="preserve"> </v>
      </c>
      <c r="I430" s="251" t="str">
        <f t="shared" si="196"/>
        <v xml:space="preserve"> </v>
      </c>
      <c r="J430" s="253"/>
      <c r="K430" s="254"/>
      <c r="CA430" s="238" t="str">
        <f t="shared" si="194"/>
        <v xml:space="preserve"> </v>
      </c>
      <c r="CB430" s="253"/>
      <c r="CC430" s="247"/>
      <c r="CD430" s="240" t="str">
        <f t="shared" si="197"/>
        <v xml:space="preserve"> </v>
      </c>
      <c r="CE430" s="240" t="str">
        <f t="shared" si="197"/>
        <v xml:space="preserve"> </v>
      </c>
      <c r="CF430" s="240" t="str">
        <f t="shared" si="197"/>
        <v xml:space="preserve"> </v>
      </c>
      <c r="CG430" s="240" t="str">
        <f t="shared" si="197"/>
        <v xml:space="preserve"> </v>
      </c>
      <c r="CH430" s="240" t="str">
        <f t="shared" si="197"/>
        <v xml:space="preserve"> </v>
      </c>
      <c r="CI430" s="251" t="str">
        <f t="shared" si="197"/>
        <v xml:space="preserve"> </v>
      </c>
      <c r="CJ430" s="253"/>
      <c r="CK430" s="254"/>
    </row>
    <row r="431" spans="1:89">
      <c r="A431" s="166" t="str">
        <f t="shared" si="192"/>
        <v xml:space="preserve"> </v>
      </c>
      <c r="B431" s="101"/>
      <c r="C431" s="100"/>
      <c r="D431" s="167" t="str">
        <f t="shared" si="196"/>
        <v xml:space="preserve"> </v>
      </c>
      <c r="E431" s="167" t="str">
        <f t="shared" si="196"/>
        <v xml:space="preserve"> </v>
      </c>
      <c r="F431" s="167" t="str">
        <f t="shared" si="196"/>
        <v xml:space="preserve"> </v>
      </c>
      <c r="G431" s="167" t="str">
        <f t="shared" si="196"/>
        <v xml:space="preserve"> </v>
      </c>
      <c r="H431" s="167" t="str">
        <f t="shared" si="196"/>
        <v xml:space="preserve"> </v>
      </c>
      <c r="I431" s="168" t="str">
        <f t="shared" si="196"/>
        <v xml:space="preserve"> </v>
      </c>
      <c r="J431" s="101"/>
      <c r="K431" s="165"/>
      <c r="CA431" s="166" t="str">
        <f t="shared" si="194"/>
        <v xml:space="preserve"> </v>
      </c>
      <c r="CB431" s="101"/>
      <c r="CC431" s="100"/>
      <c r="CD431" s="167" t="str">
        <f t="shared" si="197"/>
        <v xml:space="preserve"> </v>
      </c>
      <c r="CE431" s="167" t="str">
        <f t="shared" si="197"/>
        <v xml:space="preserve"> </v>
      </c>
      <c r="CF431" s="167" t="str">
        <f t="shared" si="197"/>
        <v xml:space="preserve"> </v>
      </c>
      <c r="CG431" s="167" t="str">
        <f t="shared" si="197"/>
        <v xml:space="preserve"> </v>
      </c>
      <c r="CH431" s="167" t="str">
        <f t="shared" si="197"/>
        <v xml:space="preserve"> </v>
      </c>
      <c r="CI431" s="168" t="str">
        <f t="shared" si="197"/>
        <v xml:space="preserve"> </v>
      </c>
      <c r="CJ431" s="101"/>
      <c r="CK431" s="165"/>
    </row>
    <row r="432" spans="1:89">
      <c r="A432" s="246" t="str">
        <f t="shared" si="192"/>
        <v xml:space="preserve"> </v>
      </c>
      <c r="B432" s="258"/>
      <c r="C432" s="247"/>
      <c r="D432" s="247" t="str">
        <f t="shared" si="196"/>
        <v xml:space="preserve"> </v>
      </c>
      <c r="E432" s="247" t="str">
        <f t="shared" si="196"/>
        <v xml:space="preserve"> </v>
      </c>
      <c r="F432" s="247" t="str">
        <f t="shared" si="196"/>
        <v xml:space="preserve"> </v>
      </c>
      <c r="G432" s="247" t="str">
        <f t="shared" si="196"/>
        <v xml:space="preserve"> </v>
      </c>
      <c r="H432" s="247" t="str">
        <f t="shared" si="196"/>
        <v xml:space="preserve"> </v>
      </c>
      <c r="I432" s="256" t="str">
        <f t="shared" si="196"/>
        <v xml:space="preserve"> </v>
      </c>
      <c r="J432" s="258"/>
      <c r="K432" s="259"/>
      <c r="CA432" s="246" t="str">
        <f t="shared" si="194"/>
        <v xml:space="preserve"> </v>
      </c>
      <c r="CB432" s="258"/>
      <c r="CC432" s="247"/>
      <c r="CD432" s="247" t="str">
        <f t="shared" si="197"/>
        <v xml:space="preserve"> </v>
      </c>
      <c r="CE432" s="247" t="str">
        <f t="shared" si="197"/>
        <v xml:space="preserve"> </v>
      </c>
      <c r="CF432" s="247" t="str">
        <f t="shared" si="197"/>
        <v xml:space="preserve"> </v>
      </c>
      <c r="CG432" s="247" t="str">
        <f t="shared" si="197"/>
        <v xml:space="preserve"> </v>
      </c>
      <c r="CH432" s="247" t="str">
        <f t="shared" si="197"/>
        <v xml:space="preserve"> </v>
      </c>
      <c r="CI432" s="256" t="str">
        <f t="shared" si="197"/>
        <v xml:space="preserve"> </v>
      </c>
      <c r="CJ432" s="258"/>
      <c r="CK432" s="259"/>
    </row>
    <row r="433" spans="1:89">
      <c r="A433" s="179" t="s">
        <v>5212</v>
      </c>
      <c r="B433" s="102"/>
      <c r="C433" s="175" t="s">
        <v>5018</v>
      </c>
      <c r="D433" s="175" t="s">
        <v>5701</v>
      </c>
      <c r="E433" s="175" t="s">
        <v>5019</v>
      </c>
      <c r="F433" s="175" t="s">
        <v>5020</v>
      </c>
      <c r="G433" s="175" t="s">
        <v>5021</v>
      </c>
      <c r="H433" s="175" t="s">
        <v>5022</v>
      </c>
      <c r="I433" s="221" t="s">
        <v>5316</v>
      </c>
      <c r="J433" s="176"/>
      <c r="K433" s="180"/>
      <c r="CA433" s="179" t="s">
        <v>5212</v>
      </c>
      <c r="CB433" s="102"/>
      <c r="CC433" s="175" t="s">
        <v>5018</v>
      </c>
      <c r="CD433" s="175" t="s">
        <v>5701</v>
      </c>
      <c r="CE433" s="175" t="s">
        <v>5019</v>
      </c>
      <c r="CF433" s="175" t="s">
        <v>5020</v>
      </c>
      <c r="CG433" s="175" t="s">
        <v>5021</v>
      </c>
      <c r="CH433" s="175" t="s">
        <v>5022</v>
      </c>
      <c r="CI433" s="221" t="s">
        <v>5316</v>
      </c>
      <c r="CJ433" s="176"/>
      <c r="CK433" s="180"/>
    </row>
    <row r="434" spans="1:89">
      <c r="A434" s="166" t="str">
        <f t="shared" ref="A434:A445" si="198">IF(AND(A1134&gt;0,$D$2&gt;7),A1134," ")</f>
        <v xml:space="preserve"> </v>
      </c>
      <c r="B434" s="101"/>
      <c r="C434" s="100"/>
      <c r="D434" s="167" t="str">
        <f t="shared" ref="D434:I445" si="199">IF(AND(D1134&gt;0,$D$2&gt;7),D1134," ")</f>
        <v xml:space="preserve"> </v>
      </c>
      <c r="E434" s="167" t="str">
        <f t="shared" si="199"/>
        <v xml:space="preserve"> </v>
      </c>
      <c r="F434" s="167" t="str">
        <f t="shared" si="199"/>
        <v xml:space="preserve"> </v>
      </c>
      <c r="G434" s="167" t="str">
        <f t="shared" si="199"/>
        <v xml:space="preserve"> </v>
      </c>
      <c r="H434" s="167" t="str">
        <f t="shared" si="199"/>
        <v xml:space="preserve"> </v>
      </c>
      <c r="I434" s="168" t="str">
        <f t="shared" si="199"/>
        <v xml:space="preserve"> </v>
      </c>
      <c r="J434" s="101"/>
      <c r="K434" s="165"/>
      <c r="CA434" s="166" t="str">
        <f t="shared" ref="CA434:CA445" si="200">IF(AND(CA1134&gt;0,$D$2&gt;7),CA1134," ")</f>
        <v xml:space="preserve"> </v>
      </c>
      <c r="CB434" s="101"/>
      <c r="CC434" s="100"/>
      <c r="CD434" s="167" t="str">
        <f t="shared" ref="CD434:CI445" si="201">IF(AND(CD1134&gt;0,$D$2&gt;7),CD1134," ")</f>
        <v xml:space="preserve"> </v>
      </c>
      <c r="CE434" s="167" t="str">
        <f t="shared" si="201"/>
        <v xml:space="preserve"> </v>
      </c>
      <c r="CF434" s="167" t="str">
        <f t="shared" si="201"/>
        <v xml:space="preserve"> </v>
      </c>
      <c r="CG434" s="167" t="str">
        <f t="shared" si="201"/>
        <v xml:space="preserve"> </v>
      </c>
      <c r="CH434" s="167" t="str">
        <f t="shared" si="201"/>
        <v xml:space="preserve"> </v>
      </c>
      <c r="CI434" s="168" t="str">
        <f t="shared" si="201"/>
        <v xml:space="preserve"> </v>
      </c>
      <c r="CJ434" s="101"/>
      <c r="CK434" s="165"/>
    </row>
    <row r="435" spans="1:89">
      <c r="A435" s="238" t="str">
        <f t="shared" si="198"/>
        <v xml:space="preserve"> </v>
      </c>
      <c r="B435" s="253"/>
      <c r="C435" s="247"/>
      <c r="D435" s="240" t="str">
        <f t="shared" si="199"/>
        <v xml:space="preserve"> </v>
      </c>
      <c r="E435" s="240" t="str">
        <f t="shared" si="199"/>
        <v xml:space="preserve"> </v>
      </c>
      <c r="F435" s="240" t="str">
        <f t="shared" si="199"/>
        <v xml:space="preserve"> </v>
      </c>
      <c r="G435" s="240" t="str">
        <f t="shared" si="199"/>
        <v xml:space="preserve"> </v>
      </c>
      <c r="H435" s="240" t="str">
        <f t="shared" si="199"/>
        <v xml:space="preserve"> </v>
      </c>
      <c r="I435" s="251" t="str">
        <f t="shared" si="199"/>
        <v xml:space="preserve"> </v>
      </c>
      <c r="J435" s="253"/>
      <c r="K435" s="254"/>
      <c r="CA435" s="238" t="str">
        <f t="shared" si="200"/>
        <v xml:space="preserve"> </v>
      </c>
      <c r="CB435" s="253"/>
      <c r="CC435" s="247"/>
      <c r="CD435" s="240" t="str">
        <f t="shared" si="201"/>
        <v xml:space="preserve"> </v>
      </c>
      <c r="CE435" s="240" t="str">
        <f t="shared" si="201"/>
        <v xml:space="preserve"> </v>
      </c>
      <c r="CF435" s="240" t="str">
        <f t="shared" si="201"/>
        <v xml:space="preserve"> </v>
      </c>
      <c r="CG435" s="240" t="str">
        <f t="shared" si="201"/>
        <v xml:space="preserve"> </v>
      </c>
      <c r="CH435" s="240" t="str">
        <f t="shared" si="201"/>
        <v xml:space="preserve"> </v>
      </c>
      <c r="CI435" s="251" t="str">
        <f t="shared" si="201"/>
        <v xml:space="preserve"> </v>
      </c>
      <c r="CJ435" s="253"/>
      <c r="CK435" s="254"/>
    </row>
    <row r="436" spans="1:89">
      <c r="A436" s="166" t="str">
        <f t="shared" si="198"/>
        <v xml:space="preserve"> </v>
      </c>
      <c r="B436" s="101"/>
      <c r="C436" s="100"/>
      <c r="D436" s="167" t="str">
        <f t="shared" si="199"/>
        <v xml:space="preserve"> </v>
      </c>
      <c r="E436" s="167" t="str">
        <f t="shared" si="199"/>
        <v xml:space="preserve"> </v>
      </c>
      <c r="F436" s="167" t="str">
        <f t="shared" si="199"/>
        <v xml:space="preserve"> </v>
      </c>
      <c r="G436" s="167" t="str">
        <f t="shared" si="199"/>
        <v xml:space="preserve"> </v>
      </c>
      <c r="H436" s="167" t="str">
        <f t="shared" si="199"/>
        <v xml:space="preserve"> </v>
      </c>
      <c r="I436" s="168" t="str">
        <f t="shared" si="199"/>
        <v xml:space="preserve"> </v>
      </c>
      <c r="J436" s="101"/>
      <c r="K436" s="165"/>
      <c r="CA436" s="166" t="str">
        <f t="shared" si="200"/>
        <v xml:space="preserve"> </v>
      </c>
      <c r="CB436" s="101"/>
      <c r="CC436" s="100"/>
      <c r="CD436" s="167" t="str">
        <f t="shared" si="201"/>
        <v xml:space="preserve"> </v>
      </c>
      <c r="CE436" s="167" t="str">
        <f t="shared" si="201"/>
        <v xml:space="preserve"> </v>
      </c>
      <c r="CF436" s="167" t="str">
        <f t="shared" si="201"/>
        <v xml:space="preserve"> </v>
      </c>
      <c r="CG436" s="167" t="str">
        <f t="shared" si="201"/>
        <v xml:space="preserve"> </v>
      </c>
      <c r="CH436" s="167" t="str">
        <f t="shared" si="201"/>
        <v xml:space="preserve"> </v>
      </c>
      <c r="CI436" s="168" t="str">
        <f t="shared" si="201"/>
        <v xml:space="preserve"> </v>
      </c>
      <c r="CJ436" s="101"/>
      <c r="CK436" s="165"/>
    </row>
    <row r="437" spans="1:89">
      <c r="A437" s="238" t="str">
        <f t="shared" si="198"/>
        <v xml:space="preserve"> </v>
      </c>
      <c r="B437" s="253"/>
      <c r="C437" s="247"/>
      <c r="D437" s="240" t="str">
        <f t="shared" si="199"/>
        <v xml:space="preserve"> </v>
      </c>
      <c r="E437" s="240" t="str">
        <f t="shared" si="199"/>
        <v xml:space="preserve"> </v>
      </c>
      <c r="F437" s="240" t="str">
        <f t="shared" si="199"/>
        <v xml:space="preserve"> </v>
      </c>
      <c r="G437" s="240" t="str">
        <f t="shared" si="199"/>
        <v xml:space="preserve"> </v>
      </c>
      <c r="H437" s="240" t="str">
        <f t="shared" si="199"/>
        <v xml:space="preserve"> </v>
      </c>
      <c r="I437" s="251" t="str">
        <f t="shared" si="199"/>
        <v xml:space="preserve"> </v>
      </c>
      <c r="J437" s="253"/>
      <c r="K437" s="254"/>
      <c r="CA437" s="238" t="str">
        <f t="shared" si="200"/>
        <v xml:space="preserve"> </v>
      </c>
      <c r="CB437" s="253"/>
      <c r="CC437" s="247"/>
      <c r="CD437" s="240" t="str">
        <f t="shared" si="201"/>
        <v xml:space="preserve"> </v>
      </c>
      <c r="CE437" s="240" t="str">
        <f t="shared" si="201"/>
        <v xml:space="preserve"> </v>
      </c>
      <c r="CF437" s="240" t="str">
        <f t="shared" si="201"/>
        <v xml:space="preserve"> </v>
      </c>
      <c r="CG437" s="240" t="str">
        <f t="shared" si="201"/>
        <v xml:space="preserve"> </v>
      </c>
      <c r="CH437" s="240" t="str">
        <f t="shared" si="201"/>
        <v xml:space="preserve"> </v>
      </c>
      <c r="CI437" s="251" t="str">
        <f t="shared" si="201"/>
        <v xml:space="preserve"> </v>
      </c>
      <c r="CJ437" s="253"/>
      <c r="CK437" s="254"/>
    </row>
    <row r="438" spans="1:89">
      <c r="A438" s="166" t="str">
        <f t="shared" si="198"/>
        <v xml:space="preserve"> </v>
      </c>
      <c r="B438" s="101"/>
      <c r="C438" s="100"/>
      <c r="D438" s="167" t="str">
        <f t="shared" si="199"/>
        <v xml:space="preserve"> </v>
      </c>
      <c r="E438" s="167" t="str">
        <f t="shared" si="199"/>
        <v xml:space="preserve"> </v>
      </c>
      <c r="F438" s="167" t="str">
        <f t="shared" si="199"/>
        <v xml:space="preserve"> </v>
      </c>
      <c r="G438" s="167" t="str">
        <f t="shared" si="199"/>
        <v xml:space="preserve"> </v>
      </c>
      <c r="H438" s="167" t="str">
        <f t="shared" si="199"/>
        <v xml:space="preserve"> </v>
      </c>
      <c r="I438" s="168" t="str">
        <f t="shared" si="199"/>
        <v xml:space="preserve"> </v>
      </c>
      <c r="J438" s="101"/>
      <c r="K438" s="165"/>
      <c r="CA438" s="166" t="str">
        <f t="shared" si="200"/>
        <v xml:space="preserve"> </v>
      </c>
      <c r="CB438" s="101"/>
      <c r="CC438" s="100"/>
      <c r="CD438" s="167" t="str">
        <f t="shared" si="201"/>
        <v xml:space="preserve"> </v>
      </c>
      <c r="CE438" s="167" t="str">
        <f t="shared" si="201"/>
        <v xml:space="preserve"> </v>
      </c>
      <c r="CF438" s="167" t="str">
        <f t="shared" si="201"/>
        <v xml:space="preserve"> </v>
      </c>
      <c r="CG438" s="167" t="str">
        <f t="shared" si="201"/>
        <v xml:space="preserve"> </v>
      </c>
      <c r="CH438" s="167" t="str">
        <f t="shared" si="201"/>
        <v xml:space="preserve"> </v>
      </c>
      <c r="CI438" s="168" t="str">
        <f t="shared" si="201"/>
        <v xml:space="preserve"> </v>
      </c>
      <c r="CJ438" s="101"/>
      <c r="CK438" s="165"/>
    </row>
    <row r="439" spans="1:89">
      <c r="A439" s="238" t="str">
        <f t="shared" si="198"/>
        <v xml:space="preserve"> </v>
      </c>
      <c r="B439" s="253"/>
      <c r="C439" s="247"/>
      <c r="D439" s="240" t="str">
        <f t="shared" si="199"/>
        <v xml:space="preserve"> </v>
      </c>
      <c r="E439" s="240" t="str">
        <f t="shared" si="199"/>
        <v xml:space="preserve"> </v>
      </c>
      <c r="F439" s="240" t="str">
        <f t="shared" si="199"/>
        <v xml:space="preserve"> </v>
      </c>
      <c r="G439" s="240" t="str">
        <f t="shared" si="199"/>
        <v xml:space="preserve"> </v>
      </c>
      <c r="H439" s="240" t="str">
        <f t="shared" si="199"/>
        <v xml:space="preserve"> </v>
      </c>
      <c r="I439" s="251" t="str">
        <f t="shared" si="199"/>
        <v xml:space="preserve"> </v>
      </c>
      <c r="J439" s="253"/>
      <c r="K439" s="254"/>
      <c r="CA439" s="238" t="str">
        <f t="shared" si="200"/>
        <v xml:space="preserve"> </v>
      </c>
      <c r="CB439" s="253"/>
      <c r="CC439" s="247"/>
      <c r="CD439" s="240" t="str">
        <f t="shared" si="201"/>
        <v xml:space="preserve"> </v>
      </c>
      <c r="CE439" s="240" t="str">
        <f t="shared" si="201"/>
        <v xml:space="preserve"> </v>
      </c>
      <c r="CF439" s="240" t="str">
        <f t="shared" si="201"/>
        <v xml:space="preserve"> </v>
      </c>
      <c r="CG439" s="240" t="str">
        <f t="shared" si="201"/>
        <v xml:space="preserve"> </v>
      </c>
      <c r="CH439" s="240" t="str">
        <f t="shared" si="201"/>
        <v xml:space="preserve"> </v>
      </c>
      <c r="CI439" s="251" t="str">
        <f t="shared" si="201"/>
        <v xml:space="preserve"> </v>
      </c>
      <c r="CJ439" s="253"/>
      <c r="CK439" s="254"/>
    </row>
    <row r="440" spans="1:89">
      <c r="A440" s="166" t="str">
        <f t="shared" si="198"/>
        <v xml:space="preserve"> </v>
      </c>
      <c r="B440" s="101"/>
      <c r="C440" s="100"/>
      <c r="D440" s="167" t="str">
        <f t="shared" si="199"/>
        <v xml:space="preserve"> </v>
      </c>
      <c r="E440" s="167" t="str">
        <f t="shared" si="199"/>
        <v xml:space="preserve"> </v>
      </c>
      <c r="F440" s="167" t="str">
        <f t="shared" si="199"/>
        <v xml:space="preserve"> </v>
      </c>
      <c r="G440" s="167" t="str">
        <f t="shared" si="199"/>
        <v xml:space="preserve"> </v>
      </c>
      <c r="H440" s="167" t="str">
        <f t="shared" si="199"/>
        <v xml:space="preserve"> </v>
      </c>
      <c r="I440" s="168" t="str">
        <f t="shared" si="199"/>
        <v xml:space="preserve"> </v>
      </c>
      <c r="J440" s="101"/>
      <c r="K440" s="165"/>
      <c r="CA440" s="166" t="str">
        <f t="shared" si="200"/>
        <v xml:space="preserve"> </v>
      </c>
      <c r="CB440" s="101"/>
      <c r="CC440" s="100"/>
      <c r="CD440" s="167" t="str">
        <f t="shared" si="201"/>
        <v xml:space="preserve"> </v>
      </c>
      <c r="CE440" s="167" t="str">
        <f t="shared" si="201"/>
        <v xml:space="preserve"> </v>
      </c>
      <c r="CF440" s="167" t="str">
        <f t="shared" si="201"/>
        <v xml:space="preserve"> </v>
      </c>
      <c r="CG440" s="167" t="str">
        <f t="shared" si="201"/>
        <v xml:space="preserve"> </v>
      </c>
      <c r="CH440" s="167" t="str">
        <f t="shared" si="201"/>
        <v xml:space="preserve"> </v>
      </c>
      <c r="CI440" s="168" t="str">
        <f t="shared" si="201"/>
        <v xml:space="preserve"> </v>
      </c>
      <c r="CJ440" s="101"/>
      <c r="CK440" s="165"/>
    </row>
    <row r="441" spans="1:89">
      <c r="A441" s="238" t="str">
        <f t="shared" si="198"/>
        <v xml:space="preserve"> </v>
      </c>
      <c r="B441" s="253"/>
      <c r="C441" s="247"/>
      <c r="D441" s="240" t="str">
        <f t="shared" si="199"/>
        <v xml:space="preserve"> </v>
      </c>
      <c r="E441" s="240" t="str">
        <f t="shared" si="199"/>
        <v xml:space="preserve"> </v>
      </c>
      <c r="F441" s="240" t="str">
        <f t="shared" si="199"/>
        <v xml:space="preserve"> </v>
      </c>
      <c r="G441" s="240" t="str">
        <f t="shared" si="199"/>
        <v xml:space="preserve"> </v>
      </c>
      <c r="H441" s="240" t="str">
        <f t="shared" si="199"/>
        <v xml:space="preserve"> </v>
      </c>
      <c r="I441" s="251" t="str">
        <f t="shared" si="199"/>
        <v xml:space="preserve"> </v>
      </c>
      <c r="J441" s="253"/>
      <c r="K441" s="254"/>
      <c r="CA441" s="238" t="str">
        <f t="shared" si="200"/>
        <v xml:space="preserve"> </v>
      </c>
      <c r="CB441" s="253"/>
      <c r="CC441" s="247"/>
      <c r="CD441" s="240" t="str">
        <f t="shared" si="201"/>
        <v xml:space="preserve"> </v>
      </c>
      <c r="CE441" s="240" t="str">
        <f t="shared" si="201"/>
        <v xml:space="preserve"> </v>
      </c>
      <c r="CF441" s="240" t="str">
        <f t="shared" si="201"/>
        <v xml:space="preserve"> </v>
      </c>
      <c r="CG441" s="240" t="str">
        <f t="shared" si="201"/>
        <v xml:space="preserve"> </v>
      </c>
      <c r="CH441" s="240" t="str">
        <f t="shared" si="201"/>
        <v xml:space="preserve"> </v>
      </c>
      <c r="CI441" s="251" t="str">
        <f t="shared" si="201"/>
        <v xml:space="preserve"> </v>
      </c>
      <c r="CJ441" s="253"/>
      <c r="CK441" s="254"/>
    </row>
    <row r="442" spans="1:89">
      <c r="A442" s="166" t="str">
        <f t="shared" si="198"/>
        <v xml:space="preserve"> </v>
      </c>
      <c r="B442" s="101"/>
      <c r="C442" s="100"/>
      <c r="D442" s="167" t="str">
        <f t="shared" si="199"/>
        <v xml:space="preserve"> </v>
      </c>
      <c r="E442" s="167" t="str">
        <f t="shared" si="199"/>
        <v xml:space="preserve"> </v>
      </c>
      <c r="F442" s="167" t="str">
        <f t="shared" si="199"/>
        <v xml:space="preserve"> </v>
      </c>
      <c r="G442" s="167" t="str">
        <f t="shared" si="199"/>
        <v xml:space="preserve"> </v>
      </c>
      <c r="H442" s="167" t="str">
        <f t="shared" si="199"/>
        <v xml:space="preserve"> </v>
      </c>
      <c r="I442" s="168" t="str">
        <f t="shared" si="199"/>
        <v xml:space="preserve"> </v>
      </c>
      <c r="J442" s="101"/>
      <c r="K442" s="165"/>
      <c r="CA442" s="166" t="str">
        <f t="shared" si="200"/>
        <v xml:space="preserve"> </v>
      </c>
      <c r="CB442" s="101"/>
      <c r="CC442" s="100"/>
      <c r="CD442" s="167" t="str">
        <f t="shared" si="201"/>
        <v xml:space="preserve"> </v>
      </c>
      <c r="CE442" s="167" t="str">
        <f t="shared" si="201"/>
        <v xml:space="preserve"> </v>
      </c>
      <c r="CF442" s="167" t="str">
        <f t="shared" si="201"/>
        <v xml:space="preserve"> </v>
      </c>
      <c r="CG442" s="167" t="str">
        <f t="shared" si="201"/>
        <v xml:space="preserve"> </v>
      </c>
      <c r="CH442" s="167" t="str">
        <f t="shared" si="201"/>
        <v xml:space="preserve"> </v>
      </c>
      <c r="CI442" s="168" t="str">
        <f t="shared" si="201"/>
        <v xml:space="preserve"> </v>
      </c>
      <c r="CJ442" s="101"/>
      <c r="CK442" s="165"/>
    </row>
    <row r="443" spans="1:89">
      <c r="A443" s="238" t="str">
        <f t="shared" si="198"/>
        <v xml:space="preserve"> </v>
      </c>
      <c r="B443" s="253"/>
      <c r="C443" s="247"/>
      <c r="D443" s="240" t="str">
        <f t="shared" si="199"/>
        <v xml:space="preserve"> </v>
      </c>
      <c r="E443" s="240" t="str">
        <f t="shared" si="199"/>
        <v xml:space="preserve"> </v>
      </c>
      <c r="F443" s="240" t="str">
        <f t="shared" si="199"/>
        <v xml:space="preserve"> </v>
      </c>
      <c r="G443" s="240" t="str">
        <f t="shared" si="199"/>
        <v xml:space="preserve"> </v>
      </c>
      <c r="H443" s="240" t="str">
        <f t="shared" si="199"/>
        <v xml:space="preserve"> </v>
      </c>
      <c r="I443" s="251" t="str">
        <f t="shared" si="199"/>
        <v xml:space="preserve"> </v>
      </c>
      <c r="J443" s="253"/>
      <c r="K443" s="254"/>
      <c r="CA443" s="238" t="str">
        <f t="shared" si="200"/>
        <v xml:space="preserve"> </v>
      </c>
      <c r="CB443" s="253"/>
      <c r="CC443" s="247"/>
      <c r="CD443" s="240" t="str">
        <f t="shared" si="201"/>
        <v xml:space="preserve"> </v>
      </c>
      <c r="CE443" s="240" t="str">
        <f t="shared" si="201"/>
        <v xml:space="preserve"> </v>
      </c>
      <c r="CF443" s="240" t="str">
        <f t="shared" si="201"/>
        <v xml:space="preserve"> </v>
      </c>
      <c r="CG443" s="240" t="str">
        <f t="shared" si="201"/>
        <v xml:space="preserve"> </v>
      </c>
      <c r="CH443" s="240" t="str">
        <f t="shared" si="201"/>
        <v xml:space="preserve"> </v>
      </c>
      <c r="CI443" s="251" t="str">
        <f t="shared" si="201"/>
        <v xml:space="preserve"> </v>
      </c>
      <c r="CJ443" s="253"/>
      <c r="CK443" s="254"/>
    </row>
    <row r="444" spans="1:89">
      <c r="A444" s="166" t="str">
        <f t="shared" si="198"/>
        <v xml:space="preserve"> </v>
      </c>
      <c r="B444" s="101"/>
      <c r="C444" s="100"/>
      <c r="D444" s="167" t="str">
        <f t="shared" si="199"/>
        <v xml:space="preserve"> </v>
      </c>
      <c r="E444" s="167" t="str">
        <f t="shared" si="199"/>
        <v xml:space="preserve"> </v>
      </c>
      <c r="F444" s="167" t="str">
        <f t="shared" si="199"/>
        <v xml:space="preserve"> </v>
      </c>
      <c r="G444" s="167" t="str">
        <f t="shared" si="199"/>
        <v xml:space="preserve"> </v>
      </c>
      <c r="H444" s="167" t="str">
        <f t="shared" si="199"/>
        <v xml:space="preserve"> </v>
      </c>
      <c r="I444" s="168" t="str">
        <f t="shared" si="199"/>
        <v xml:space="preserve"> </v>
      </c>
      <c r="J444" s="101"/>
      <c r="K444" s="165"/>
      <c r="CA444" s="166" t="str">
        <f t="shared" si="200"/>
        <v xml:space="preserve"> </v>
      </c>
      <c r="CB444" s="101"/>
      <c r="CC444" s="100"/>
      <c r="CD444" s="167" t="str">
        <f t="shared" si="201"/>
        <v xml:space="preserve"> </v>
      </c>
      <c r="CE444" s="167" t="str">
        <f t="shared" si="201"/>
        <v xml:space="preserve"> </v>
      </c>
      <c r="CF444" s="167" t="str">
        <f t="shared" si="201"/>
        <v xml:space="preserve"> </v>
      </c>
      <c r="CG444" s="167" t="str">
        <f t="shared" si="201"/>
        <v xml:space="preserve"> </v>
      </c>
      <c r="CH444" s="167" t="str">
        <f t="shared" si="201"/>
        <v xml:space="preserve"> </v>
      </c>
      <c r="CI444" s="168" t="str">
        <f t="shared" si="201"/>
        <v xml:space="preserve"> </v>
      </c>
      <c r="CJ444" s="101"/>
      <c r="CK444" s="165"/>
    </row>
    <row r="445" spans="1:89">
      <c r="A445" s="246" t="str">
        <f t="shared" si="198"/>
        <v xml:space="preserve"> </v>
      </c>
      <c r="B445" s="258"/>
      <c r="C445" s="247"/>
      <c r="D445" s="247" t="str">
        <f t="shared" si="199"/>
        <v xml:space="preserve"> </v>
      </c>
      <c r="E445" s="247" t="str">
        <f t="shared" si="199"/>
        <v xml:space="preserve"> </v>
      </c>
      <c r="F445" s="247" t="str">
        <f t="shared" si="199"/>
        <v xml:space="preserve"> </v>
      </c>
      <c r="G445" s="247" t="str">
        <f t="shared" si="199"/>
        <v xml:space="preserve"> </v>
      </c>
      <c r="H445" s="247" t="str">
        <f t="shared" si="199"/>
        <v xml:space="preserve"> </v>
      </c>
      <c r="I445" s="256" t="str">
        <f t="shared" si="199"/>
        <v xml:space="preserve"> </v>
      </c>
      <c r="J445" s="258"/>
      <c r="K445" s="259"/>
      <c r="CA445" s="246" t="str">
        <f t="shared" si="200"/>
        <v xml:space="preserve"> </v>
      </c>
      <c r="CB445" s="258"/>
      <c r="CC445" s="247"/>
      <c r="CD445" s="247" t="str">
        <f t="shared" si="201"/>
        <v xml:space="preserve"> </v>
      </c>
      <c r="CE445" s="247" t="str">
        <f t="shared" si="201"/>
        <v xml:space="preserve"> </v>
      </c>
      <c r="CF445" s="247" t="str">
        <f t="shared" si="201"/>
        <v xml:space="preserve"> </v>
      </c>
      <c r="CG445" s="247" t="str">
        <f t="shared" si="201"/>
        <v xml:space="preserve"> </v>
      </c>
      <c r="CH445" s="247" t="str">
        <f t="shared" si="201"/>
        <v xml:space="preserve"> </v>
      </c>
      <c r="CI445" s="256" t="str">
        <f t="shared" si="201"/>
        <v xml:space="preserve"> </v>
      </c>
      <c r="CJ445" s="258"/>
      <c r="CK445" s="259"/>
    </row>
    <row r="446" spans="1:89">
      <c r="A446" s="179" t="s">
        <v>5213</v>
      </c>
      <c r="B446" s="102"/>
      <c r="C446" s="175" t="s">
        <v>5018</v>
      </c>
      <c r="D446" s="175" t="s">
        <v>5701</v>
      </c>
      <c r="E446" s="175" t="s">
        <v>5019</v>
      </c>
      <c r="F446" s="175" t="s">
        <v>5020</v>
      </c>
      <c r="G446" s="175" t="s">
        <v>5021</v>
      </c>
      <c r="H446" s="175" t="s">
        <v>5022</v>
      </c>
      <c r="I446" s="221" t="s">
        <v>5316</v>
      </c>
      <c r="J446" s="176"/>
      <c r="K446" s="180"/>
      <c r="CA446" s="179" t="s">
        <v>5213</v>
      </c>
      <c r="CB446" s="102"/>
      <c r="CC446" s="175" t="s">
        <v>5018</v>
      </c>
      <c r="CD446" s="175" t="s">
        <v>5701</v>
      </c>
      <c r="CE446" s="175" t="s">
        <v>5019</v>
      </c>
      <c r="CF446" s="175" t="s">
        <v>5020</v>
      </c>
      <c r="CG446" s="175" t="s">
        <v>5021</v>
      </c>
      <c r="CH446" s="175" t="s">
        <v>5022</v>
      </c>
      <c r="CI446" s="221" t="s">
        <v>5316</v>
      </c>
      <c r="CJ446" s="176"/>
      <c r="CK446" s="180"/>
    </row>
    <row r="447" spans="1:89">
      <c r="A447" s="166" t="str">
        <f t="shared" ref="A447:A457" si="202">IF(AND(A1147&gt;0,$D$2&gt;8),A1147," ")</f>
        <v xml:space="preserve"> </v>
      </c>
      <c r="B447" s="101"/>
      <c r="C447" s="100"/>
      <c r="D447" s="167" t="str">
        <f t="shared" ref="D447:I457" si="203">IF(AND(D1147&gt;0,$D$2&gt;8),D1147," ")</f>
        <v xml:space="preserve"> </v>
      </c>
      <c r="E447" s="167" t="str">
        <f t="shared" si="203"/>
        <v xml:space="preserve"> </v>
      </c>
      <c r="F447" s="167" t="str">
        <f t="shared" si="203"/>
        <v xml:space="preserve"> </v>
      </c>
      <c r="G447" s="167" t="str">
        <f t="shared" si="203"/>
        <v xml:space="preserve"> </v>
      </c>
      <c r="H447" s="167" t="str">
        <f t="shared" si="203"/>
        <v xml:space="preserve"> </v>
      </c>
      <c r="I447" s="168" t="str">
        <f t="shared" si="203"/>
        <v xml:space="preserve"> </v>
      </c>
      <c r="J447" s="101"/>
      <c r="K447" s="165"/>
      <c r="CA447" s="166" t="str">
        <f t="shared" ref="CA447:CA457" si="204">IF(AND(CA1147&gt;0,$D$2&gt;8),CA1147," ")</f>
        <v xml:space="preserve"> </v>
      </c>
      <c r="CB447" s="101"/>
      <c r="CC447" s="100"/>
      <c r="CD447" s="167" t="str">
        <f t="shared" ref="CD447:CI457" si="205">IF(AND(CD1147&gt;0,$D$2&gt;8),CD1147," ")</f>
        <v xml:space="preserve"> </v>
      </c>
      <c r="CE447" s="167" t="str">
        <f t="shared" si="205"/>
        <v xml:space="preserve"> </v>
      </c>
      <c r="CF447" s="167" t="str">
        <f t="shared" si="205"/>
        <v xml:space="preserve"> </v>
      </c>
      <c r="CG447" s="167" t="str">
        <f t="shared" si="205"/>
        <v xml:space="preserve"> </v>
      </c>
      <c r="CH447" s="167" t="str">
        <f t="shared" si="205"/>
        <v xml:space="preserve"> </v>
      </c>
      <c r="CI447" s="168" t="str">
        <f t="shared" si="205"/>
        <v xml:space="preserve"> </v>
      </c>
      <c r="CJ447" s="101"/>
      <c r="CK447" s="165"/>
    </row>
    <row r="448" spans="1:89">
      <c r="A448" s="238" t="str">
        <f t="shared" si="202"/>
        <v xml:space="preserve"> </v>
      </c>
      <c r="B448" s="253"/>
      <c r="C448" s="247"/>
      <c r="D448" s="240" t="str">
        <f t="shared" si="203"/>
        <v xml:space="preserve"> </v>
      </c>
      <c r="E448" s="240" t="str">
        <f t="shared" si="203"/>
        <v xml:space="preserve"> </v>
      </c>
      <c r="F448" s="240" t="str">
        <f t="shared" si="203"/>
        <v xml:space="preserve"> </v>
      </c>
      <c r="G448" s="240" t="str">
        <f t="shared" si="203"/>
        <v xml:space="preserve"> </v>
      </c>
      <c r="H448" s="240" t="str">
        <f t="shared" si="203"/>
        <v xml:space="preserve"> </v>
      </c>
      <c r="I448" s="251" t="str">
        <f t="shared" si="203"/>
        <v xml:space="preserve"> </v>
      </c>
      <c r="J448" s="253"/>
      <c r="K448" s="254"/>
      <c r="CA448" s="238" t="str">
        <f t="shared" si="204"/>
        <v xml:space="preserve"> </v>
      </c>
      <c r="CB448" s="253"/>
      <c r="CC448" s="247"/>
      <c r="CD448" s="240" t="str">
        <f t="shared" si="205"/>
        <v xml:space="preserve"> </v>
      </c>
      <c r="CE448" s="240" t="str">
        <f t="shared" si="205"/>
        <v xml:space="preserve"> </v>
      </c>
      <c r="CF448" s="240" t="str">
        <f t="shared" si="205"/>
        <v xml:space="preserve"> </v>
      </c>
      <c r="CG448" s="240" t="str">
        <f t="shared" si="205"/>
        <v xml:space="preserve"> </v>
      </c>
      <c r="CH448" s="240" t="str">
        <f t="shared" si="205"/>
        <v xml:space="preserve"> </v>
      </c>
      <c r="CI448" s="251" t="str">
        <f t="shared" si="205"/>
        <v xml:space="preserve"> </v>
      </c>
      <c r="CJ448" s="253"/>
      <c r="CK448" s="254"/>
    </row>
    <row r="449" spans="1:89">
      <c r="A449" s="166" t="str">
        <f t="shared" si="202"/>
        <v xml:space="preserve"> </v>
      </c>
      <c r="B449" s="101"/>
      <c r="C449" s="100"/>
      <c r="D449" s="167" t="str">
        <f t="shared" si="203"/>
        <v xml:space="preserve"> </v>
      </c>
      <c r="E449" s="167" t="str">
        <f t="shared" si="203"/>
        <v xml:space="preserve"> </v>
      </c>
      <c r="F449" s="167" t="str">
        <f t="shared" si="203"/>
        <v xml:space="preserve"> </v>
      </c>
      <c r="G449" s="167" t="str">
        <f t="shared" si="203"/>
        <v xml:space="preserve"> </v>
      </c>
      <c r="H449" s="167" t="str">
        <f t="shared" si="203"/>
        <v xml:space="preserve"> </v>
      </c>
      <c r="I449" s="168" t="str">
        <f t="shared" si="203"/>
        <v xml:space="preserve"> </v>
      </c>
      <c r="J449" s="101"/>
      <c r="K449" s="165"/>
      <c r="CA449" s="166" t="str">
        <f t="shared" si="204"/>
        <v xml:space="preserve"> </v>
      </c>
      <c r="CB449" s="101"/>
      <c r="CC449" s="100"/>
      <c r="CD449" s="167" t="str">
        <f t="shared" si="205"/>
        <v xml:space="preserve"> </v>
      </c>
      <c r="CE449" s="167" t="str">
        <f t="shared" si="205"/>
        <v xml:space="preserve"> </v>
      </c>
      <c r="CF449" s="167" t="str">
        <f t="shared" si="205"/>
        <v xml:space="preserve"> </v>
      </c>
      <c r="CG449" s="167" t="str">
        <f t="shared" si="205"/>
        <v xml:space="preserve"> </v>
      </c>
      <c r="CH449" s="167" t="str">
        <f t="shared" si="205"/>
        <v xml:space="preserve"> </v>
      </c>
      <c r="CI449" s="168" t="str">
        <f t="shared" si="205"/>
        <v xml:space="preserve"> </v>
      </c>
      <c r="CJ449" s="101"/>
      <c r="CK449" s="165"/>
    </row>
    <row r="450" spans="1:89">
      <c r="A450" s="238" t="str">
        <f t="shared" si="202"/>
        <v xml:space="preserve"> </v>
      </c>
      <c r="B450" s="253"/>
      <c r="C450" s="247"/>
      <c r="D450" s="240" t="str">
        <f t="shared" si="203"/>
        <v xml:space="preserve"> </v>
      </c>
      <c r="E450" s="240" t="str">
        <f t="shared" si="203"/>
        <v xml:space="preserve"> </v>
      </c>
      <c r="F450" s="240" t="str">
        <f t="shared" si="203"/>
        <v xml:space="preserve"> </v>
      </c>
      <c r="G450" s="240" t="str">
        <f t="shared" si="203"/>
        <v xml:space="preserve"> </v>
      </c>
      <c r="H450" s="240" t="str">
        <f t="shared" si="203"/>
        <v xml:space="preserve"> </v>
      </c>
      <c r="I450" s="251" t="str">
        <f t="shared" si="203"/>
        <v xml:space="preserve"> </v>
      </c>
      <c r="J450" s="253"/>
      <c r="K450" s="254"/>
      <c r="CA450" s="238" t="str">
        <f t="shared" si="204"/>
        <v xml:space="preserve"> </v>
      </c>
      <c r="CB450" s="253"/>
      <c r="CC450" s="247"/>
      <c r="CD450" s="240" t="str">
        <f t="shared" si="205"/>
        <v xml:space="preserve"> </v>
      </c>
      <c r="CE450" s="240" t="str">
        <f t="shared" si="205"/>
        <v xml:space="preserve"> </v>
      </c>
      <c r="CF450" s="240" t="str">
        <f t="shared" si="205"/>
        <v xml:space="preserve"> </v>
      </c>
      <c r="CG450" s="240" t="str">
        <f t="shared" si="205"/>
        <v xml:space="preserve"> </v>
      </c>
      <c r="CH450" s="240" t="str">
        <f t="shared" si="205"/>
        <v xml:space="preserve"> </v>
      </c>
      <c r="CI450" s="251" t="str">
        <f t="shared" si="205"/>
        <v xml:space="preserve"> </v>
      </c>
      <c r="CJ450" s="253"/>
      <c r="CK450" s="254"/>
    </row>
    <row r="451" spans="1:89">
      <c r="A451" s="166" t="str">
        <f t="shared" si="202"/>
        <v xml:space="preserve"> </v>
      </c>
      <c r="B451" s="101"/>
      <c r="C451" s="100"/>
      <c r="D451" s="167" t="str">
        <f t="shared" si="203"/>
        <v xml:space="preserve"> </v>
      </c>
      <c r="E451" s="167" t="str">
        <f t="shared" si="203"/>
        <v xml:space="preserve"> </v>
      </c>
      <c r="F451" s="167" t="str">
        <f t="shared" si="203"/>
        <v xml:space="preserve"> </v>
      </c>
      <c r="G451" s="167" t="str">
        <f t="shared" si="203"/>
        <v xml:space="preserve"> </v>
      </c>
      <c r="H451" s="167" t="str">
        <f t="shared" si="203"/>
        <v xml:space="preserve"> </v>
      </c>
      <c r="I451" s="168" t="str">
        <f t="shared" si="203"/>
        <v xml:space="preserve"> </v>
      </c>
      <c r="J451" s="101"/>
      <c r="K451" s="165"/>
      <c r="CA451" s="166" t="str">
        <f t="shared" si="204"/>
        <v xml:space="preserve"> </v>
      </c>
      <c r="CB451" s="101"/>
      <c r="CC451" s="100"/>
      <c r="CD451" s="167" t="str">
        <f t="shared" si="205"/>
        <v xml:space="preserve"> </v>
      </c>
      <c r="CE451" s="167" t="str">
        <f t="shared" si="205"/>
        <v xml:space="preserve"> </v>
      </c>
      <c r="CF451" s="167" t="str">
        <f t="shared" si="205"/>
        <v xml:space="preserve"> </v>
      </c>
      <c r="CG451" s="167" t="str">
        <f t="shared" si="205"/>
        <v xml:space="preserve"> </v>
      </c>
      <c r="CH451" s="167" t="str">
        <f t="shared" si="205"/>
        <v xml:space="preserve"> </v>
      </c>
      <c r="CI451" s="168" t="str">
        <f t="shared" si="205"/>
        <v xml:space="preserve"> </v>
      </c>
      <c r="CJ451" s="101"/>
      <c r="CK451" s="165"/>
    </row>
    <row r="452" spans="1:89">
      <c r="A452" s="238" t="str">
        <f t="shared" si="202"/>
        <v xml:space="preserve"> </v>
      </c>
      <c r="B452" s="253"/>
      <c r="C452" s="247"/>
      <c r="D452" s="240" t="str">
        <f t="shared" si="203"/>
        <v xml:space="preserve"> </v>
      </c>
      <c r="E452" s="240" t="str">
        <f t="shared" si="203"/>
        <v xml:space="preserve"> </v>
      </c>
      <c r="F452" s="240" t="str">
        <f t="shared" si="203"/>
        <v xml:space="preserve"> </v>
      </c>
      <c r="G452" s="240" t="str">
        <f t="shared" si="203"/>
        <v xml:space="preserve"> </v>
      </c>
      <c r="H452" s="240" t="str">
        <f t="shared" si="203"/>
        <v xml:space="preserve"> </v>
      </c>
      <c r="I452" s="251" t="str">
        <f t="shared" si="203"/>
        <v xml:space="preserve"> </v>
      </c>
      <c r="J452" s="253"/>
      <c r="K452" s="254"/>
      <c r="CA452" s="238" t="str">
        <f t="shared" si="204"/>
        <v xml:space="preserve"> </v>
      </c>
      <c r="CB452" s="253"/>
      <c r="CC452" s="247"/>
      <c r="CD452" s="240" t="str">
        <f t="shared" si="205"/>
        <v xml:space="preserve"> </v>
      </c>
      <c r="CE452" s="240" t="str">
        <f t="shared" si="205"/>
        <v xml:space="preserve"> </v>
      </c>
      <c r="CF452" s="240" t="str">
        <f t="shared" si="205"/>
        <v xml:space="preserve"> </v>
      </c>
      <c r="CG452" s="240" t="str">
        <f t="shared" si="205"/>
        <v xml:space="preserve"> </v>
      </c>
      <c r="CH452" s="240" t="str">
        <f t="shared" si="205"/>
        <v xml:space="preserve"> </v>
      </c>
      <c r="CI452" s="251" t="str">
        <f t="shared" si="205"/>
        <v xml:space="preserve"> </v>
      </c>
      <c r="CJ452" s="253"/>
      <c r="CK452" s="254"/>
    </row>
    <row r="453" spans="1:89">
      <c r="A453" s="166" t="str">
        <f t="shared" si="202"/>
        <v xml:space="preserve"> </v>
      </c>
      <c r="B453" s="101"/>
      <c r="C453" s="100"/>
      <c r="D453" s="167" t="str">
        <f t="shared" si="203"/>
        <v xml:space="preserve"> </v>
      </c>
      <c r="E453" s="167" t="str">
        <f t="shared" si="203"/>
        <v xml:space="preserve"> </v>
      </c>
      <c r="F453" s="167" t="str">
        <f t="shared" si="203"/>
        <v xml:space="preserve"> </v>
      </c>
      <c r="G453" s="167" t="str">
        <f t="shared" si="203"/>
        <v xml:space="preserve"> </v>
      </c>
      <c r="H453" s="167" t="str">
        <f t="shared" si="203"/>
        <v xml:space="preserve"> </v>
      </c>
      <c r="I453" s="168" t="str">
        <f t="shared" si="203"/>
        <v xml:space="preserve"> </v>
      </c>
      <c r="J453" s="101"/>
      <c r="K453" s="165"/>
      <c r="CA453" s="166" t="str">
        <f t="shared" si="204"/>
        <v xml:space="preserve"> </v>
      </c>
      <c r="CB453" s="101"/>
      <c r="CC453" s="100"/>
      <c r="CD453" s="167" t="str">
        <f t="shared" si="205"/>
        <v xml:space="preserve"> </v>
      </c>
      <c r="CE453" s="167" t="str">
        <f t="shared" si="205"/>
        <v xml:space="preserve"> </v>
      </c>
      <c r="CF453" s="167" t="str">
        <f t="shared" si="205"/>
        <v xml:space="preserve"> </v>
      </c>
      <c r="CG453" s="167" t="str">
        <f t="shared" si="205"/>
        <v xml:space="preserve"> </v>
      </c>
      <c r="CH453" s="167" t="str">
        <f t="shared" si="205"/>
        <v xml:space="preserve"> </v>
      </c>
      <c r="CI453" s="168" t="str">
        <f t="shared" si="205"/>
        <v xml:space="preserve"> </v>
      </c>
      <c r="CJ453" s="101"/>
      <c r="CK453" s="165"/>
    </row>
    <row r="454" spans="1:89">
      <c r="A454" s="238" t="str">
        <f t="shared" si="202"/>
        <v xml:space="preserve"> </v>
      </c>
      <c r="B454" s="253"/>
      <c r="C454" s="247"/>
      <c r="D454" s="240" t="str">
        <f t="shared" si="203"/>
        <v xml:space="preserve"> </v>
      </c>
      <c r="E454" s="240" t="str">
        <f t="shared" si="203"/>
        <v xml:space="preserve"> </v>
      </c>
      <c r="F454" s="240" t="str">
        <f t="shared" si="203"/>
        <v xml:space="preserve"> </v>
      </c>
      <c r="G454" s="240" t="str">
        <f t="shared" si="203"/>
        <v xml:space="preserve"> </v>
      </c>
      <c r="H454" s="240" t="str">
        <f t="shared" si="203"/>
        <v xml:space="preserve"> </v>
      </c>
      <c r="I454" s="251" t="str">
        <f t="shared" si="203"/>
        <v xml:space="preserve"> </v>
      </c>
      <c r="J454" s="253"/>
      <c r="K454" s="254"/>
      <c r="CA454" s="238" t="str">
        <f t="shared" si="204"/>
        <v xml:space="preserve"> </v>
      </c>
      <c r="CB454" s="253"/>
      <c r="CC454" s="247"/>
      <c r="CD454" s="240" t="str">
        <f t="shared" si="205"/>
        <v xml:space="preserve"> </v>
      </c>
      <c r="CE454" s="240" t="str">
        <f t="shared" si="205"/>
        <v xml:space="preserve"> </v>
      </c>
      <c r="CF454" s="240" t="str">
        <f t="shared" si="205"/>
        <v xml:space="preserve"> </v>
      </c>
      <c r="CG454" s="240" t="str">
        <f t="shared" si="205"/>
        <v xml:space="preserve"> </v>
      </c>
      <c r="CH454" s="240" t="str">
        <f t="shared" si="205"/>
        <v xml:space="preserve"> </v>
      </c>
      <c r="CI454" s="251" t="str">
        <f t="shared" si="205"/>
        <v xml:space="preserve"> </v>
      </c>
      <c r="CJ454" s="253"/>
      <c r="CK454" s="254"/>
    </row>
    <row r="455" spans="1:89">
      <c r="A455" s="166" t="str">
        <f t="shared" si="202"/>
        <v xml:space="preserve"> </v>
      </c>
      <c r="B455" s="101"/>
      <c r="C455" s="100"/>
      <c r="D455" s="167" t="str">
        <f t="shared" si="203"/>
        <v xml:space="preserve"> </v>
      </c>
      <c r="E455" s="167" t="str">
        <f t="shared" si="203"/>
        <v xml:space="preserve"> </v>
      </c>
      <c r="F455" s="167" t="str">
        <f t="shared" si="203"/>
        <v xml:space="preserve"> </v>
      </c>
      <c r="G455" s="167" t="str">
        <f t="shared" si="203"/>
        <v xml:space="preserve"> </v>
      </c>
      <c r="H455" s="167" t="str">
        <f t="shared" si="203"/>
        <v xml:space="preserve"> </v>
      </c>
      <c r="I455" s="168" t="str">
        <f t="shared" si="203"/>
        <v xml:space="preserve"> </v>
      </c>
      <c r="J455" s="101"/>
      <c r="K455" s="165"/>
      <c r="CA455" s="166" t="str">
        <f t="shared" si="204"/>
        <v xml:space="preserve"> </v>
      </c>
      <c r="CB455" s="101"/>
      <c r="CC455" s="100"/>
      <c r="CD455" s="167" t="str">
        <f t="shared" si="205"/>
        <v xml:space="preserve"> </v>
      </c>
      <c r="CE455" s="167" t="str">
        <f t="shared" si="205"/>
        <v xml:space="preserve"> </v>
      </c>
      <c r="CF455" s="167" t="str">
        <f t="shared" si="205"/>
        <v xml:space="preserve"> </v>
      </c>
      <c r="CG455" s="167" t="str">
        <f t="shared" si="205"/>
        <v xml:space="preserve"> </v>
      </c>
      <c r="CH455" s="167" t="str">
        <f t="shared" si="205"/>
        <v xml:space="preserve"> </v>
      </c>
      <c r="CI455" s="168" t="str">
        <f t="shared" si="205"/>
        <v xml:space="preserve"> </v>
      </c>
      <c r="CJ455" s="101"/>
      <c r="CK455" s="165"/>
    </row>
    <row r="456" spans="1:89">
      <c r="A456" s="238" t="str">
        <f t="shared" si="202"/>
        <v xml:space="preserve"> </v>
      </c>
      <c r="B456" s="253"/>
      <c r="C456" s="247"/>
      <c r="D456" s="240" t="str">
        <f t="shared" si="203"/>
        <v xml:space="preserve"> </v>
      </c>
      <c r="E456" s="240" t="str">
        <f t="shared" si="203"/>
        <v xml:space="preserve"> </v>
      </c>
      <c r="F456" s="240" t="str">
        <f t="shared" si="203"/>
        <v xml:space="preserve"> </v>
      </c>
      <c r="G456" s="240" t="str">
        <f t="shared" si="203"/>
        <v xml:space="preserve"> </v>
      </c>
      <c r="H456" s="240" t="str">
        <f t="shared" si="203"/>
        <v xml:space="preserve"> </v>
      </c>
      <c r="I456" s="251" t="str">
        <f t="shared" si="203"/>
        <v xml:space="preserve"> </v>
      </c>
      <c r="J456" s="253"/>
      <c r="K456" s="254"/>
      <c r="CA456" s="238" t="str">
        <f t="shared" si="204"/>
        <v xml:space="preserve"> </v>
      </c>
      <c r="CB456" s="253"/>
      <c r="CC456" s="247"/>
      <c r="CD456" s="240" t="str">
        <f t="shared" si="205"/>
        <v xml:space="preserve"> </v>
      </c>
      <c r="CE456" s="240" t="str">
        <f t="shared" si="205"/>
        <v xml:space="preserve"> </v>
      </c>
      <c r="CF456" s="240" t="str">
        <f t="shared" si="205"/>
        <v xml:space="preserve"> </v>
      </c>
      <c r="CG456" s="240" t="str">
        <f t="shared" si="205"/>
        <v xml:space="preserve"> </v>
      </c>
      <c r="CH456" s="240" t="str">
        <f t="shared" si="205"/>
        <v xml:space="preserve"> </v>
      </c>
      <c r="CI456" s="251" t="str">
        <f t="shared" si="205"/>
        <v xml:space="preserve"> </v>
      </c>
      <c r="CJ456" s="253"/>
      <c r="CK456" s="254"/>
    </row>
    <row r="457" spans="1:89">
      <c r="A457" s="181" t="str">
        <f t="shared" si="202"/>
        <v xml:space="preserve"> </v>
      </c>
      <c r="B457" s="103"/>
      <c r="C457" s="100"/>
      <c r="D457" s="100" t="str">
        <f t="shared" si="203"/>
        <v xml:space="preserve"> </v>
      </c>
      <c r="E457" s="100" t="str">
        <f t="shared" si="203"/>
        <v xml:space="preserve"> </v>
      </c>
      <c r="F457" s="100" t="str">
        <f t="shared" si="203"/>
        <v xml:space="preserve"> </v>
      </c>
      <c r="G457" s="100" t="str">
        <f t="shared" si="203"/>
        <v xml:space="preserve"> </v>
      </c>
      <c r="H457" s="100" t="str">
        <f t="shared" si="203"/>
        <v xml:space="preserve"> </v>
      </c>
      <c r="I457" s="177" t="str">
        <f t="shared" si="203"/>
        <v xml:space="preserve"> </v>
      </c>
      <c r="J457" s="103"/>
      <c r="K457" s="182"/>
      <c r="CA457" s="181" t="str">
        <f t="shared" si="204"/>
        <v xml:space="preserve"> </v>
      </c>
      <c r="CB457" s="103"/>
      <c r="CC457" s="100"/>
      <c r="CD457" s="100" t="str">
        <f t="shared" si="205"/>
        <v xml:space="preserve"> </v>
      </c>
      <c r="CE457" s="100" t="str">
        <f t="shared" si="205"/>
        <v xml:space="preserve"> </v>
      </c>
      <c r="CF457" s="100" t="str">
        <f t="shared" si="205"/>
        <v xml:space="preserve"> </v>
      </c>
      <c r="CG457" s="100" t="str">
        <f t="shared" si="205"/>
        <v xml:space="preserve"> </v>
      </c>
      <c r="CH457" s="100" t="str">
        <f t="shared" si="205"/>
        <v xml:space="preserve"> </v>
      </c>
      <c r="CI457" s="177" t="str">
        <f t="shared" si="205"/>
        <v xml:space="preserve"> </v>
      </c>
      <c r="CJ457" s="103"/>
      <c r="CK457" s="182"/>
    </row>
    <row r="458" spans="1:89">
      <c r="A458" s="179" t="s">
        <v>5214</v>
      </c>
      <c r="B458" s="102"/>
      <c r="C458" s="175" t="s">
        <v>5018</v>
      </c>
      <c r="D458" s="175" t="s">
        <v>5701</v>
      </c>
      <c r="E458" s="175" t="s">
        <v>5019</v>
      </c>
      <c r="F458" s="175" t="s">
        <v>5020</v>
      </c>
      <c r="G458" s="175" t="s">
        <v>5021</v>
      </c>
      <c r="H458" s="175" t="s">
        <v>5022</v>
      </c>
      <c r="I458" s="221" t="s">
        <v>5316</v>
      </c>
      <c r="J458" s="176"/>
      <c r="K458" s="180"/>
      <c r="CA458" s="179" t="s">
        <v>5214</v>
      </c>
      <c r="CB458" s="102"/>
      <c r="CC458" s="175" t="s">
        <v>5018</v>
      </c>
      <c r="CD458" s="175" t="s">
        <v>5701</v>
      </c>
      <c r="CE458" s="175" t="s">
        <v>5019</v>
      </c>
      <c r="CF458" s="175" t="s">
        <v>5020</v>
      </c>
      <c r="CG458" s="175" t="s">
        <v>5021</v>
      </c>
      <c r="CH458" s="175" t="s">
        <v>5022</v>
      </c>
      <c r="CI458" s="221" t="s">
        <v>5316</v>
      </c>
      <c r="CJ458" s="176"/>
      <c r="CK458" s="180"/>
    </row>
    <row r="459" spans="1:89">
      <c r="A459" s="166" t="str">
        <f t="shared" ref="A459:A470" si="206">IF(AND(A1159&gt;0,$D$2&gt;9),A1159," ")</f>
        <v xml:space="preserve"> </v>
      </c>
      <c r="B459" s="101"/>
      <c r="C459" s="100"/>
      <c r="D459" s="167" t="str">
        <f t="shared" ref="D459:I470" si="207">IF(AND(D1159&gt;0,$D$2&gt;9),D1159," ")</f>
        <v xml:space="preserve"> </v>
      </c>
      <c r="E459" s="167" t="str">
        <f t="shared" si="207"/>
        <v xml:space="preserve"> </v>
      </c>
      <c r="F459" s="167" t="str">
        <f t="shared" si="207"/>
        <v xml:space="preserve"> </v>
      </c>
      <c r="G459" s="167" t="str">
        <f t="shared" si="207"/>
        <v xml:space="preserve"> </v>
      </c>
      <c r="H459" s="167" t="str">
        <f t="shared" si="207"/>
        <v xml:space="preserve"> </v>
      </c>
      <c r="I459" s="168" t="str">
        <f t="shared" si="207"/>
        <v xml:space="preserve"> </v>
      </c>
      <c r="J459" s="101"/>
      <c r="K459" s="165"/>
      <c r="CA459" s="166" t="str">
        <f t="shared" ref="CA459:CA470" si="208">IF(AND(CA1159&gt;0,$D$2&gt;9),CA1159," ")</f>
        <v xml:space="preserve"> </v>
      </c>
      <c r="CB459" s="101"/>
      <c r="CC459" s="100"/>
      <c r="CD459" s="167" t="str">
        <f t="shared" ref="CD459:CI470" si="209">IF(AND(CD1159&gt;0,$D$2&gt;9),CD1159," ")</f>
        <v xml:space="preserve"> </v>
      </c>
      <c r="CE459" s="167" t="str">
        <f t="shared" si="209"/>
        <v xml:space="preserve"> </v>
      </c>
      <c r="CF459" s="167" t="str">
        <f t="shared" si="209"/>
        <v xml:space="preserve"> </v>
      </c>
      <c r="CG459" s="167" t="str">
        <f t="shared" si="209"/>
        <v xml:space="preserve"> </v>
      </c>
      <c r="CH459" s="167" t="str">
        <f t="shared" si="209"/>
        <v xml:space="preserve"> </v>
      </c>
      <c r="CI459" s="168" t="str">
        <f t="shared" si="209"/>
        <v xml:space="preserve"> </v>
      </c>
      <c r="CJ459" s="101"/>
      <c r="CK459" s="165"/>
    </row>
    <row r="460" spans="1:89">
      <c r="A460" s="238" t="str">
        <f t="shared" si="206"/>
        <v xml:space="preserve"> </v>
      </c>
      <c r="B460" s="253"/>
      <c r="C460" s="247"/>
      <c r="D460" s="240" t="str">
        <f t="shared" si="207"/>
        <v xml:space="preserve"> </v>
      </c>
      <c r="E460" s="240" t="str">
        <f t="shared" si="207"/>
        <v xml:space="preserve"> </v>
      </c>
      <c r="F460" s="240" t="str">
        <f t="shared" si="207"/>
        <v xml:space="preserve"> </v>
      </c>
      <c r="G460" s="240" t="str">
        <f t="shared" si="207"/>
        <v xml:space="preserve"> </v>
      </c>
      <c r="H460" s="240" t="str">
        <f t="shared" si="207"/>
        <v xml:space="preserve"> </v>
      </c>
      <c r="I460" s="251" t="str">
        <f t="shared" si="207"/>
        <v xml:space="preserve"> </v>
      </c>
      <c r="J460" s="253"/>
      <c r="K460" s="254"/>
      <c r="CA460" s="238" t="str">
        <f t="shared" si="208"/>
        <v xml:space="preserve"> </v>
      </c>
      <c r="CB460" s="253"/>
      <c r="CC460" s="247"/>
      <c r="CD460" s="240" t="str">
        <f t="shared" si="209"/>
        <v xml:space="preserve"> </v>
      </c>
      <c r="CE460" s="240" t="str">
        <f t="shared" si="209"/>
        <v xml:space="preserve"> </v>
      </c>
      <c r="CF460" s="240" t="str">
        <f t="shared" si="209"/>
        <v xml:space="preserve"> </v>
      </c>
      <c r="CG460" s="240" t="str">
        <f t="shared" si="209"/>
        <v xml:space="preserve"> </v>
      </c>
      <c r="CH460" s="240" t="str">
        <f t="shared" si="209"/>
        <v xml:space="preserve"> </v>
      </c>
      <c r="CI460" s="251" t="str">
        <f t="shared" si="209"/>
        <v xml:space="preserve"> </v>
      </c>
      <c r="CJ460" s="253"/>
      <c r="CK460" s="254"/>
    </row>
    <row r="461" spans="1:89">
      <c r="A461" s="166" t="str">
        <f t="shared" si="206"/>
        <v xml:space="preserve"> </v>
      </c>
      <c r="B461" s="101"/>
      <c r="C461" s="100"/>
      <c r="D461" s="167" t="str">
        <f t="shared" si="207"/>
        <v xml:space="preserve"> </v>
      </c>
      <c r="E461" s="167" t="str">
        <f t="shared" si="207"/>
        <v xml:space="preserve"> </v>
      </c>
      <c r="F461" s="167" t="str">
        <f t="shared" si="207"/>
        <v xml:space="preserve"> </v>
      </c>
      <c r="G461" s="167" t="str">
        <f t="shared" si="207"/>
        <v xml:space="preserve"> </v>
      </c>
      <c r="H461" s="167" t="str">
        <f t="shared" si="207"/>
        <v xml:space="preserve"> </v>
      </c>
      <c r="I461" s="168" t="str">
        <f t="shared" si="207"/>
        <v xml:space="preserve"> </v>
      </c>
      <c r="J461" s="101"/>
      <c r="K461" s="165"/>
      <c r="CA461" s="166" t="str">
        <f t="shared" si="208"/>
        <v xml:space="preserve"> </v>
      </c>
      <c r="CB461" s="101"/>
      <c r="CC461" s="100"/>
      <c r="CD461" s="167" t="str">
        <f t="shared" si="209"/>
        <v xml:space="preserve"> </v>
      </c>
      <c r="CE461" s="167" t="str">
        <f t="shared" si="209"/>
        <v xml:space="preserve"> </v>
      </c>
      <c r="CF461" s="167" t="str">
        <f t="shared" si="209"/>
        <v xml:space="preserve"> </v>
      </c>
      <c r="CG461" s="167" t="str">
        <f t="shared" si="209"/>
        <v xml:space="preserve"> </v>
      </c>
      <c r="CH461" s="167" t="str">
        <f t="shared" si="209"/>
        <v xml:space="preserve"> </v>
      </c>
      <c r="CI461" s="168" t="str">
        <f t="shared" si="209"/>
        <v xml:space="preserve"> </v>
      </c>
      <c r="CJ461" s="101"/>
      <c r="CK461" s="165"/>
    </row>
    <row r="462" spans="1:89">
      <c r="A462" s="238" t="str">
        <f t="shared" si="206"/>
        <v xml:space="preserve"> </v>
      </c>
      <c r="B462" s="253"/>
      <c r="C462" s="247"/>
      <c r="D462" s="240" t="str">
        <f t="shared" si="207"/>
        <v xml:space="preserve"> </v>
      </c>
      <c r="E462" s="240" t="str">
        <f t="shared" si="207"/>
        <v xml:space="preserve"> </v>
      </c>
      <c r="F462" s="240" t="str">
        <f t="shared" si="207"/>
        <v xml:space="preserve"> </v>
      </c>
      <c r="G462" s="240" t="str">
        <f t="shared" si="207"/>
        <v xml:space="preserve"> </v>
      </c>
      <c r="H462" s="240" t="str">
        <f t="shared" si="207"/>
        <v xml:space="preserve"> </v>
      </c>
      <c r="I462" s="251" t="str">
        <f t="shared" si="207"/>
        <v xml:space="preserve"> </v>
      </c>
      <c r="J462" s="253"/>
      <c r="K462" s="254"/>
      <c r="CA462" s="238" t="str">
        <f t="shared" si="208"/>
        <v xml:space="preserve"> </v>
      </c>
      <c r="CB462" s="253"/>
      <c r="CC462" s="247"/>
      <c r="CD462" s="240" t="str">
        <f t="shared" si="209"/>
        <v xml:space="preserve"> </v>
      </c>
      <c r="CE462" s="240" t="str">
        <f t="shared" si="209"/>
        <v xml:space="preserve"> </v>
      </c>
      <c r="CF462" s="240" t="str">
        <f t="shared" si="209"/>
        <v xml:space="preserve"> </v>
      </c>
      <c r="CG462" s="240" t="str">
        <f t="shared" si="209"/>
        <v xml:space="preserve"> </v>
      </c>
      <c r="CH462" s="240" t="str">
        <f t="shared" si="209"/>
        <v xml:space="preserve"> </v>
      </c>
      <c r="CI462" s="251" t="str">
        <f t="shared" si="209"/>
        <v xml:space="preserve"> </v>
      </c>
      <c r="CJ462" s="253"/>
      <c r="CK462" s="254"/>
    </row>
    <row r="463" spans="1:89">
      <c r="A463" s="166" t="str">
        <f t="shared" si="206"/>
        <v xml:space="preserve"> </v>
      </c>
      <c r="B463" s="101"/>
      <c r="C463" s="100"/>
      <c r="D463" s="167" t="str">
        <f t="shared" si="207"/>
        <v xml:space="preserve"> </v>
      </c>
      <c r="E463" s="167" t="str">
        <f t="shared" si="207"/>
        <v xml:space="preserve"> </v>
      </c>
      <c r="F463" s="167" t="str">
        <f t="shared" si="207"/>
        <v xml:space="preserve"> </v>
      </c>
      <c r="G463" s="167" t="str">
        <f t="shared" si="207"/>
        <v xml:space="preserve"> </v>
      </c>
      <c r="H463" s="167" t="str">
        <f t="shared" si="207"/>
        <v xml:space="preserve"> </v>
      </c>
      <c r="I463" s="168" t="str">
        <f t="shared" si="207"/>
        <v xml:space="preserve"> </v>
      </c>
      <c r="J463" s="101"/>
      <c r="K463" s="165"/>
      <c r="CA463" s="166" t="str">
        <f t="shared" si="208"/>
        <v xml:space="preserve"> </v>
      </c>
      <c r="CB463" s="101"/>
      <c r="CC463" s="100"/>
      <c r="CD463" s="167" t="str">
        <f t="shared" si="209"/>
        <v xml:space="preserve"> </v>
      </c>
      <c r="CE463" s="167" t="str">
        <f t="shared" si="209"/>
        <v xml:space="preserve"> </v>
      </c>
      <c r="CF463" s="167" t="str">
        <f t="shared" si="209"/>
        <v xml:space="preserve"> </v>
      </c>
      <c r="CG463" s="167" t="str">
        <f t="shared" si="209"/>
        <v xml:space="preserve"> </v>
      </c>
      <c r="CH463" s="167" t="str">
        <f t="shared" si="209"/>
        <v xml:space="preserve"> </v>
      </c>
      <c r="CI463" s="168" t="str">
        <f t="shared" si="209"/>
        <v xml:space="preserve"> </v>
      </c>
      <c r="CJ463" s="101"/>
      <c r="CK463" s="165"/>
    </row>
    <row r="464" spans="1:89">
      <c r="A464" s="238" t="str">
        <f t="shared" si="206"/>
        <v xml:space="preserve"> </v>
      </c>
      <c r="B464" s="253"/>
      <c r="C464" s="247"/>
      <c r="D464" s="240" t="str">
        <f t="shared" si="207"/>
        <v xml:space="preserve"> </v>
      </c>
      <c r="E464" s="240" t="str">
        <f t="shared" si="207"/>
        <v xml:space="preserve"> </v>
      </c>
      <c r="F464" s="240" t="str">
        <f t="shared" si="207"/>
        <v xml:space="preserve"> </v>
      </c>
      <c r="G464" s="240" t="str">
        <f t="shared" si="207"/>
        <v xml:space="preserve"> </v>
      </c>
      <c r="H464" s="240" t="str">
        <f t="shared" si="207"/>
        <v xml:space="preserve"> </v>
      </c>
      <c r="I464" s="251" t="str">
        <f t="shared" si="207"/>
        <v xml:space="preserve"> </v>
      </c>
      <c r="J464" s="253"/>
      <c r="K464" s="254"/>
      <c r="CA464" s="238" t="str">
        <f t="shared" si="208"/>
        <v xml:space="preserve"> </v>
      </c>
      <c r="CB464" s="253"/>
      <c r="CC464" s="247"/>
      <c r="CD464" s="240" t="str">
        <f t="shared" si="209"/>
        <v xml:space="preserve"> </v>
      </c>
      <c r="CE464" s="240" t="str">
        <f t="shared" si="209"/>
        <v xml:space="preserve"> </v>
      </c>
      <c r="CF464" s="240" t="str">
        <f t="shared" si="209"/>
        <v xml:space="preserve"> </v>
      </c>
      <c r="CG464" s="240" t="str">
        <f t="shared" si="209"/>
        <v xml:space="preserve"> </v>
      </c>
      <c r="CH464" s="240" t="str">
        <f t="shared" si="209"/>
        <v xml:space="preserve"> </v>
      </c>
      <c r="CI464" s="251" t="str">
        <f t="shared" si="209"/>
        <v xml:space="preserve"> </v>
      </c>
      <c r="CJ464" s="253"/>
      <c r="CK464" s="254"/>
    </row>
    <row r="465" spans="1:89">
      <c r="A465" s="166" t="str">
        <f t="shared" si="206"/>
        <v xml:space="preserve"> </v>
      </c>
      <c r="B465" s="101"/>
      <c r="C465" s="100"/>
      <c r="D465" s="167" t="str">
        <f t="shared" si="207"/>
        <v xml:space="preserve"> </v>
      </c>
      <c r="E465" s="167" t="str">
        <f t="shared" si="207"/>
        <v xml:space="preserve"> </v>
      </c>
      <c r="F465" s="167" t="str">
        <f t="shared" si="207"/>
        <v xml:space="preserve"> </v>
      </c>
      <c r="G465" s="167" t="str">
        <f t="shared" si="207"/>
        <v xml:space="preserve"> </v>
      </c>
      <c r="H465" s="167" t="str">
        <f t="shared" si="207"/>
        <v xml:space="preserve"> </v>
      </c>
      <c r="I465" s="168" t="str">
        <f t="shared" si="207"/>
        <v xml:space="preserve"> </v>
      </c>
      <c r="J465" s="101"/>
      <c r="K465" s="165"/>
      <c r="CA465" s="166" t="str">
        <f t="shared" si="208"/>
        <v xml:space="preserve"> </v>
      </c>
      <c r="CB465" s="101"/>
      <c r="CC465" s="100"/>
      <c r="CD465" s="167" t="str">
        <f t="shared" si="209"/>
        <v xml:space="preserve"> </v>
      </c>
      <c r="CE465" s="167" t="str">
        <f t="shared" si="209"/>
        <v xml:space="preserve"> </v>
      </c>
      <c r="CF465" s="167" t="str">
        <f t="shared" si="209"/>
        <v xml:space="preserve"> </v>
      </c>
      <c r="CG465" s="167" t="str">
        <f t="shared" si="209"/>
        <v xml:space="preserve"> </v>
      </c>
      <c r="CH465" s="167" t="str">
        <f t="shared" si="209"/>
        <v xml:space="preserve"> </v>
      </c>
      <c r="CI465" s="168" t="str">
        <f t="shared" si="209"/>
        <v xml:space="preserve"> </v>
      </c>
      <c r="CJ465" s="101"/>
      <c r="CK465" s="165"/>
    </row>
    <row r="466" spans="1:89">
      <c r="A466" s="238" t="str">
        <f t="shared" si="206"/>
        <v xml:space="preserve"> </v>
      </c>
      <c r="B466" s="253"/>
      <c r="C466" s="247"/>
      <c r="D466" s="240" t="str">
        <f t="shared" si="207"/>
        <v xml:space="preserve"> </v>
      </c>
      <c r="E466" s="240" t="str">
        <f t="shared" si="207"/>
        <v xml:space="preserve"> </v>
      </c>
      <c r="F466" s="240" t="str">
        <f t="shared" si="207"/>
        <v xml:space="preserve"> </v>
      </c>
      <c r="G466" s="240" t="str">
        <f t="shared" si="207"/>
        <v xml:space="preserve"> </v>
      </c>
      <c r="H466" s="240" t="str">
        <f t="shared" si="207"/>
        <v xml:space="preserve"> </v>
      </c>
      <c r="I466" s="251" t="str">
        <f t="shared" si="207"/>
        <v xml:space="preserve"> </v>
      </c>
      <c r="J466" s="253"/>
      <c r="K466" s="254"/>
      <c r="CA466" s="238" t="str">
        <f t="shared" si="208"/>
        <v xml:space="preserve"> </v>
      </c>
      <c r="CB466" s="253"/>
      <c r="CC466" s="247"/>
      <c r="CD466" s="240" t="str">
        <f t="shared" si="209"/>
        <v xml:space="preserve"> </v>
      </c>
      <c r="CE466" s="240" t="str">
        <f t="shared" si="209"/>
        <v xml:space="preserve"> </v>
      </c>
      <c r="CF466" s="240" t="str">
        <f t="shared" si="209"/>
        <v xml:space="preserve"> </v>
      </c>
      <c r="CG466" s="240" t="str">
        <f t="shared" si="209"/>
        <v xml:space="preserve"> </v>
      </c>
      <c r="CH466" s="240" t="str">
        <f t="shared" si="209"/>
        <v xml:space="preserve"> </v>
      </c>
      <c r="CI466" s="251" t="str">
        <f t="shared" si="209"/>
        <v xml:space="preserve"> </v>
      </c>
      <c r="CJ466" s="253"/>
      <c r="CK466" s="254"/>
    </row>
    <row r="467" spans="1:89">
      <c r="A467" s="166" t="str">
        <f t="shared" si="206"/>
        <v xml:space="preserve"> </v>
      </c>
      <c r="B467" s="101"/>
      <c r="C467" s="100"/>
      <c r="D467" s="167" t="str">
        <f t="shared" si="207"/>
        <v xml:space="preserve"> </v>
      </c>
      <c r="E467" s="167" t="str">
        <f t="shared" si="207"/>
        <v xml:space="preserve"> </v>
      </c>
      <c r="F467" s="167" t="str">
        <f t="shared" si="207"/>
        <v xml:space="preserve"> </v>
      </c>
      <c r="G467" s="167" t="str">
        <f t="shared" si="207"/>
        <v xml:space="preserve"> </v>
      </c>
      <c r="H467" s="167" t="str">
        <f t="shared" si="207"/>
        <v xml:space="preserve"> </v>
      </c>
      <c r="I467" s="168" t="str">
        <f t="shared" si="207"/>
        <v xml:space="preserve"> </v>
      </c>
      <c r="J467" s="101"/>
      <c r="K467" s="165"/>
      <c r="CA467" s="166" t="str">
        <f t="shared" si="208"/>
        <v xml:space="preserve"> </v>
      </c>
      <c r="CB467" s="101"/>
      <c r="CC467" s="100"/>
      <c r="CD467" s="167" t="str">
        <f t="shared" si="209"/>
        <v xml:space="preserve"> </v>
      </c>
      <c r="CE467" s="167" t="str">
        <f t="shared" si="209"/>
        <v xml:space="preserve"> </v>
      </c>
      <c r="CF467" s="167" t="str">
        <f t="shared" si="209"/>
        <v xml:space="preserve"> </v>
      </c>
      <c r="CG467" s="167" t="str">
        <f t="shared" si="209"/>
        <v xml:space="preserve"> </v>
      </c>
      <c r="CH467" s="167" t="str">
        <f t="shared" si="209"/>
        <v xml:space="preserve"> </v>
      </c>
      <c r="CI467" s="168" t="str">
        <f t="shared" si="209"/>
        <v xml:space="preserve"> </v>
      </c>
      <c r="CJ467" s="101"/>
      <c r="CK467" s="165"/>
    </row>
    <row r="468" spans="1:89">
      <c r="A468" s="238" t="str">
        <f t="shared" si="206"/>
        <v xml:space="preserve"> </v>
      </c>
      <c r="B468" s="253"/>
      <c r="C468" s="247"/>
      <c r="D468" s="240" t="str">
        <f t="shared" si="207"/>
        <v xml:space="preserve"> </v>
      </c>
      <c r="E468" s="240" t="str">
        <f t="shared" si="207"/>
        <v xml:space="preserve"> </v>
      </c>
      <c r="F468" s="240" t="str">
        <f t="shared" si="207"/>
        <v xml:space="preserve"> </v>
      </c>
      <c r="G468" s="240" t="str">
        <f t="shared" si="207"/>
        <v xml:space="preserve"> </v>
      </c>
      <c r="H468" s="240" t="str">
        <f t="shared" si="207"/>
        <v xml:space="preserve"> </v>
      </c>
      <c r="I468" s="251" t="str">
        <f t="shared" si="207"/>
        <v xml:space="preserve"> </v>
      </c>
      <c r="J468" s="253"/>
      <c r="K468" s="254"/>
      <c r="CA468" s="238" t="str">
        <f t="shared" si="208"/>
        <v xml:space="preserve"> </v>
      </c>
      <c r="CB468" s="253"/>
      <c r="CC468" s="247"/>
      <c r="CD468" s="240" t="str">
        <f t="shared" si="209"/>
        <v xml:space="preserve"> </v>
      </c>
      <c r="CE468" s="240" t="str">
        <f t="shared" si="209"/>
        <v xml:space="preserve"> </v>
      </c>
      <c r="CF468" s="240" t="str">
        <f t="shared" si="209"/>
        <v xml:space="preserve"> </v>
      </c>
      <c r="CG468" s="240" t="str">
        <f t="shared" si="209"/>
        <v xml:space="preserve"> </v>
      </c>
      <c r="CH468" s="240" t="str">
        <f t="shared" si="209"/>
        <v xml:space="preserve"> </v>
      </c>
      <c r="CI468" s="251" t="str">
        <f t="shared" si="209"/>
        <v xml:space="preserve"> </v>
      </c>
      <c r="CJ468" s="253"/>
      <c r="CK468" s="254"/>
    </row>
    <row r="469" spans="1:89">
      <c r="A469" s="166" t="str">
        <f t="shared" si="206"/>
        <v xml:space="preserve"> </v>
      </c>
      <c r="B469" s="101"/>
      <c r="C469" s="100"/>
      <c r="D469" s="167" t="str">
        <f t="shared" si="207"/>
        <v xml:space="preserve"> </v>
      </c>
      <c r="E469" s="167" t="str">
        <f t="shared" si="207"/>
        <v xml:space="preserve"> </v>
      </c>
      <c r="F469" s="167" t="str">
        <f t="shared" si="207"/>
        <v xml:space="preserve"> </v>
      </c>
      <c r="G469" s="167" t="str">
        <f t="shared" si="207"/>
        <v xml:space="preserve"> </v>
      </c>
      <c r="H469" s="167" t="str">
        <f t="shared" si="207"/>
        <v xml:space="preserve"> </v>
      </c>
      <c r="I469" s="168" t="str">
        <f t="shared" si="207"/>
        <v xml:space="preserve"> </v>
      </c>
      <c r="J469" s="101"/>
      <c r="K469" s="165"/>
      <c r="CA469" s="166" t="str">
        <f t="shared" si="208"/>
        <v xml:space="preserve"> </v>
      </c>
      <c r="CB469" s="101"/>
      <c r="CC469" s="100"/>
      <c r="CD469" s="167" t="str">
        <f t="shared" si="209"/>
        <v xml:space="preserve"> </v>
      </c>
      <c r="CE469" s="167" t="str">
        <f t="shared" si="209"/>
        <v xml:space="preserve"> </v>
      </c>
      <c r="CF469" s="167" t="str">
        <f t="shared" si="209"/>
        <v xml:space="preserve"> </v>
      </c>
      <c r="CG469" s="167" t="str">
        <f t="shared" si="209"/>
        <v xml:space="preserve"> </v>
      </c>
      <c r="CH469" s="167" t="str">
        <f t="shared" si="209"/>
        <v xml:space="preserve"> </v>
      </c>
      <c r="CI469" s="168" t="str">
        <f t="shared" si="209"/>
        <v xml:space="preserve"> </v>
      </c>
      <c r="CJ469" s="101"/>
      <c r="CK469" s="165"/>
    </row>
    <row r="470" spans="1:89">
      <c r="A470" s="246" t="str">
        <f t="shared" si="206"/>
        <v xml:space="preserve"> </v>
      </c>
      <c r="B470" s="258"/>
      <c r="C470" s="247"/>
      <c r="D470" s="247" t="str">
        <f t="shared" si="207"/>
        <v xml:space="preserve"> </v>
      </c>
      <c r="E470" s="247" t="str">
        <f t="shared" si="207"/>
        <v xml:space="preserve"> </v>
      </c>
      <c r="F470" s="247" t="str">
        <f t="shared" si="207"/>
        <v xml:space="preserve"> </v>
      </c>
      <c r="G470" s="247" t="str">
        <f t="shared" si="207"/>
        <v xml:space="preserve"> </v>
      </c>
      <c r="H470" s="247" t="str">
        <f t="shared" si="207"/>
        <v xml:space="preserve"> </v>
      </c>
      <c r="I470" s="256" t="str">
        <f t="shared" si="207"/>
        <v xml:space="preserve"> </v>
      </c>
      <c r="J470" s="258"/>
      <c r="K470" s="259"/>
      <c r="CA470" s="246" t="str">
        <f t="shared" si="208"/>
        <v xml:space="preserve"> </v>
      </c>
      <c r="CB470" s="258"/>
      <c r="CC470" s="247"/>
      <c r="CD470" s="247" t="str">
        <f t="shared" si="209"/>
        <v xml:space="preserve"> </v>
      </c>
      <c r="CE470" s="247" t="str">
        <f t="shared" si="209"/>
        <v xml:space="preserve"> </v>
      </c>
      <c r="CF470" s="247" t="str">
        <f t="shared" si="209"/>
        <v xml:space="preserve"> </v>
      </c>
      <c r="CG470" s="247" t="str">
        <f t="shared" si="209"/>
        <v xml:space="preserve"> </v>
      </c>
      <c r="CH470" s="247" t="str">
        <f t="shared" si="209"/>
        <v xml:space="preserve"> </v>
      </c>
      <c r="CI470" s="256" t="str">
        <f t="shared" si="209"/>
        <v xml:space="preserve"> </v>
      </c>
      <c r="CJ470" s="258"/>
      <c r="CK470" s="259"/>
    </row>
    <row r="471" spans="1:89">
      <c r="A471" s="179" t="s">
        <v>5215</v>
      </c>
      <c r="B471" s="102"/>
      <c r="C471" s="175" t="s">
        <v>5018</v>
      </c>
      <c r="D471" s="175" t="s">
        <v>5701</v>
      </c>
      <c r="E471" s="175" t="s">
        <v>5019</v>
      </c>
      <c r="F471" s="175" t="s">
        <v>5020</v>
      </c>
      <c r="G471" s="175" t="s">
        <v>5021</v>
      </c>
      <c r="H471" s="175" t="s">
        <v>5022</v>
      </c>
      <c r="I471" s="221" t="s">
        <v>5316</v>
      </c>
      <c r="J471" s="176"/>
      <c r="K471" s="180"/>
      <c r="CA471" s="179" t="s">
        <v>5215</v>
      </c>
      <c r="CB471" s="102"/>
      <c r="CC471" s="175" t="s">
        <v>5018</v>
      </c>
      <c r="CD471" s="175" t="s">
        <v>5701</v>
      </c>
      <c r="CE471" s="175" t="s">
        <v>5019</v>
      </c>
      <c r="CF471" s="175" t="s">
        <v>5020</v>
      </c>
      <c r="CG471" s="175" t="s">
        <v>5021</v>
      </c>
      <c r="CH471" s="175" t="s">
        <v>5022</v>
      </c>
      <c r="CI471" s="221" t="s">
        <v>5316</v>
      </c>
      <c r="CJ471" s="176"/>
      <c r="CK471" s="180"/>
    </row>
    <row r="472" spans="1:89">
      <c r="A472" s="166" t="str">
        <f>IF(AND(A1172&gt;0,$D$2&gt;10),A1172," ")</f>
        <v xml:space="preserve"> </v>
      </c>
      <c r="B472" s="101"/>
      <c r="C472" s="100"/>
      <c r="D472" s="167" t="str">
        <f t="shared" ref="D472:I476" si="210">IF(AND(D1172&gt;0,$D$2&gt;10),D1172," ")</f>
        <v xml:space="preserve"> </v>
      </c>
      <c r="E472" s="167" t="str">
        <f t="shared" si="210"/>
        <v xml:space="preserve"> </v>
      </c>
      <c r="F472" s="167" t="str">
        <f t="shared" si="210"/>
        <v xml:space="preserve"> </v>
      </c>
      <c r="G472" s="167" t="str">
        <f t="shared" si="210"/>
        <v xml:space="preserve"> </v>
      </c>
      <c r="H472" s="167" t="str">
        <f t="shared" si="210"/>
        <v xml:space="preserve"> </v>
      </c>
      <c r="I472" s="168" t="str">
        <f t="shared" si="210"/>
        <v xml:space="preserve"> </v>
      </c>
      <c r="J472" s="101"/>
      <c r="K472" s="165"/>
      <c r="CA472" s="166" t="str">
        <f>IF(AND(CA1172&gt;0,$D$2&gt;10),CA1172," ")</f>
        <v xml:space="preserve"> </v>
      </c>
      <c r="CB472" s="101"/>
      <c r="CC472" s="100"/>
      <c r="CD472" s="167" t="str">
        <f t="shared" ref="CD472:CI476" si="211">IF(AND(CD1172&gt;0,$D$2&gt;10),CD1172," ")</f>
        <v xml:space="preserve"> </v>
      </c>
      <c r="CE472" s="167" t="str">
        <f t="shared" si="211"/>
        <v xml:space="preserve"> </v>
      </c>
      <c r="CF472" s="167" t="str">
        <f t="shared" si="211"/>
        <v xml:space="preserve"> </v>
      </c>
      <c r="CG472" s="167" t="str">
        <f t="shared" si="211"/>
        <v xml:space="preserve"> </v>
      </c>
      <c r="CH472" s="167" t="str">
        <f t="shared" si="211"/>
        <v xml:space="preserve"> </v>
      </c>
      <c r="CI472" s="168" t="str">
        <f t="shared" si="211"/>
        <v xml:space="preserve"> </v>
      </c>
      <c r="CJ472" s="101"/>
      <c r="CK472" s="165"/>
    </row>
    <row r="473" spans="1:89">
      <c r="A473" s="238" t="str">
        <f>IF(AND(A1173&gt;0,$D$2&gt;10),A1173," ")</f>
        <v xml:space="preserve"> </v>
      </c>
      <c r="B473" s="253"/>
      <c r="C473" s="247"/>
      <c r="D473" s="240" t="str">
        <f t="shared" si="210"/>
        <v xml:space="preserve"> </v>
      </c>
      <c r="E473" s="240" t="str">
        <f t="shared" si="210"/>
        <v xml:space="preserve"> </v>
      </c>
      <c r="F473" s="240" t="str">
        <f t="shared" si="210"/>
        <v xml:space="preserve"> </v>
      </c>
      <c r="G473" s="240" t="str">
        <f t="shared" si="210"/>
        <v xml:space="preserve"> </v>
      </c>
      <c r="H473" s="240" t="str">
        <f t="shared" si="210"/>
        <v xml:space="preserve"> </v>
      </c>
      <c r="I473" s="251" t="str">
        <f t="shared" si="210"/>
        <v xml:space="preserve"> </v>
      </c>
      <c r="J473" s="253"/>
      <c r="K473" s="254"/>
      <c r="CA473" s="238" t="str">
        <f>IF(AND(CA1173&gt;0,$D$2&gt;10),CA1173," ")</f>
        <v xml:space="preserve"> </v>
      </c>
      <c r="CB473" s="253"/>
      <c r="CC473" s="247"/>
      <c r="CD473" s="240" t="str">
        <f t="shared" si="211"/>
        <v xml:space="preserve"> </v>
      </c>
      <c r="CE473" s="240" t="str">
        <f t="shared" si="211"/>
        <v xml:space="preserve"> </v>
      </c>
      <c r="CF473" s="240" t="str">
        <f t="shared" si="211"/>
        <v xml:space="preserve"> </v>
      </c>
      <c r="CG473" s="240" t="str">
        <f t="shared" si="211"/>
        <v xml:space="preserve"> </v>
      </c>
      <c r="CH473" s="240" t="str">
        <f t="shared" si="211"/>
        <v xml:space="preserve"> </v>
      </c>
      <c r="CI473" s="251" t="str">
        <f t="shared" si="211"/>
        <v xml:space="preserve"> </v>
      </c>
      <c r="CJ473" s="253"/>
      <c r="CK473" s="254"/>
    </row>
    <row r="474" spans="1:89">
      <c r="A474" s="166" t="str">
        <f>IF(AND(A1174&gt;0,$D$2&gt;10),A1174," ")</f>
        <v xml:space="preserve"> </v>
      </c>
      <c r="B474" s="101"/>
      <c r="C474" s="100"/>
      <c r="D474" s="167" t="str">
        <f t="shared" si="210"/>
        <v xml:space="preserve"> </v>
      </c>
      <c r="E474" s="167" t="str">
        <f t="shared" si="210"/>
        <v xml:space="preserve"> </v>
      </c>
      <c r="F474" s="167" t="str">
        <f t="shared" si="210"/>
        <v xml:space="preserve"> </v>
      </c>
      <c r="G474" s="167" t="str">
        <f t="shared" si="210"/>
        <v xml:space="preserve"> </v>
      </c>
      <c r="H474" s="167" t="str">
        <f t="shared" si="210"/>
        <v xml:space="preserve"> </v>
      </c>
      <c r="I474" s="168" t="str">
        <f t="shared" si="210"/>
        <v xml:space="preserve"> </v>
      </c>
      <c r="J474" s="101"/>
      <c r="K474" s="165"/>
      <c r="CA474" s="166" t="str">
        <f>IF(AND(CA1174&gt;0,$D$2&gt;10),CA1174," ")</f>
        <v xml:space="preserve"> </v>
      </c>
      <c r="CB474" s="101"/>
      <c r="CC474" s="100"/>
      <c r="CD474" s="167" t="str">
        <f t="shared" si="211"/>
        <v xml:space="preserve"> </v>
      </c>
      <c r="CE474" s="167" t="str">
        <f t="shared" si="211"/>
        <v xml:space="preserve"> </v>
      </c>
      <c r="CF474" s="167" t="str">
        <f t="shared" si="211"/>
        <v xml:space="preserve"> </v>
      </c>
      <c r="CG474" s="167" t="str">
        <f t="shared" si="211"/>
        <v xml:space="preserve"> </v>
      </c>
      <c r="CH474" s="167" t="str">
        <f t="shared" si="211"/>
        <v xml:space="preserve"> </v>
      </c>
      <c r="CI474" s="168" t="str">
        <f t="shared" si="211"/>
        <v xml:space="preserve"> </v>
      </c>
      <c r="CJ474" s="101"/>
      <c r="CK474" s="165"/>
    </row>
    <row r="475" spans="1:89">
      <c r="A475" s="238" t="str">
        <f>IF(AND(A1175&gt;0,$D$2&gt;10),A1175," ")</f>
        <v xml:space="preserve"> </v>
      </c>
      <c r="B475" s="253"/>
      <c r="C475" s="247"/>
      <c r="D475" s="240" t="str">
        <f t="shared" si="210"/>
        <v xml:space="preserve"> </v>
      </c>
      <c r="E475" s="240" t="str">
        <f t="shared" si="210"/>
        <v xml:space="preserve"> </v>
      </c>
      <c r="F475" s="240" t="str">
        <f t="shared" si="210"/>
        <v xml:space="preserve"> </v>
      </c>
      <c r="G475" s="240" t="str">
        <f t="shared" si="210"/>
        <v xml:space="preserve"> </v>
      </c>
      <c r="H475" s="240" t="str">
        <f t="shared" si="210"/>
        <v xml:space="preserve"> </v>
      </c>
      <c r="I475" s="251" t="str">
        <f t="shared" si="210"/>
        <v xml:space="preserve"> </v>
      </c>
      <c r="J475" s="253"/>
      <c r="K475" s="254"/>
      <c r="CA475" s="238" t="str">
        <f>IF(AND(CA1175&gt;0,$D$2&gt;10),CA1175," ")</f>
        <v xml:space="preserve"> </v>
      </c>
      <c r="CB475" s="253"/>
      <c r="CC475" s="247"/>
      <c r="CD475" s="240" t="str">
        <f t="shared" si="211"/>
        <v xml:space="preserve"> </v>
      </c>
      <c r="CE475" s="240" t="str">
        <f t="shared" si="211"/>
        <v xml:space="preserve"> </v>
      </c>
      <c r="CF475" s="240" t="str">
        <f t="shared" si="211"/>
        <v xml:space="preserve"> </v>
      </c>
      <c r="CG475" s="240" t="str">
        <f t="shared" si="211"/>
        <v xml:space="preserve"> </v>
      </c>
      <c r="CH475" s="240" t="str">
        <f t="shared" si="211"/>
        <v xml:space="preserve"> </v>
      </c>
      <c r="CI475" s="251" t="str">
        <f t="shared" si="211"/>
        <v xml:space="preserve"> </v>
      </c>
      <c r="CJ475" s="253"/>
      <c r="CK475" s="254"/>
    </row>
    <row r="476" spans="1:89">
      <c r="A476" s="181" t="str">
        <f>IF(AND(A1176&gt;0,$D$2&gt;10),A1176," ")</f>
        <v xml:space="preserve"> </v>
      </c>
      <c r="B476" s="103"/>
      <c r="C476" s="100"/>
      <c r="D476" s="100" t="str">
        <f t="shared" si="210"/>
        <v xml:space="preserve"> </v>
      </c>
      <c r="E476" s="100" t="str">
        <f t="shared" si="210"/>
        <v xml:space="preserve"> </v>
      </c>
      <c r="F476" s="100" t="str">
        <f t="shared" si="210"/>
        <v xml:space="preserve"> </v>
      </c>
      <c r="G476" s="100" t="str">
        <f t="shared" si="210"/>
        <v xml:space="preserve"> </v>
      </c>
      <c r="H476" s="100" t="str">
        <f t="shared" si="210"/>
        <v xml:space="preserve"> </v>
      </c>
      <c r="I476" s="177" t="str">
        <f t="shared" si="210"/>
        <v xml:space="preserve"> </v>
      </c>
      <c r="J476" s="103"/>
      <c r="K476" s="182"/>
      <c r="CA476" s="181" t="str">
        <f>IF(AND(CA1176&gt;0,$D$2&gt;10),CA1176," ")</f>
        <v xml:space="preserve"> </v>
      </c>
      <c r="CB476" s="103"/>
      <c r="CC476" s="100"/>
      <c r="CD476" s="100" t="str">
        <f t="shared" si="211"/>
        <v xml:space="preserve"> </v>
      </c>
      <c r="CE476" s="100" t="str">
        <f t="shared" si="211"/>
        <v xml:space="preserve"> </v>
      </c>
      <c r="CF476" s="100" t="str">
        <f t="shared" si="211"/>
        <v xml:space="preserve"> </v>
      </c>
      <c r="CG476" s="100" t="str">
        <f t="shared" si="211"/>
        <v xml:space="preserve"> </v>
      </c>
      <c r="CH476" s="100" t="str">
        <f t="shared" si="211"/>
        <v xml:space="preserve"> </v>
      </c>
      <c r="CI476" s="177" t="str">
        <f t="shared" si="211"/>
        <v xml:space="preserve"> </v>
      </c>
      <c r="CJ476" s="103"/>
      <c r="CK476" s="182"/>
    </row>
    <row r="477" spans="1:89">
      <c r="A477" s="179" t="s">
        <v>5216</v>
      </c>
      <c r="B477" s="102"/>
      <c r="C477" s="175" t="s">
        <v>5018</v>
      </c>
      <c r="D477" s="175" t="s">
        <v>5701</v>
      </c>
      <c r="E477" s="175" t="s">
        <v>5019</v>
      </c>
      <c r="F477" s="175" t="s">
        <v>5020</v>
      </c>
      <c r="G477" s="175" t="s">
        <v>5021</v>
      </c>
      <c r="H477" s="175" t="s">
        <v>5022</v>
      </c>
      <c r="I477" s="221" t="s">
        <v>5316</v>
      </c>
      <c r="J477" s="176"/>
      <c r="K477" s="180"/>
      <c r="CA477" s="179" t="s">
        <v>5216</v>
      </c>
      <c r="CB477" s="102"/>
      <c r="CC477" s="175" t="s">
        <v>5018</v>
      </c>
      <c r="CD477" s="175" t="s">
        <v>5701</v>
      </c>
      <c r="CE477" s="175" t="s">
        <v>5019</v>
      </c>
      <c r="CF477" s="175" t="s">
        <v>5020</v>
      </c>
      <c r="CG477" s="175" t="s">
        <v>5021</v>
      </c>
      <c r="CH477" s="175" t="s">
        <v>5022</v>
      </c>
      <c r="CI477" s="221" t="s">
        <v>5316</v>
      </c>
      <c r="CJ477" s="176"/>
      <c r="CK477" s="180"/>
    </row>
    <row r="478" spans="1:89">
      <c r="A478" s="166" t="str">
        <f>IF(AND(A1178&gt;0,$D$2&gt;11),A1178," ")</f>
        <v xml:space="preserve"> </v>
      </c>
      <c r="B478" s="101"/>
      <c r="C478" s="100"/>
      <c r="D478" s="167" t="str">
        <f t="shared" ref="D478:I482" si="212">IF(AND(D1178&gt;0,$D$2&gt;11),D1178," ")</f>
        <v xml:space="preserve"> </v>
      </c>
      <c r="E478" s="167" t="str">
        <f t="shared" si="212"/>
        <v xml:space="preserve"> </v>
      </c>
      <c r="F478" s="167" t="str">
        <f t="shared" si="212"/>
        <v xml:space="preserve"> </v>
      </c>
      <c r="G478" s="167" t="str">
        <f t="shared" si="212"/>
        <v xml:space="preserve"> </v>
      </c>
      <c r="H478" s="167" t="str">
        <f t="shared" si="212"/>
        <v xml:space="preserve"> </v>
      </c>
      <c r="I478" s="168" t="str">
        <f t="shared" si="212"/>
        <v xml:space="preserve"> </v>
      </c>
      <c r="J478" s="101"/>
      <c r="K478" s="165"/>
      <c r="CA478" s="166" t="str">
        <f>IF(AND(CA1178&gt;0,$D$2&gt;11),CA1178," ")</f>
        <v xml:space="preserve"> </v>
      </c>
      <c r="CB478" s="101"/>
      <c r="CC478" s="100"/>
      <c r="CD478" s="167" t="str">
        <f t="shared" ref="CD478:CI482" si="213">IF(AND(CD1178&gt;0,$D$2&gt;11),CD1178," ")</f>
        <v xml:space="preserve"> </v>
      </c>
      <c r="CE478" s="167" t="str">
        <f t="shared" si="213"/>
        <v xml:space="preserve"> </v>
      </c>
      <c r="CF478" s="167" t="str">
        <f t="shared" si="213"/>
        <v xml:space="preserve"> </v>
      </c>
      <c r="CG478" s="167" t="str">
        <f t="shared" si="213"/>
        <v xml:space="preserve"> </v>
      </c>
      <c r="CH478" s="167" t="str">
        <f t="shared" si="213"/>
        <v xml:space="preserve"> </v>
      </c>
      <c r="CI478" s="168" t="str">
        <f t="shared" si="213"/>
        <v xml:space="preserve"> </v>
      </c>
      <c r="CJ478" s="101"/>
      <c r="CK478" s="165"/>
    </row>
    <row r="479" spans="1:89">
      <c r="A479" s="238" t="str">
        <f>IF(AND(A1179&gt;0,$D$2&gt;11),A1179," ")</f>
        <v xml:space="preserve"> </v>
      </c>
      <c r="B479" s="253"/>
      <c r="C479" s="247"/>
      <c r="D479" s="240" t="str">
        <f t="shared" si="212"/>
        <v xml:space="preserve"> </v>
      </c>
      <c r="E479" s="240" t="str">
        <f t="shared" si="212"/>
        <v xml:space="preserve"> </v>
      </c>
      <c r="F479" s="240" t="str">
        <f t="shared" si="212"/>
        <v xml:space="preserve"> </v>
      </c>
      <c r="G479" s="240" t="str">
        <f t="shared" si="212"/>
        <v xml:space="preserve"> </v>
      </c>
      <c r="H479" s="240" t="str">
        <f t="shared" si="212"/>
        <v xml:space="preserve"> </v>
      </c>
      <c r="I479" s="251" t="str">
        <f t="shared" si="212"/>
        <v xml:space="preserve"> </v>
      </c>
      <c r="J479" s="253"/>
      <c r="K479" s="254"/>
      <c r="CA479" s="238" t="str">
        <f>IF(AND(CA1179&gt;0,$D$2&gt;11),CA1179," ")</f>
        <v xml:space="preserve"> </v>
      </c>
      <c r="CB479" s="253"/>
      <c r="CC479" s="247"/>
      <c r="CD479" s="240" t="str">
        <f t="shared" si="213"/>
        <v xml:space="preserve"> </v>
      </c>
      <c r="CE479" s="240" t="str">
        <f t="shared" si="213"/>
        <v xml:space="preserve"> </v>
      </c>
      <c r="CF479" s="240" t="str">
        <f t="shared" si="213"/>
        <v xml:space="preserve"> </v>
      </c>
      <c r="CG479" s="240" t="str">
        <f t="shared" si="213"/>
        <v xml:space="preserve"> </v>
      </c>
      <c r="CH479" s="240" t="str">
        <f t="shared" si="213"/>
        <v xml:space="preserve"> </v>
      </c>
      <c r="CI479" s="251" t="str">
        <f t="shared" si="213"/>
        <v xml:space="preserve"> </v>
      </c>
      <c r="CJ479" s="253"/>
      <c r="CK479" s="254"/>
    </row>
    <row r="480" spans="1:89">
      <c r="A480" s="166" t="str">
        <f>IF(AND(A1180&gt;0,$D$2&gt;11),A1180," ")</f>
        <v xml:space="preserve"> </v>
      </c>
      <c r="B480" s="101"/>
      <c r="C480" s="100"/>
      <c r="D480" s="167" t="str">
        <f t="shared" si="212"/>
        <v xml:space="preserve"> </v>
      </c>
      <c r="E480" s="167" t="str">
        <f t="shared" si="212"/>
        <v xml:space="preserve"> </v>
      </c>
      <c r="F480" s="167" t="str">
        <f t="shared" si="212"/>
        <v xml:space="preserve"> </v>
      </c>
      <c r="G480" s="167" t="str">
        <f t="shared" si="212"/>
        <v xml:space="preserve"> </v>
      </c>
      <c r="H480" s="167" t="str">
        <f t="shared" si="212"/>
        <v xml:space="preserve"> </v>
      </c>
      <c r="I480" s="168" t="str">
        <f t="shared" si="212"/>
        <v xml:space="preserve"> </v>
      </c>
      <c r="J480" s="101"/>
      <c r="K480" s="165"/>
      <c r="CA480" s="166" t="str">
        <f>IF(AND(CA1180&gt;0,$D$2&gt;11),CA1180," ")</f>
        <v xml:space="preserve"> </v>
      </c>
      <c r="CB480" s="101"/>
      <c r="CC480" s="100"/>
      <c r="CD480" s="167" t="str">
        <f t="shared" si="213"/>
        <v xml:space="preserve"> </v>
      </c>
      <c r="CE480" s="167" t="str">
        <f t="shared" si="213"/>
        <v xml:space="preserve"> </v>
      </c>
      <c r="CF480" s="167" t="str">
        <f t="shared" si="213"/>
        <v xml:space="preserve"> </v>
      </c>
      <c r="CG480" s="167" t="str">
        <f t="shared" si="213"/>
        <v xml:space="preserve"> </v>
      </c>
      <c r="CH480" s="167" t="str">
        <f t="shared" si="213"/>
        <v xml:space="preserve"> </v>
      </c>
      <c r="CI480" s="168" t="str">
        <f t="shared" si="213"/>
        <v xml:space="preserve"> </v>
      </c>
      <c r="CJ480" s="101"/>
      <c r="CK480" s="165"/>
    </row>
    <row r="481" spans="1:89">
      <c r="A481" s="238" t="str">
        <f>IF(AND(A1181&gt;0,$D$2&gt;11),A1181," ")</f>
        <v xml:space="preserve"> </v>
      </c>
      <c r="B481" s="253"/>
      <c r="C481" s="247"/>
      <c r="D481" s="240" t="str">
        <f t="shared" si="212"/>
        <v xml:space="preserve"> </v>
      </c>
      <c r="E481" s="240" t="str">
        <f t="shared" si="212"/>
        <v xml:space="preserve"> </v>
      </c>
      <c r="F481" s="240" t="str">
        <f t="shared" si="212"/>
        <v xml:space="preserve"> </v>
      </c>
      <c r="G481" s="240" t="str">
        <f t="shared" si="212"/>
        <v xml:space="preserve"> </v>
      </c>
      <c r="H481" s="240" t="str">
        <f t="shared" si="212"/>
        <v xml:space="preserve"> </v>
      </c>
      <c r="I481" s="251" t="str">
        <f t="shared" si="212"/>
        <v xml:space="preserve"> </v>
      </c>
      <c r="J481" s="253"/>
      <c r="K481" s="254"/>
      <c r="CA481" s="238" t="str">
        <f>IF(AND(CA1181&gt;0,$D$2&gt;11),CA1181," ")</f>
        <v xml:space="preserve"> </v>
      </c>
      <c r="CB481" s="253"/>
      <c r="CC481" s="247"/>
      <c r="CD481" s="240" t="str">
        <f t="shared" si="213"/>
        <v xml:space="preserve"> </v>
      </c>
      <c r="CE481" s="240" t="str">
        <f t="shared" si="213"/>
        <v xml:space="preserve"> </v>
      </c>
      <c r="CF481" s="240" t="str">
        <f t="shared" si="213"/>
        <v xml:space="preserve"> </v>
      </c>
      <c r="CG481" s="240" t="str">
        <f t="shared" si="213"/>
        <v xml:space="preserve"> </v>
      </c>
      <c r="CH481" s="240" t="str">
        <f t="shared" si="213"/>
        <v xml:space="preserve"> </v>
      </c>
      <c r="CI481" s="251" t="str">
        <f t="shared" si="213"/>
        <v xml:space="preserve"> </v>
      </c>
      <c r="CJ481" s="253"/>
      <c r="CK481" s="254"/>
    </row>
    <row r="482" spans="1:89">
      <c r="A482" s="181" t="str">
        <f>IF(AND(A1182&gt;0,$D$2&gt;11),A1182," ")</f>
        <v xml:space="preserve"> </v>
      </c>
      <c r="B482" s="103"/>
      <c r="C482" s="100"/>
      <c r="D482" s="100" t="str">
        <f t="shared" si="212"/>
        <v xml:space="preserve"> </v>
      </c>
      <c r="E482" s="100" t="str">
        <f t="shared" si="212"/>
        <v xml:space="preserve"> </v>
      </c>
      <c r="F482" s="100" t="str">
        <f t="shared" si="212"/>
        <v xml:space="preserve"> </v>
      </c>
      <c r="G482" s="100" t="str">
        <f t="shared" si="212"/>
        <v xml:space="preserve"> </v>
      </c>
      <c r="H482" s="100" t="str">
        <f t="shared" si="212"/>
        <v xml:space="preserve"> </v>
      </c>
      <c r="I482" s="177" t="str">
        <f t="shared" si="212"/>
        <v xml:space="preserve"> </v>
      </c>
      <c r="J482" s="103"/>
      <c r="K482" s="182"/>
      <c r="CA482" s="181" t="str">
        <f>IF(AND(CA1182&gt;0,$D$2&gt;11),CA1182," ")</f>
        <v xml:space="preserve"> </v>
      </c>
      <c r="CB482" s="103"/>
      <c r="CC482" s="100"/>
      <c r="CD482" s="100" t="str">
        <f t="shared" si="213"/>
        <v xml:space="preserve"> </v>
      </c>
      <c r="CE482" s="100" t="str">
        <f t="shared" si="213"/>
        <v xml:space="preserve"> </v>
      </c>
      <c r="CF482" s="100" t="str">
        <f t="shared" si="213"/>
        <v xml:space="preserve"> </v>
      </c>
      <c r="CG482" s="100" t="str">
        <f t="shared" si="213"/>
        <v xml:space="preserve"> </v>
      </c>
      <c r="CH482" s="100" t="str">
        <f t="shared" si="213"/>
        <v xml:space="preserve"> </v>
      </c>
      <c r="CI482" s="177" t="str">
        <f t="shared" si="213"/>
        <v xml:space="preserve"> </v>
      </c>
      <c r="CJ482" s="103"/>
      <c r="CK482" s="182"/>
    </row>
    <row r="483" spans="1:89">
      <c r="A483" s="179" t="s">
        <v>5418</v>
      </c>
      <c r="B483" s="102"/>
      <c r="C483" s="175" t="s">
        <v>5018</v>
      </c>
      <c r="D483" s="175" t="s">
        <v>5701</v>
      </c>
      <c r="E483" s="175" t="s">
        <v>5019</v>
      </c>
      <c r="F483" s="175" t="s">
        <v>5020</v>
      </c>
      <c r="G483" s="175" t="s">
        <v>5021</v>
      </c>
      <c r="H483" s="175" t="s">
        <v>5022</v>
      </c>
      <c r="I483" s="221" t="s">
        <v>5316</v>
      </c>
      <c r="J483" s="176"/>
      <c r="K483" s="180"/>
      <c r="CA483" s="179" t="s">
        <v>5418</v>
      </c>
      <c r="CB483" s="102"/>
      <c r="CC483" s="175" t="s">
        <v>5018</v>
      </c>
      <c r="CD483" s="175" t="s">
        <v>5701</v>
      </c>
      <c r="CE483" s="175" t="s">
        <v>5019</v>
      </c>
      <c r="CF483" s="175" t="s">
        <v>5020</v>
      </c>
      <c r="CG483" s="175" t="s">
        <v>5021</v>
      </c>
      <c r="CH483" s="175" t="s">
        <v>5022</v>
      </c>
      <c r="CI483" s="221" t="s">
        <v>5316</v>
      </c>
      <c r="CJ483" s="176"/>
      <c r="CK483" s="180"/>
    </row>
    <row r="484" spans="1:89">
      <c r="A484" s="166" t="str">
        <f>IF(AND(A1184&gt;0,$D$2&gt;12),A1184," ")</f>
        <v xml:space="preserve"> </v>
      </c>
      <c r="B484" s="101"/>
      <c r="C484" s="100"/>
      <c r="D484" s="167" t="str">
        <f t="shared" ref="D484:I488" si="214">IF(AND(D1184&gt;0,$D$2&gt;12),D1184," ")</f>
        <v xml:space="preserve"> </v>
      </c>
      <c r="E484" s="167" t="str">
        <f t="shared" si="214"/>
        <v xml:space="preserve"> </v>
      </c>
      <c r="F484" s="167" t="str">
        <f t="shared" si="214"/>
        <v xml:space="preserve"> </v>
      </c>
      <c r="G484" s="167" t="str">
        <f t="shared" si="214"/>
        <v xml:space="preserve"> </v>
      </c>
      <c r="H484" s="167" t="str">
        <f t="shared" si="214"/>
        <v xml:space="preserve"> </v>
      </c>
      <c r="I484" s="168" t="str">
        <f t="shared" si="214"/>
        <v xml:space="preserve"> </v>
      </c>
      <c r="J484" s="101"/>
      <c r="K484" s="165"/>
      <c r="CA484" s="166" t="str">
        <f>IF(AND(CA1184&gt;0,$D$2&gt;12),CA1184," ")</f>
        <v xml:space="preserve"> </v>
      </c>
      <c r="CB484" s="101"/>
      <c r="CC484" s="100"/>
      <c r="CD484" s="167" t="str">
        <f t="shared" ref="CD484:CI488" si="215">IF(AND(CD1184&gt;0,$D$2&gt;12),CD1184," ")</f>
        <v xml:space="preserve"> </v>
      </c>
      <c r="CE484" s="167" t="str">
        <f t="shared" si="215"/>
        <v xml:space="preserve"> </v>
      </c>
      <c r="CF484" s="167" t="str">
        <f t="shared" si="215"/>
        <v xml:space="preserve"> </v>
      </c>
      <c r="CG484" s="167" t="str">
        <f t="shared" si="215"/>
        <v xml:space="preserve"> </v>
      </c>
      <c r="CH484" s="167" t="str">
        <f t="shared" si="215"/>
        <v xml:space="preserve"> </v>
      </c>
      <c r="CI484" s="168" t="str">
        <f t="shared" si="215"/>
        <v xml:space="preserve"> </v>
      </c>
      <c r="CJ484" s="101"/>
      <c r="CK484" s="165"/>
    </row>
    <row r="485" spans="1:89">
      <c r="A485" s="238" t="str">
        <f>IF(AND(A1185&gt;0,$D$2&gt;12),A1185," ")</f>
        <v xml:space="preserve"> </v>
      </c>
      <c r="B485" s="253"/>
      <c r="C485" s="247"/>
      <c r="D485" s="240" t="str">
        <f t="shared" si="214"/>
        <v xml:space="preserve"> </v>
      </c>
      <c r="E485" s="240" t="str">
        <f t="shared" si="214"/>
        <v xml:space="preserve"> </v>
      </c>
      <c r="F485" s="240" t="str">
        <f t="shared" si="214"/>
        <v xml:space="preserve"> </v>
      </c>
      <c r="G485" s="240" t="str">
        <f t="shared" si="214"/>
        <v xml:space="preserve"> </v>
      </c>
      <c r="H485" s="240" t="str">
        <f t="shared" si="214"/>
        <v xml:space="preserve"> </v>
      </c>
      <c r="I485" s="251" t="str">
        <f t="shared" si="214"/>
        <v xml:space="preserve"> </v>
      </c>
      <c r="J485" s="253"/>
      <c r="K485" s="254"/>
      <c r="CA485" s="238" t="str">
        <f>IF(AND(CA1185&gt;0,$D$2&gt;12),CA1185," ")</f>
        <v xml:space="preserve"> </v>
      </c>
      <c r="CB485" s="253"/>
      <c r="CC485" s="247"/>
      <c r="CD485" s="240" t="str">
        <f t="shared" si="215"/>
        <v xml:space="preserve"> </v>
      </c>
      <c r="CE485" s="240" t="str">
        <f t="shared" si="215"/>
        <v xml:space="preserve"> </v>
      </c>
      <c r="CF485" s="240" t="str">
        <f t="shared" si="215"/>
        <v xml:space="preserve"> </v>
      </c>
      <c r="CG485" s="240" t="str">
        <f t="shared" si="215"/>
        <v xml:space="preserve"> </v>
      </c>
      <c r="CH485" s="240" t="str">
        <f t="shared" si="215"/>
        <v xml:space="preserve"> </v>
      </c>
      <c r="CI485" s="251" t="str">
        <f t="shared" si="215"/>
        <v xml:space="preserve"> </v>
      </c>
      <c r="CJ485" s="253"/>
      <c r="CK485" s="254"/>
    </row>
    <row r="486" spans="1:89">
      <c r="A486" s="166" t="str">
        <f>IF(AND(A1186&gt;0,$D$2&gt;12),A1186," ")</f>
        <v xml:space="preserve"> </v>
      </c>
      <c r="B486" s="101"/>
      <c r="C486" s="100"/>
      <c r="D486" s="167" t="str">
        <f t="shared" si="214"/>
        <v xml:space="preserve"> </v>
      </c>
      <c r="E486" s="167" t="str">
        <f t="shared" si="214"/>
        <v xml:space="preserve"> </v>
      </c>
      <c r="F486" s="167" t="str">
        <f t="shared" si="214"/>
        <v xml:space="preserve"> </v>
      </c>
      <c r="G486" s="167" t="str">
        <f t="shared" si="214"/>
        <v xml:space="preserve"> </v>
      </c>
      <c r="H486" s="167" t="str">
        <f t="shared" si="214"/>
        <v xml:space="preserve"> </v>
      </c>
      <c r="I486" s="168" t="str">
        <f t="shared" si="214"/>
        <v xml:space="preserve"> </v>
      </c>
      <c r="J486" s="101"/>
      <c r="K486" s="165"/>
      <c r="CA486" s="166" t="str">
        <f>IF(AND(CA1186&gt;0,$D$2&gt;12),CA1186," ")</f>
        <v xml:space="preserve"> </v>
      </c>
      <c r="CB486" s="101"/>
      <c r="CC486" s="100"/>
      <c r="CD486" s="167" t="str">
        <f t="shared" si="215"/>
        <v xml:space="preserve"> </v>
      </c>
      <c r="CE486" s="167" t="str">
        <f t="shared" si="215"/>
        <v xml:space="preserve"> </v>
      </c>
      <c r="CF486" s="167" t="str">
        <f t="shared" si="215"/>
        <v xml:space="preserve"> </v>
      </c>
      <c r="CG486" s="167" t="str">
        <f t="shared" si="215"/>
        <v xml:space="preserve"> </v>
      </c>
      <c r="CH486" s="167" t="str">
        <f t="shared" si="215"/>
        <v xml:space="preserve"> </v>
      </c>
      <c r="CI486" s="168" t="str">
        <f t="shared" si="215"/>
        <v xml:space="preserve"> </v>
      </c>
      <c r="CJ486" s="101"/>
      <c r="CK486" s="165"/>
    </row>
    <row r="487" spans="1:89">
      <c r="A487" s="238" t="str">
        <f>IF(AND(A1187&gt;0,$D$2&gt;12),A1187," ")</f>
        <v xml:space="preserve"> </v>
      </c>
      <c r="B487" s="253"/>
      <c r="C487" s="247"/>
      <c r="D487" s="240" t="str">
        <f t="shared" si="214"/>
        <v xml:space="preserve"> </v>
      </c>
      <c r="E487" s="240" t="str">
        <f t="shared" si="214"/>
        <v xml:space="preserve"> </v>
      </c>
      <c r="F487" s="240" t="str">
        <f t="shared" si="214"/>
        <v xml:space="preserve"> </v>
      </c>
      <c r="G487" s="240" t="str">
        <f t="shared" si="214"/>
        <v xml:space="preserve"> </v>
      </c>
      <c r="H487" s="240" t="str">
        <f t="shared" si="214"/>
        <v xml:space="preserve"> </v>
      </c>
      <c r="I487" s="251" t="str">
        <f t="shared" si="214"/>
        <v xml:space="preserve"> </v>
      </c>
      <c r="J487" s="253"/>
      <c r="K487" s="254"/>
      <c r="CA487" s="238" t="str">
        <f>IF(AND(CA1187&gt;0,$D$2&gt;12),CA1187," ")</f>
        <v xml:space="preserve"> </v>
      </c>
      <c r="CB487" s="253"/>
      <c r="CC487" s="247"/>
      <c r="CD487" s="240" t="str">
        <f t="shared" si="215"/>
        <v xml:space="preserve"> </v>
      </c>
      <c r="CE487" s="240" t="str">
        <f t="shared" si="215"/>
        <v xml:space="preserve"> </v>
      </c>
      <c r="CF487" s="240" t="str">
        <f t="shared" si="215"/>
        <v xml:space="preserve"> </v>
      </c>
      <c r="CG487" s="240" t="str">
        <f t="shared" si="215"/>
        <v xml:space="preserve"> </v>
      </c>
      <c r="CH487" s="240" t="str">
        <f t="shared" si="215"/>
        <v xml:space="preserve"> </v>
      </c>
      <c r="CI487" s="251" t="str">
        <f t="shared" si="215"/>
        <v xml:space="preserve"> </v>
      </c>
      <c r="CJ487" s="253"/>
      <c r="CK487" s="254"/>
    </row>
    <row r="488" spans="1:89">
      <c r="A488" s="181" t="str">
        <f>IF(AND(A1188&gt;0,$D$2&gt;12),A1188," ")</f>
        <v xml:space="preserve"> </v>
      </c>
      <c r="B488" s="103"/>
      <c r="C488" s="100"/>
      <c r="D488" s="100" t="str">
        <f t="shared" si="214"/>
        <v xml:space="preserve"> </v>
      </c>
      <c r="E488" s="100" t="str">
        <f t="shared" si="214"/>
        <v xml:space="preserve"> </v>
      </c>
      <c r="F488" s="100" t="str">
        <f t="shared" si="214"/>
        <v xml:space="preserve"> </v>
      </c>
      <c r="G488" s="100" t="str">
        <f t="shared" si="214"/>
        <v xml:space="preserve"> </v>
      </c>
      <c r="H488" s="100" t="str">
        <f t="shared" si="214"/>
        <v xml:space="preserve"> </v>
      </c>
      <c r="I488" s="177" t="str">
        <f t="shared" si="214"/>
        <v xml:space="preserve"> </v>
      </c>
      <c r="J488" s="178"/>
      <c r="K488" s="182"/>
      <c r="CA488" s="181" t="str">
        <f>IF(AND(CA1188&gt;0,$D$2&gt;12),CA1188," ")</f>
        <v xml:space="preserve"> </v>
      </c>
      <c r="CB488" s="103"/>
      <c r="CC488" s="100"/>
      <c r="CD488" s="100" t="str">
        <f t="shared" si="215"/>
        <v xml:space="preserve"> </v>
      </c>
      <c r="CE488" s="100" t="str">
        <f t="shared" si="215"/>
        <v xml:space="preserve"> </v>
      </c>
      <c r="CF488" s="100" t="str">
        <f t="shared" si="215"/>
        <v xml:space="preserve"> </v>
      </c>
      <c r="CG488" s="100" t="str">
        <f t="shared" si="215"/>
        <v xml:space="preserve"> </v>
      </c>
      <c r="CH488" s="100" t="str">
        <f t="shared" si="215"/>
        <v xml:space="preserve"> </v>
      </c>
      <c r="CI488" s="177" t="str">
        <f t="shared" si="215"/>
        <v xml:space="preserve"> </v>
      </c>
      <c r="CJ488" s="178"/>
      <c r="CK488" s="182"/>
    </row>
    <row r="489" spans="1:89">
      <c r="A489" s="179" t="s">
        <v>5419</v>
      </c>
      <c r="B489" s="102"/>
      <c r="C489" s="175" t="s">
        <v>5018</v>
      </c>
      <c r="D489" s="175" t="s">
        <v>5701</v>
      </c>
      <c r="E489" s="175" t="s">
        <v>5019</v>
      </c>
      <c r="F489" s="175" t="s">
        <v>5020</v>
      </c>
      <c r="G489" s="175" t="s">
        <v>5021</v>
      </c>
      <c r="H489" s="175" t="s">
        <v>5022</v>
      </c>
      <c r="I489" s="221" t="s">
        <v>5316</v>
      </c>
      <c r="J489" s="176"/>
      <c r="K489" s="180"/>
      <c r="CA489" s="179" t="s">
        <v>5419</v>
      </c>
      <c r="CB489" s="102"/>
      <c r="CC489" s="175" t="s">
        <v>5018</v>
      </c>
      <c r="CD489" s="175" t="s">
        <v>5701</v>
      </c>
      <c r="CE489" s="175" t="s">
        <v>5019</v>
      </c>
      <c r="CF489" s="175" t="s">
        <v>5020</v>
      </c>
      <c r="CG489" s="175" t="s">
        <v>5021</v>
      </c>
      <c r="CH489" s="175" t="s">
        <v>5022</v>
      </c>
      <c r="CI489" s="221" t="s">
        <v>5316</v>
      </c>
      <c r="CJ489" s="176"/>
      <c r="CK489" s="180"/>
    </row>
    <row r="490" spans="1:89">
      <c r="A490" s="166" t="str">
        <f>IF(AND(A1190&gt;0,$D$2&gt;13),A1190," ")</f>
        <v xml:space="preserve"> </v>
      </c>
      <c r="B490" s="101"/>
      <c r="C490" s="100"/>
      <c r="D490" s="167" t="str">
        <f t="shared" ref="D490:I494" si="216">IF(AND(D1190&gt;0,$D$2&gt;13),D1190," ")</f>
        <v xml:space="preserve"> </v>
      </c>
      <c r="E490" s="167" t="str">
        <f t="shared" si="216"/>
        <v xml:space="preserve"> </v>
      </c>
      <c r="F490" s="167" t="str">
        <f t="shared" si="216"/>
        <v xml:space="preserve"> </v>
      </c>
      <c r="G490" s="167" t="str">
        <f t="shared" si="216"/>
        <v xml:space="preserve"> </v>
      </c>
      <c r="H490" s="167" t="str">
        <f t="shared" si="216"/>
        <v xml:space="preserve"> </v>
      </c>
      <c r="I490" s="168" t="str">
        <f t="shared" si="216"/>
        <v xml:space="preserve"> </v>
      </c>
      <c r="J490" s="101"/>
      <c r="K490" s="165"/>
      <c r="CA490" s="166" t="str">
        <f>IF(AND(CA1190&gt;0,$D$2&gt;13),CA1190," ")</f>
        <v xml:space="preserve"> </v>
      </c>
      <c r="CB490" s="101"/>
      <c r="CC490" s="100"/>
      <c r="CD490" s="167" t="str">
        <f t="shared" ref="CD490:CI494" si="217">IF(AND(CD1190&gt;0,$D$2&gt;13),CD1190," ")</f>
        <v xml:space="preserve"> </v>
      </c>
      <c r="CE490" s="167" t="str">
        <f t="shared" si="217"/>
        <v xml:space="preserve"> </v>
      </c>
      <c r="CF490" s="167" t="str">
        <f t="shared" si="217"/>
        <v xml:space="preserve"> </v>
      </c>
      <c r="CG490" s="167" t="str">
        <f t="shared" si="217"/>
        <v xml:space="preserve"> </v>
      </c>
      <c r="CH490" s="167" t="str">
        <f t="shared" si="217"/>
        <v xml:space="preserve"> </v>
      </c>
      <c r="CI490" s="168" t="str">
        <f t="shared" si="217"/>
        <v xml:space="preserve"> </v>
      </c>
      <c r="CJ490" s="101"/>
      <c r="CK490" s="165"/>
    </row>
    <row r="491" spans="1:89">
      <c r="A491" s="238" t="str">
        <f>IF(AND(A1191&gt;0,$D$2&gt;13),A1191," ")</f>
        <v xml:space="preserve"> </v>
      </c>
      <c r="B491" s="253"/>
      <c r="C491" s="247"/>
      <c r="D491" s="240" t="str">
        <f t="shared" si="216"/>
        <v xml:space="preserve"> </v>
      </c>
      <c r="E491" s="240" t="str">
        <f t="shared" si="216"/>
        <v xml:space="preserve"> </v>
      </c>
      <c r="F491" s="240" t="str">
        <f t="shared" si="216"/>
        <v xml:space="preserve"> </v>
      </c>
      <c r="G491" s="240" t="str">
        <f t="shared" si="216"/>
        <v xml:space="preserve"> </v>
      </c>
      <c r="H491" s="240" t="str">
        <f t="shared" si="216"/>
        <v xml:space="preserve"> </v>
      </c>
      <c r="I491" s="251" t="str">
        <f t="shared" si="216"/>
        <v xml:space="preserve"> </v>
      </c>
      <c r="J491" s="253"/>
      <c r="K491" s="254"/>
      <c r="CA491" s="238" t="str">
        <f>IF(AND(CA1191&gt;0,$D$2&gt;13),CA1191," ")</f>
        <v xml:space="preserve"> </v>
      </c>
      <c r="CB491" s="253"/>
      <c r="CC491" s="247"/>
      <c r="CD491" s="240" t="str">
        <f t="shared" si="217"/>
        <v xml:space="preserve"> </v>
      </c>
      <c r="CE491" s="240" t="str">
        <f t="shared" si="217"/>
        <v xml:space="preserve"> </v>
      </c>
      <c r="CF491" s="240" t="str">
        <f t="shared" si="217"/>
        <v xml:space="preserve"> </v>
      </c>
      <c r="CG491" s="240" t="str">
        <f t="shared" si="217"/>
        <v xml:space="preserve"> </v>
      </c>
      <c r="CH491" s="240" t="str">
        <f t="shared" si="217"/>
        <v xml:space="preserve"> </v>
      </c>
      <c r="CI491" s="251" t="str">
        <f t="shared" si="217"/>
        <v xml:space="preserve"> </v>
      </c>
      <c r="CJ491" s="253"/>
      <c r="CK491" s="254"/>
    </row>
    <row r="492" spans="1:89">
      <c r="A492" s="166" t="str">
        <f>IF(AND(A1192&gt;0,$D$2&gt;13),A1192," ")</f>
        <v xml:space="preserve"> </v>
      </c>
      <c r="B492" s="101"/>
      <c r="C492" s="100"/>
      <c r="D492" s="167" t="str">
        <f t="shared" si="216"/>
        <v xml:space="preserve"> </v>
      </c>
      <c r="E492" s="167" t="str">
        <f t="shared" si="216"/>
        <v xml:space="preserve"> </v>
      </c>
      <c r="F492" s="167" t="str">
        <f t="shared" si="216"/>
        <v xml:space="preserve"> </v>
      </c>
      <c r="G492" s="167" t="str">
        <f t="shared" si="216"/>
        <v xml:space="preserve"> </v>
      </c>
      <c r="H492" s="167" t="str">
        <f t="shared" si="216"/>
        <v xml:space="preserve"> </v>
      </c>
      <c r="I492" s="168" t="str">
        <f t="shared" si="216"/>
        <v xml:space="preserve"> </v>
      </c>
      <c r="J492" s="101"/>
      <c r="K492" s="165"/>
      <c r="CA492" s="166" t="str">
        <f>IF(AND(CA1192&gt;0,$D$2&gt;13),CA1192," ")</f>
        <v xml:space="preserve"> </v>
      </c>
      <c r="CB492" s="101"/>
      <c r="CC492" s="100"/>
      <c r="CD492" s="167" t="str">
        <f t="shared" si="217"/>
        <v xml:space="preserve"> </v>
      </c>
      <c r="CE492" s="167" t="str">
        <f t="shared" si="217"/>
        <v xml:space="preserve"> </v>
      </c>
      <c r="CF492" s="167" t="str">
        <f t="shared" si="217"/>
        <v xml:space="preserve"> </v>
      </c>
      <c r="CG492" s="167" t="str">
        <f t="shared" si="217"/>
        <v xml:space="preserve"> </v>
      </c>
      <c r="CH492" s="167" t="str">
        <f t="shared" si="217"/>
        <v xml:space="preserve"> </v>
      </c>
      <c r="CI492" s="168" t="str">
        <f t="shared" si="217"/>
        <v xml:space="preserve"> </v>
      </c>
      <c r="CJ492" s="101"/>
      <c r="CK492" s="165"/>
    </row>
    <row r="493" spans="1:89">
      <c r="A493" s="238" t="str">
        <f>IF(AND(A1193&gt;0,$D$2&gt;13),A1193," ")</f>
        <v xml:space="preserve"> </v>
      </c>
      <c r="B493" s="253"/>
      <c r="C493" s="247"/>
      <c r="D493" s="240" t="str">
        <f t="shared" si="216"/>
        <v xml:space="preserve"> </v>
      </c>
      <c r="E493" s="240" t="str">
        <f t="shared" si="216"/>
        <v xml:space="preserve"> </v>
      </c>
      <c r="F493" s="240" t="str">
        <f t="shared" si="216"/>
        <v xml:space="preserve"> </v>
      </c>
      <c r="G493" s="240" t="str">
        <f t="shared" si="216"/>
        <v xml:space="preserve"> </v>
      </c>
      <c r="H493" s="240" t="str">
        <f t="shared" si="216"/>
        <v xml:space="preserve"> </v>
      </c>
      <c r="I493" s="251" t="str">
        <f t="shared" si="216"/>
        <v xml:space="preserve"> </v>
      </c>
      <c r="J493" s="253"/>
      <c r="K493" s="254"/>
      <c r="CA493" s="238" t="str">
        <f>IF(AND(CA1193&gt;0,$D$2&gt;13),CA1193," ")</f>
        <v xml:space="preserve"> </v>
      </c>
      <c r="CB493" s="253"/>
      <c r="CC493" s="247"/>
      <c r="CD493" s="240" t="str">
        <f t="shared" si="217"/>
        <v xml:space="preserve"> </v>
      </c>
      <c r="CE493" s="240" t="str">
        <f t="shared" si="217"/>
        <v xml:space="preserve"> </v>
      </c>
      <c r="CF493" s="240" t="str">
        <f t="shared" si="217"/>
        <v xml:space="preserve"> </v>
      </c>
      <c r="CG493" s="240" t="str">
        <f t="shared" si="217"/>
        <v xml:space="preserve"> </v>
      </c>
      <c r="CH493" s="240" t="str">
        <f t="shared" si="217"/>
        <v xml:space="preserve"> </v>
      </c>
      <c r="CI493" s="251" t="str">
        <f t="shared" si="217"/>
        <v xml:space="preserve"> </v>
      </c>
      <c r="CJ493" s="253"/>
      <c r="CK493" s="254"/>
    </row>
    <row r="494" spans="1:89">
      <c r="A494" s="181" t="str">
        <f>IF(AND(A1194&gt;0,$D$2&gt;13),A1194," ")</f>
        <v xml:space="preserve"> </v>
      </c>
      <c r="B494" s="103"/>
      <c r="C494" s="100"/>
      <c r="D494" s="100" t="str">
        <f t="shared" si="216"/>
        <v xml:space="preserve"> </v>
      </c>
      <c r="E494" s="100" t="str">
        <f t="shared" si="216"/>
        <v xml:space="preserve"> </v>
      </c>
      <c r="F494" s="100" t="str">
        <f t="shared" si="216"/>
        <v xml:space="preserve"> </v>
      </c>
      <c r="G494" s="100" t="str">
        <f t="shared" si="216"/>
        <v xml:space="preserve"> </v>
      </c>
      <c r="H494" s="100" t="str">
        <f t="shared" si="216"/>
        <v xml:space="preserve"> </v>
      </c>
      <c r="I494" s="177" t="str">
        <f t="shared" si="216"/>
        <v xml:space="preserve"> </v>
      </c>
      <c r="J494" s="178"/>
      <c r="K494" s="182"/>
      <c r="CA494" s="181" t="str">
        <f>IF(AND(CA1194&gt;0,$D$2&gt;13),CA1194," ")</f>
        <v xml:space="preserve"> </v>
      </c>
      <c r="CB494" s="103"/>
      <c r="CC494" s="100"/>
      <c r="CD494" s="100" t="str">
        <f t="shared" si="217"/>
        <v xml:space="preserve"> </v>
      </c>
      <c r="CE494" s="100" t="str">
        <f t="shared" si="217"/>
        <v xml:space="preserve"> </v>
      </c>
      <c r="CF494" s="100" t="str">
        <f t="shared" si="217"/>
        <v xml:space="preserve"> </v>
      </c>
      <c r="CG494" s="100" t="str">
        <f t="shared" si="217"/>
        <v xml:space="preserve"> </v>
      </c>
      <c r="CH494" s="100" t="str">
        <f t="shared" si="217"/>
        <v xml:space="preserve"> </v>
      </c>
      <c r="CI494" s="177" t="str">
        <f t="shared" si="217"/>
        <v xml:space="preserve"> </v>
      </c>
      <c r="CJ494" s="178"/>
      <c r="CK494" s="182"/>
    </row>
    <row r="495" spans="1:89">
      <c r="A495" s="179" t="s">
        <v>5420</v>
      </c>
      <c r="B495" s="102"/>
      <c r="C495" s="175" t="s">
        <v>5018</v>
      </c>
      <c r="D495" s="175" t="s">
        <v>5701</v>
      </c>
      <c r="E495" s="175" t="s">
        <v>5019</v>
      </c>
      <c r="F495" s="175" t="s">
        <v>5020</v>
      </c>
      <c r="G495" s="175" t="s">
        <v>5021</v>
      </c>
      <c r="H495" s="175" t="s">
        <v>5022</v>
      </c>
      <c r="I495" s="221" t="s">
        <v>5316</v>
      </c>
      <c r="J495" s="176"/>
      <c r="K495" s="180"/>
      <c r="CA495" s="179" t="s">
        <v>5420</v>
      </c>
      <c r="CB495" s="102"/>
      <c r="CC495" s="175" t="s">
        <v>5018</v>
      </c>
      <c r="CD495" s="175" t="s">
        <v>5701</v>
      </c>
      <c r="CE495" s="175" t="s">
        <v>5019</v>
      </c>
      <c r="CF495" s="175" t="s">
        <v>5020</v>
      </c>
      <c r="CG495" s="175" t="s">
        <v>5021</v>
      </c>
      <c r="CH495" s="175" t="s">
        <v>5022</v>
      </c>
      <c r="CI495" s="221" t="s">
        <v>5316</v>
      </c>
      <c r="CJ495" s="176"/>
      <c r="CK495" s="180"/>
    </row>
    <row r="496" spans="1:89">
      <c r="A496" s="166" t="str">
        <f>IF(AND(A1196&gt;0,$D$2&gt;14),A1196," ")</f>
        <v xml:space="preserve"> </v>
      </c>
      <c r="B496" s="101"/>
      <c r="C496" s="100"/>
      <c r="D496" s="167" t="str">
        <f t="shared" ref="D496:I500" si="218">IF(AND(D1196&gt;0,$D$2&gt;14),D1196," ")</f>
        <v xml:space="preserve"> </v>
      </c>
      <c r="E496" s="167" t="str">
        <f t="shared" si="218"/>
        <v xml:space="preserve"> </v>
      </c>
      <c r="F496" s="167" t="str">
        <f t="shared" si="218"/>
        <v xml:space="preserve"> </v>
      </c>
      <c r="G496" s="167" t="str">
        <f t="shared" si="218"/>
        <v xml:space="preserve"> </v>
      </c>
      <c r="H496" s="167" t="str">
        <f t="shared" si="218"/>
        <v xml:space="preserve"> </v>
      </c>
      <c r="I496" s="168" t="str">
        <f t="shared" si="218"/>
        <v xml:space="preserve"> </v>
      </c>
      <c r="J496" s="101"/>
      <c r="K496" s="165"/>
      <c r="CA496" s="166" t="str">
        <f>IF(AND(CA1196&gt;0,$D$2&gt;14),CA1196," ")</f>
        <v xml:space="preserve"> </v>
      </c>
      <c r="CB496" s="101"/>
      <c r="CC496" s="100"/>
      <c r="CD496" s="167" t="str">
        <f t="shared" ref="CD496:CI500" si="219">IF(AND(CD1196&gt;0,$D$2&gt;14),CD1196," ")</f>
        <v xml:space="preserve"> </v>
      </c>
      <c r="CE496" s="167" t="str">
        <f t="shared" si="219"/>
        <v xml:space="preserve"> </v>
      </c>
      <c r="CF496" s="167" t="str">
        <f t="shared" si="219"/>
        <v xml:space="preserve"> </v>
      </c>
      <c r="CG496" s="167" t="str">
        <f t="shared" si="219"/>
        <v xml:space="preserve"> </v>
      </c>
      <c r="CH496" s="167" t="str">
        <f t="shared" si="219"/>
        <v xml:space="preserve"> </v>
      </c>
      <c r="CI496" s="168" t="str">
        <f t="shared" si="219"/>
        <v xml:space="preserve"> </v>
      </c>
      <c r="CJ496" s="101"/>
      <c r="CK496" s="165"/>
    </row>
    <row r="497" spans="1:89">
      <c r="A497" s="238" t="str">
        <f>IF(AND(A1197&gt;0,$D$2&gt;14),A1197," ")</f>
        <v xml:space="preserve"> </v>
      </c>
      <c r="B497" s="253"/>
      <c r="C497" s="247"/>
      <c r="D497" s="240" t="str">
        <f t="shared" si="218"/>
        <v xml:space="preserve"> </v>
      </c>
      <c r="E497" s="240" t="str">
        <f t="shared" si="218"/>
        <v xml:space="preserve"> </v>
      </c>
      <c r="F497" s="240" t="str">
        <f t="shared" si="218"/>
        <v xml:space="preserve"> </v>
      </c>
      <c r="G497" s="240" t="str">
        <f t="shared" si="218"/>
        <v xml:space="preserve"> </v>
      </c>
      <c r="H497" s="240" t="str">
        <f t="shared" si="218"/>
        <v xml:space="preserve"> </v>
      </c>
      <c r="I497" s="251" t="str">
        <f t="shared" si="218"/>
        <v xml:space="preserve"> </v>
      </c>
      <c r="J497" s="253"/>
      <c r="K497" s="254"/>
      <c r="CA497" s="238" t="str">
        <f>IF(AND(CA1197&gt;0,$D$2&gt;14),CA1197," ")</f>
        <v xml:space="preserve"> </v>
      </c>
      <c r="CB497" s="253"/>
      <c r="CC497" s="247"/>
      <c r="CD497" s="240" t="str">
        <f t="shared" si="219"/>
        <v xml:space="preserve"> </v>
      </c>
      <c r="CE497" s="240" t="str">
        <f t="shared" si="219"/>
        <v xml:space="preserve"> </v>
      </c>
      <c r="CF497" s="240" t="str">
        <f t="shared" si="219"/>
        <v xml:space="preserve"> </v>
      </c>
      <c r="CG497" s="240" t="str">
        <f t="shared" si="219"/>
        <v xml:space="preserve"> </v>
      </c>
      <c r="CH497" s="240" t="str">
        <f t="shared" si="219"/>
        <v xml:space="preserve"> </v>
      </c>
      <c r="CI497" s="251" t="str">
        <f t="shared" si="219"/>
        <v xml:space="preserve"> </v>
      </c>
      <c r="CJ497" s="253"/>
      <c r="CK497" s="254"/>
    </row>
    <row r="498" spans="1:89">
      <c r="A498" s="166" t="str">
        <f>IF(AND(A1198&gt;0,$D$2&gt;14),A1198," ")</f>
        <v xml:space="preserve"> </v>
      </c>
      <c r="B498" s="101"/>
      <c r="C498" s="100"/>
      <c r="D498" s="167" t="str">
        <f t="shared" si="218"/>
        <v xml:space="preserve"> </v>
      </c>
      <c r="E498" s="167" t="str">
        <f t="shared" si="218"/>
        <v xml:space="preserve"> </v>
      </c>
      <c r="F498" s="167" t="str">
        <f t="shared" si="218"/>
        <v xml:space="preserve"> </v>
      </c>
      <c r="G498" s="167" t="str">
        <f t="shared" si="218"/>
        <v xml:space="preserve"> </v>
      </c>
      <c r="H498" s="167" t="str">
        <f t="shared" si="218"/>
        <v xml:space="preserve"> </v>
      </c>
      <c r="I498" s="168" t="str">
        <f t="shared" si="218"/>
        <v xml:space="preserve"> </v>
      </c>
      <c r="J498" s="101"/>
      <c r="K498" s="165"/>
      <c r="CA498" s="166" t="str">
        <f>IF(AND(CA1198&gt;0,$D$2&gt;14),CA1198," ")</f>
        <v xml:space="preserve"> </v>
      </c>
      <c r="CB498" s="101"/>
      <c r="CC498" s="100"/>
      <c r="CD498" s="167" t="str">
        <f t="shared" si="219"/>
        <v xml:space="preserve"> </v>
      </c>
      <c r="CE498" s="167" t="str">
        <f t="shared" si="219"/>
        <v xml:space="preserve"> </v>
      </c>
      <c r="CF498" s="167" t="str">
        <f t="shared" si="219"/>
        <v xml:space="preserve"> </v>
      </c>
      <c r="CG498" s="167" t="str">
        <f t="shared" si="219"/>
        <v xml:space="preserve"> </v>
      </c>
      <c r="CH498" s="167" t="str">
        <f t="shared" si="219"/>
        <v xml:space="preserve"> </v>
      </c>
      <c r="CI498" s="168" t="str">
        <f t="shared" si="219"/>
        <v xml:space="preserve"> </v>
      </c>
      <c r="CJ498" s="101"/>
      <c r="CK498" s="165"/>
    </row>
    <row r="499" spans="1:89">
      <c r="A499" s="238" t="str">
        <f>IF(AND(A1199&gt;0,$D$2&gt;14),A1199," ")</f>
        <v xml:space="preserve"> </v>
      </c>
      <c r="B499" s="253"/>
      <c r="C499" s="247"/>
      <c r="D499" s="240" t="str">
        <f t="shared" si="218"/>
        <v xml:space="preserve"> </v>
      </c>
      <c r="E499" s="240" t="str">
        <f t="shared" si="218"/>
        <v xml:space="preserve"> </v>
      </c>
      <c r="F499" s="240" t="str">
        <f t="shared" si="218"/>
        <v xml:space="preserve"> </v>
      </c>
      <c r="G499" s="240" t="str">
        <f t="shared" si="218"/>
        <v xml:space="preserve"> </v>
      </c>
      <c r="H499" s="240" t="str">
        <f t="shared" si="218"/>
        <v xml:space="preserve"> </v>
      </c>
      <c r="I499" s="251" t="str">
        <f t="shared" si="218"/>
        <v xml:space="preserve"> </v>
      </c>
      <c r="J499" s="253"/>
      <c r="K499" s="254"/>
      <c r="CA499" s="238" t="str">
        <f>IF(AND(CA1199&gt;0,$D$2&gt;14),CA1199," ")</f>
        <v xml:space="preserve"> </v>
      </c>
      <c r="CB499" s="253"/>
      <c r="CC499" s="247"/>
      <c r="CD499" s="240" t="str">
        <f t="shared" si="219"/>
        <v xml:space="preserve"> </v>
      </c>
      <c r="CE499" s="240" t="str">
        <f t="shared" si="219"/>
        <v xml:space="preserve"> </v>
      </c>
      <c r="CF499" s="240" t="str">
        <f t="shared" si="219"/>
        <v xml:space="preserve"> </v>
      </c>
      <c r="CG499" s="240" t="str">
        <f t="shared" si="219"/>
        <v xml:space="preserve"> </v>
      </c>
      <c r="CH499" s="240" t="str">
        <f t="shared" si="219"/>
        <v xml:space="preserve"> </v>
      </c>
      <c r="CI499" s="251" t="str">
        <f t="shared" si="219"/>
        <v xml:space="preserve"> </v>
      </c>
      <c r="CJ499" s="253"/>
      <c r="CK499" s="254"/>
    </row>
    <row r="500" spans="1:89" ht="14" thickBot="1">
      <c r="A500" s="170" t="str">
        <f>IF(AND(A1200&gt;0,$D$2&gt;14),A1200," ")</f>
        <v xml:space="preserve"> </v>
      </c>
      <c r="B500" s="171"/>
      <c r="C500" s="172"/>
      <c r="D500" s="172" t="str">
        <f t="shared" si="218"/>
        <v xml:space="preserve"> </v>
      </c>
      <c r="E500" s="172" t="str">
        <f t="shared" si="218"/>
        <v xml:space="preserve"> </v>
      </c>
      <c r="F500" s="172" t="str">
        <f t="shared" si="218"/>
        <v xml:space="preserve"> </v>
      </c>
      <c r="G500" s="172" t="str">
        <f t="shared" si="218"/>
        <v xml:space="preserve"> </v>
      </c>
      <c r="H500" s="172" t="str">
        <f t="shared" si="218"/>
        <v xml:space="preserve"> </v>
      </c>
      <c r="I500" s="173" t="str">
        <f t="shared" si="218"/>
        <v xml:space="preserve"> </v>
      </c>
      <c r="J500" s="171"/>
      <c r="K500" s="174"/>
      <c r="CA500" s="181" t="str">
        <f>IF(AND(CA1200&gt;0,$D$2&gt;14),CA1200," ")</f>
        <v xml:space="preserve"> </v>
      </c>
      <c r="CB500" s="103"/>
      <c r="CC500" s="100"/>
      <c r="CD500" s="100" t="str">
        <f t="shared" si="219"/>
        <v xml:space="preserve"> </v>
      </c>
      <c r="CE500" s="100" t="str">
        <f t="shared" si="219"/>
        <v xml:space="preserve"> </v>
      </c>
      <c r="CF500" s="100" t="str">
        <f t="shared" si="219"/>
        <v xml:space="preserve"> </v>
      </c>
      <c r="CG500" s="100" t="str">
        <f t="shared" si="219"/>
        <v xml:space="preserve"> </v>
      </c>
      <c r="CH500" s="100" t="str">
        <f t="shared" si="219"/>
        <v xml:space="preserve"> </v>
      </c>
      <c r="CI500" s="177" t="str">
        <f t="shared" si="219"/>
        <v xml:space="preserve"> </v>
      </c>
      <c r="CJ500" s="103"/>
      <c r="CK500" s="182"/>
    </row>
    <row r="501" spans="1:89">
      <c r="A501" s="152" t="s">
        <v>5198</v>
      </c>
      <c r="B501" s="121"/>
      <c r="C501" s="121"/>
      <c r="D501" s="121"/>
      <c r="E501" s="121"/>
      <c r="F501" s="121"/>
      <c r="G501" s="121"/>
      <c r="H501" s="121"/>
      <c r="I501" s="121"/>
      <c r="J501" s="281" t="s">
        <v>5139</v>
      </c>
      <c r="K501" s="162"/>
      <c r="CA501" s="17" t="s">
        <v>5198</v>
      </c>
      <c r="CB501" s="84"/>
      <c r="CC501" s="84"/>
      <c r="CD501" s="84"/>
      <c r="CE501" s="84"/>
      <c r="CF501" s="84"/>
      <c r="CG501" s="84"/>
      <c r="CH501" s="84"/>
      <c r="CI501" s="84"/>
      <c r="CJ501" s="17" t="s">
        <v>5139</v>
      </c>
      <c r="CK501" s="77"/>
    </row>
    <row r="502" spans="1:89">
      <c r="A502" s="126" t="str">
        <f>IF($E$134&gt;0,"1. Spell Matrix"," ")</f>
        <v>1. Spell Matrix</v>
      </c>
      <c r="B502" s="21"/>
      <c r="C502" s="21"/>
      <c r="D502" s="21" t="str">
        <f>IF($E$134&gt;7,"5. Enhanced Matrix"," ")</f>
        <v>5. Enhanced Matrix</v>
      </c>
      <c r="E502" s="21"/>
      <c r="F502" s="21"/>
      <c r="G502" s="21" t="str">
        <f>IF($E$134&gt;12,"9. Share Matrix"," ")</f>
        <v xml:space="preserve"> </v>
      </c>
      <c r="H502" s="21"/>
      <c r="I502" s="21"/>
      <c r="J502" s="20" t="s">
        <v>4955</v>
      </c>
      <c r="K502" s="135" t="s">
        <v>5144</v>
      </c>
      <c r="CA502" s="20" t="str">
        <f>IF($E$134&gt;0,"1. Spell Matrix"," ")</f>
        <v>1. Spell Matrix</v>
      </c>
      <c r="CB502" s="21"/>
      <c r="CC502" s="21"/>
      <c r="CD502" s="21" t="str">
        <f>IF($E$134&gt;7,"5. Enhanced Matrix"," ")</f>
        <v>5. Enhanced Matrix</v>
      </c>
      <c r="CE502" s="21"/>
      <c r="CF502" s="21"/>
      <c r="CG502" s="21" t="str">
        <f>IF($E$134&gt;12,"9. Share Matrix"," ")</f>
        <v xml:space="preserve"> </v>
      </c>
      <c r="CH502" s="21"/>
      <c r="CI502" s="21"/>
      <c r="CJ502" s="20" t="s">
        <v>4955</v>
      </c>
      <c r="CK502" s="28" t="s">
        <v>5144</v>
      </c>
    </row>
    <row r="503" spans="1:89">
      <c r="A503" s="126" t="str">
        <f>IF($E$134&gt;0,"2. Spell Matrix"," ")</f>
        <v>2. Spell Matrix</v>
      </c>
      <c r="B503" s="21"/>
      <c r="C503" s="21"/>
      <c r="D503" s="21" t="str">
        <f>IF($E$134&gt;8,"6. Armored Matrix"," ")</f>
        <v>6. Armored Matrix</v>
      </c>
      <c r="E503" s="21"/>
      <c r="F503" s="21"/>
      <c r="G503" s="21" t="str">
        <f>IF($E$134&gt;13,"10. Share Matrix"," ")</f>
        <v xml:space="preserve"> </v>
      </c>
      <c r="H503" s="21"/>
      <c r="I503" s="21"/>
      <c r="J503" s="20" t="s">
        <v>5421</v>
      </c>
      <c r="K503" s="135" t="s">
        <v>5147</v>
      </c>
      <c r="CA503" s="20" t="str">
        <f>IF($E$134&gt;0,"2. Spell Matrix"," ")</f>
        <v>2. Spell Matrix</v>
      </c>
      <c r="CB503" s="21"/>
      <c r="CC503" s="21"/>
      <c r="CD503" s="21" t="str">
        <f>IF($E$134&gt;8,"6. Armored Matrix"," ")</f>
        <v>6. Armored Matrix</v>
      </c>
      <c r="CE503" s="21"/>
      <c r="CF503" s="21"/>
      <c r="CG503" s="21" t="str">
        <f>IF($E$134&gt;13,"10. Share Matrix"," ")</f>
        <v xml:space="preserve"> </v>
      </c>
      <c r="CH503" s="21"/>
      <c r="CI503" s="21"/>
      <c r="CJ503" s="20" t="s">
        <v>5421</v>
      </c>
      <c r="CK503" s="28" t="s">
        <v>5147</v>
      </c>
    </row>
    <row r="504" spans="1:89">
      <c r="A504" s="126" t="str">
        <f>IF($E$134&gt;1,"3. Spell Matrix"," ")</f>
        <v>3. Spell Matrix</v>
      </c>
      <c r="B504" s="21"/>
      <c r="C504" s="21"/>
      <c r="D504" s="21" t="str">
        <f>IF($E$134&gt;10,"7. Armored Matrix"," ")</f>
        <v xml:space="preserve"> </v>
      </c>
      <c r="E504" s="21"/>
      <c r="F504" s="21"/>
      <c r="G504" s="21" t="str">
        <f>IF($E$134&gt;14,"11. Share Matrix"," ")</f>
        <v xml:space="preserve"> </v>
      </c>
      <c r="H504" s="21"/>
      <c r="I504" s="21"/>
      <c r="J504" s="20" t="s">
        <v>4970</v>
      </c>
      <c r="K504" s="135" t="s">
        <v>4971</v>
      </c>
      <c r="CA504" s="20" t="str">
        <f>IF($E$134&gt;1,"3. Spell Matrix"," ")</f>
        <v>3. Spell Matrix</v>
      </c>
      <c r="CB504" s="21"/>
      <c r="CC504" s="21"/>
      <c r="CD504" s="21" t="str">
        <f>IF($E$134&gt;10,"7. Armored Matrix"," ")</f>
        <v xml:space="preserve"> </v>
      </c>
      <c r="CE504" s="21"/>
      <c r="CF504" s="21"/>
      <c r="CG504" s="21" t="str">
        <f>IF($E$134&gt;14,"11. Share Matrix"," ")</f>
        <v xml:space="preserve"> </v>
      </c>
      <c r="CH504" s="21"/>
      <c r="CI504" s="21"/>
      <c r="CJ504" s="20" t="s">
        <v>4970</v>
      </c>
      <c r="CK504" s="28" t="s">
        <v>4971</v>
      </c>
    </row>
    <row r="505" spans="1:89">
      <c r="A505" s="141" t="str">
        <f>IF($E$134&gt;5,"4. Enhanced Matrix"," ")</f>
        <v>4. Enhanced Matrix</v>
      </c>
      <c r="B505" s="29"/>
      <c r="C505" s="29"/>
      <c r="D505" s="29" t="str">
        <f>IF($E$134&gt;11,"8. Armored Matrix"," ")</f>
        <v xml:space="preserve"> </v>
      </c>
      <c r="E505" s="29"/>
      <c r="F505" s="29"/>
      <c r="G505" s="29"/>
      <c r="H505" s="29"/>
      <c r="I505" s="29"/>
      <c r="J505" s="22" t="s">
        <v>4973</v>
      </c>
      <c r="K505" s="155" t="s">
        <v>4974</v>
      </c>
      <c r="CA505" s="22" t="str">
        <f>IF($E$134&gt;5,"4. Enhanced Matrix"," ")</f>
        <v>4. Enhanced Matrix</v>
      </c>
      <c r="CB505" s="29"/>
      <c r="CC505" s="29"/>
      <c r="CD505" s="29" t="str">
        <f>IF($E$134&gt;11,"8. Armored Matrix"," ")</f>
        <v xml:space="preserve"> </v>
      </c>
      <c r="CE505" s="29"/>
      <c r="CF505" s="29"/>
      <c r="CG505" s="29"/>
      <c r="CH505" s="29"/>
      <c r="CI505" s="29"/>
      <c r="CJ505" s="22" t="s">
        <v>4973</v>
      </c>
      <c r="CK505" s="61" t="s">
        <v>4974</v>
      </c>
    </row>
    <row r="506" spans="1:89">
      <c r="A506" s="179" t="s">
        <v>5199</v>
      </c>
      <c r="B506" s="102"/>
      <c r="C506" s="175" t="s">
        <v>5018</v>
      </c>
      <c r="D506" s="175" t="s">
        <v>5701</v>
      </c>
      <c r="E506" s="175" t="s">
        <v>5019</v>
      </c>
      <c r="F506" s="175" t="s">
        <v>5020</v>
      </c>
      <c r="G506" s="175" t="s">
        <v>5021</v>
      </c>
      <c r="H506" s="175" t="s">
        <v>5022</v>
      </c>
      <c r="I506" s="221" t="s">
        <v>5316</v>
      </c>
      <c r="J506" s="176"/>
      <c r="K506" s="180"/>
      <c r="CA506" s="179" t="s">
        <v>5199</v>
      </c>
      <c r="CB506" s="102"/>
      <c r="CC506" s="175" t="s">
        <v>5018</v>
      </c>
      <c r="CD506" s="175" t="s">
        <v>5701</v>
      </c>
      <c r="CE506" s="175" t="s">
        <v>5019</v>
      </c>
      <c r="CF506" s="175" t="s">
        <v>5020</v>
      </c>
      <c r="CG506" s="175" t="s">
        <v>5021</v>
      </c>
      <c r="CH506" s="175" t="s">
        <v>5022</v>
      </c>
      <c r="CI506" s="221" t="s">
        <v>5316</v>
      </c>
      <c r="CJ506" s="176"/>
      <c r="CK506" s="180"/>
    </row>
    <row r="507" spans="1:89">
      <c r="A507" s="166" t="str">
        <f t="shared" ref="A507:A524" si="220">IF(AND(A1307&gt;0,$E$134&gt;0),A1307," ")</f>
        <v xml:space="preserve"> </v>
      </c>
      <c r="B507" s="101"/>
      <c r="C507" s="100"/>
      <c r="D507" s="167" t="str">
        <f t="shared" ref="D507:I522" si="221">IF(AND(D1307&gt;0,$E$134&gt;0),D1307," ")</f>
        <v xml:space="preserve"> </v>
      </c>
      <c r="E507" s="167" t="str">
        <f t="shared" si="221"/>
        <v xml:space="preserve"> </v>
      </c>
      <c r="F507" s="167" t="str">
        <f t="shared" si="221"/>
        <v xml:space="preserve"> </v>
      </c>
      <c r="G507" s="167" t="str">
        <f t="shared" si="221"/>
        <v xml:space="preserve"> </v>
      </c>
      <c r="H507" s="167" t="str">
        <f t="shared" si="221"/>
        <v xml:space="preserve"> </v>
      </c>
      <c r="I507" s="168" t="str">
        <f t="shared" si="221"/>
        <v xml:space="preserve"> </v>
      </c>
      <c r="J507" s="167"/>
      <c r="K507" s="165"/>
      <c r="CA507" s="166" t="str">
        <f t="shared" ref="CA507:CA524" si="222">IF(AND(CA1307&gt;0,$E$134&gt;0),CA1307," ")</f>
        <v xml:space="preserve"> </v>
      </c>
      <c r="CB507" s="101"/>
      <c r="CC507" s="100"/>
      <c r="CD507" s="167" t="str">
        <f t="shared" ref="CD507:CI522" si="223">IF(AND(CD1307&gt;0,$E$134&gt;0),CD1307," ")</f>
        <v xml:space="preserve"> </v>
      </c>
      <c r="CE507" s="167" t="str">
        <f t="shared" si="223"/>
        <v xml:space="preserve"> </v>
      </c>
      <c r="CF507" s="167" t="str">
        <f t="shared" si="223"/>
        <v xml:space="preserve"> </v>
      </c>
      <c r="CG507" s="167" t="str">
        <f t="shared" si="223"/>
        <v xml:space="preserve"> </v>
      </c>
      <c r="CH507" s="167" t="str">
        <f t="shared" si="223"/>
        <v xml:space="preserve"> </v>
      </c>
      <c r="CI507" s="168" t="str">
        <f t="shared" si="223"/>
        <v xml:space="preserve"> </v>
      </c>
      <c r="CJ507" s="167"/>
      <c r="CK507" s="165"/>
    </row>
    <row r="508" spans="1:89">
      <c r="A508" s="238" t="str">
        <f t="shared" si="220"/>
        <v xml:space="preserve"> </v>
      </c>
      <c r="B508" s="253"/>
      <c r="C508" s="247"/>
      <c r="D508" s="240" t="str">
        <f t="shared" si="221"/>
        <v xml:space="preserve"> </v>
      </c>
      <c r="E508" s="240" t="str">
        <f t="shared" si="221"/>
        <v xml:space="preserve"> </v>
      </c>
      <c r="F508" s="240" t="str">
        <f t="shared" si="221"/>
        <v xml:space="preserve"> </v>
      </c>
      <c r="G508" s="240" t="str">
        <f t="shared" si="221"/>
        <v xml:space="preserve"> </v>
      </c>
      <c r="H508" s="240" t="str">
        <f t="shared" si="221"/>
        <v xml:space="preserve"> </v>
      </c>
      <c r="I508" s="251" t="str">
        <f t="shared" si="221"/>
        <v xml:space="preserve"> </v>
      </c>
      <c r="J508" s="240"/>
      <c r="K508" s="254"/>
      <c r="CA508" s="238" t="str">
        <f t="shared" si="222"/>
        <v xml:space="preserve"> </v>
      </c>
      <c r="CB508" s="253"/>
      <c r="CC508" s="247"/>
      <c r="CD508" s="240" t="str">
        <f t="shared" si="223"/>
        <v xml:space="preserve"> </v>
      </c>
      <c r="CE508" s="240" t="str">
        <f t="shared" si="223"/>
        <v xml:space="preserve"> </v>
      </c>
      <c r="CF508" s="240" t="str">
        <f t="shared" si="223"/>
        <v xml:space="preserve"> </v>
      </c>
      <c r="CG508" s="240" t="str">
        <f t="shared" si="223"/>
        <v xml:space="preserve"> </v>
      </c>
      <c r="CH508" s="240" t="str">
        <f t="shared" si="223"/>
        <v xml:space="preserve"> </v>
      </c>
      <c r="CI508" s="251" t="str">
        <f t="shared" si="223"/>
        <v xml:space="preserve"> </v>
      </c>
      <c r="CJ508" s="240"/>
      <c r="CK508" s="254"/>
    </row>
    <row r="509" spans="1:89">
      <c r="A509" s="166" t="str">
        <f t="shared" si="220"/>
        <v xml:space="preserve"> </v>
      </c>
      <c r="B509" s="101"/>
      <c r="C509" s="100"/>
      <c r="D509" s="167" t="str">
        <f t="shared" si="221"/>
        <v xml:space="preserve"> </v>
      </c>
      <c r="E509" s="167" t="str">
        <f t="shared" si="221"/>
        <v xml:space="preserve"> </v>
      </c>
      <c r="F509" s="167" t="str">
        <f t="shared" si="221"/>
        <v xml:space="preserve"> </v>
      </c>
      <c r="G509" s="167" t="str">
        <f t="shared" si="221"/>
        <v xml:space="preserve"> </v>
      </c>
      <c r="H509" s="167" t="str">
        <f t="shared" si="221"/>
        <v xml:space="preserve"> </v>
      </c>
      <c r="I509" s="168" t="str">
        <f t="shared" si="221"/>
        <v xml:space="preserve"> </v>
      </c>
      <c r="J509" s="167"/>
      <c r="K509" s="165"/>
      <c r="CA509" s="166" t="str">
        <f t="shared" si="222"/>
        <v xml:space="preserve"> </v>
      </c>
      <c r="CB509" s="101"/>
      <c r="CC509" s="100"/>
      <c r="CD509" s="167" t="str">
        <f t="shared" si="223"/>
        <v xml:space="preserve"> </v>
      </c>
      <c r="CE509" s="167" t="str">
        <f t="shared" si="223"/>
        <v xml:space="preserve"> </v>
      </c>
      <c r="CF509" s="167" t="str">
        <f t="shared" si="223"/>
        <v xml:space="preserve"> </v>
      </c>
      <c r="CG509" s="167" t="str">
        <f t="shared" si="223"/>
        <v xml:space="preserve"> </v>
      </c>
      <c r="CH509" s="167" t="str">
        <f t="shared" si="223"/>
        <v xml:space="preserve"> </v>
      </c>
      <c r="CI509" s="168" t="str">
        <f t="shared" si="223"/>
        <v xml:space="preserve"> </v>
      </c>
      <c r="CJ509" s="167"/>
      <c r="CK509" s="165"/>
    </row>
    <row r="510" spans="1:89">
      <c r="A510" s="238" t="str">
        <f t="shared" si="220"/>
        <v xml:space="preserve"> </v>
      </c>
      <c r="B510" s="253"/>
      <c r="C510" s="247"/>
      <c r="D510" s="240" t="str">
        <f t="shared" si="221"/>
        <v xml:space="preserve"> </v>
      </c>
      <c r="E510" s="240" t="str">
        <f t="shared" si="221"/>
        <v xml:space="preserve"> </v>
      </c>
      <c r="F510" s="240" t="str">
        <f t="shared" si="221"/>
        <v xml:space="preserve"> </v>
      </c>
      <c r="G510" s="240" t="str">
        <f t="shared" si="221"/>
        <v xml:space="preserve"> </v>
      </c>
      <c r="H510" s="240" t="str">
        <f t="shared" si="221"/>
        <v xml:space="preserve"> </v>
      </c>
      <c r="I510" s="251" t="str">
        <f t="shared" si="221"/>
        <v xml:space="preserve"> </v>
      </c>
      <c r="J510" s="240"/>
      <c r="K510" s="254"/>
      <c r="CA510" s="238" t="str">
        <f t="shared" si="222"/>
        <v xml:space="preserve"> </v>
      </c>
      <c r="CB510" s="253"/>
      <c r="CC510" s="247"/>
      <c r="CD510" s="240" t="str">
        <f t="shared" si="223"/>
        <v xml:space="preserve"> </v>
      </c>
      <c r="CE510" s="240" t="str">
        <f t="shared" si="223"/>
        <v xml:space="preserve"> </v>
      </c>
      <c r="CF510" s="240" t="str">
        <f t="shared" si="223"/>
        <v xml:space="preserve"> </v>
      </c>
      <c r="CG510" s="240" t="str">
        <f t="shared" si="223"/>
        <v xml:space="preserve"> </v>
      </c>
      <c r="CH510" s="240" t="str">
        <f t="shared" si="223"/>
        <v xml:space="preserve"> </v>
      </c>
      <c r="CI510" s="251" t="str">
        <f t="shared" si="223"/>
        <v xml:space="preserve"> </v>
      </c>
      <c r="CJ510" s="240"/>
      <c r="CK510" s="254"/>
    </row>
    <row r="511" spans="1:89">
      <c r="A511" s="166" t="str">
        <f t="shared" si="220"/>
        <v xml:space="preserve"> </v>
      </c>
      <c r="B511" s="101"/>
      <c r="C511" s="100"/>
      <c r="D511" s="167" t="str">
        <f t="shared" si="221"/>
        <v xml:space="preserve"> </v>
      </c>
      <c r="E511" s="167" t="str">
        <f t="shared" si="221"/>
        <v xml:space="preserve"> </v>
      </c>
      <c r="F511" s="167" t="str">
        <f t="shared" si="221"/>
        <v xml:space="preserve"> </v>
      </c>
      <c r="G511" s="167" t="str">
        <f t="shared" si="221"/>
        <v xml:space="preserve"> </v>
      </c>
      <c r="H511" s="167" t="str">
        <f t="shared" si="221"/>
        <v xml:space="preserve"> </v>
      </c>
      <c r="I511" s="168" t="str">
        <f t="shared" si="221"/>
        <v xml:space="preserve"> </v>
      </c>
      <c r="J511" s="167"/>
      <c r="K511" s="165"/>
      <c r="CA511" s="166" t="str">
        <f t="shared" si="222"/>
        <v xml:space="preserve"> </v>
      </c>
      <c r="CB511" s="101"/>
      <c r="CC511" s="100"/>
      <c r="CD511" s="167" t="str">
        <f t="shared" si="223"/>
        <v xml:space="preserve"> </v>
      </c>
      <c r="CE511" s="167" t="str">
        <f t="shared" si="223"/>
        <v xml:space="preserve"> </v>
      </c>
      <c r="CF511" s="167" t="str">
        <f t="shared" si="223"/>
        <v xml:space="preserve"> </v>
      </c>
      <c r="CG511" s="167" t="str">
        <f t="shared" si="223"/>
        <v xml:space="preserve"> </v>
      </c>
      <c r="CH511" s="167" t="str">
        <f t="shared" si="223"/>
        <v xml:space="preserve"> </v>
      </c>
      <c r="CI511" s="168" t="str">
        <f t="shared" si="223"/>
        <v xml:space="preserve"> </v>
      </c>
      <c r="CJ511" s="167"/>
      <c r="CK511" s="165"/>
    </row>
    <row r="512" spans="1:89">
      <c r="A512" s="238" t="str">
        <f t="shared" si="220"/>
        <v xml:space="preserve"> </v>
      </c>
      <c r="B512" s="253"/>
      <c r="C512" s="247"/>
      <c r="D512" s="240" t="str">
        <f t="shared" si="221"/>
        <v xml:space="preserve"> </v>
      </c>
      <c r="E512" s="240" t="str">
        <f t="shared" si="221"/>
        <v xml:space="preserve"> </v>
      </c>
      <c r="F512" s="240" t="str">
        <f t="shared" si="221"/>
        <v xml:space="preserve"> </v>
      </c>
      <c r="G512" s="240" t="str">
        <f t="shared" si="221"/>
        <v xml:space="preserve"> </v>
      </c>
      <c r="H512" s="240" t="str">
        <f t="shared" si="221"/>
        <v xml:space="preserve"> </v>
      </c>
      <c r="I512" s="251" t="str">
        <f t="shared" si="221"/>
        <v xml:space="preserve"> </v>
      </c>
      <c r="J512" s="240"/>
      <c r="K512" s="254"/>
      <c r="CA512" s="238" t="str">
        <f t="shared" si="222"/>
        <v xml:space="preserve"> </v>
      </c>
      <c r="CB512" s="253"/>
      <c r="CC512" s="247"/>
      <c r="CD512" s="240" t="str">
        <f t="shared" si="223"/>
        <v xml:space="preserve"> </v>
      </c>
      <c r="CE512" s="240" t="str">
        <f t="shared" si="223"/>
        <v xml:space="preserve"> </v>
      </c>
      <c r="CF512" s="240" t="str">
        <f t="shared" si="223"/>
        <v xml:space="preserve"> </v>
      </c>
      <c r="CG512" s="240" t="str">
        <f t="shared" si="223"/>
        <v xml:space="preserve"> </v>
      </c>
      <c r="CH512" s="240" t="str">
        <f t="shared" si="223"/>
        <v xml:space="preserve"> </v>
      </c>
      <c r="CI512" s="251" t="str">
        <f t="shared" si="223"/>
        <v xml:space="preserve"> </v>
      </c>
      <c r="CJ512" s="240"/>
      <c r="CK512" s="254"/>
    </row>
    <row r="513" spans="1:89">
      <c r="A513" s="166" t="str">
        <f t="shared" si="220"/>
        <v xml:space="preserve"> </v>
      </c>
      <c r="B513" s="101"/>
      <c r="C513" s="100"/>
      <c r="D513" s="167" t="str">
        <f t="shared" si="221"/>
        <v xml:space="preserve"> </v>
      </c>
      <c r="E513" s="167" t="str">
        <f t="shared" si="221"/>
        <v xml:space="preserve"> </v>
      </c>
      <c r="F513" s="167" t="str">
        <f t="shared" si="221"/>
        <v xml:space="preserve"> </v>
      </c>
      <c r="G513" s="167" t="str">
        <f t="shared" si="221"/>
        <v xml:space="preserve"> </v>
      </c>
      <c r="H513" s="167" t="str">
        <f t="shared" si="221"/>
        <v xml:space="preserve"> </v>
      </c>
      <c r="I513" s="168" t="str">
        <f t="shared" si="221"/>
        <v xml:space="preserve"> </v>
      </c>
      <c r="J513" s="167"/>
      <c r="K513" s="165"/>
      <c r="CA513" s="166" t="str">
        <f t="shared" si="222"/>
        <v xml:space="preserve"> </v>
      </c>
      <c r="CB513" s="101"/>
      <c r="CC513" s="100"/>
      <c r="CD513" s="167" t="str">
        <f t="shared" si="223"/>
        <v xml:space="preserve"> </v>
      </c>
      <c r="CE513" s="167" t="str">
        <f t="shared" si="223"/>
        <v xml:space="preserve"> </v>
      </c>
      <c r="CF513" s="167" t="str">
        <f t="shared" si="223"/>
        <v xml:space="preserve"> </v>
      </c>
      <c r="CG513" s="167" t="str">
        <f t="shared" si="223"/>
        <v xml:space="preserve"> </v>
      </c>
      <c r="CH513" s="167" t="str">
        <f t="shared" si="223"/>
        <v xml:space="preserve"> </v>
      </c>
      <c r="CI513" s="168" t="str">
        <f t="shared" si="223"/>
        <v xml:space="preserve"> </v>
      </c>
      <c r="CJ513" s="167"/>
      <c r="CK513" s="165"/>
    </row>
    <row r="514" spans="1:89">
      <c r="A514" s="238" t="str">
        <f t="shared" si="220"/>
        <v xml:space="preserve"> </v>
      </c>
      <c r="B514" s="253"/>
      <c r="C514" s="247"/>
      <c r="D514" s="240" t="str">
        <f t="shared" si="221"/>
        <v xml:space="preserve"> </v>
      </c>
      <c r="E514" s="240" t="str">
        <f t="shared" si="221"/>
        <v xml:space="preserve"> </v>
      </c>
      <c r="F514" s="240" t="str">
        <f t="shared" si="221"/>
        <v xml:space="preserve"> </v>
      </c>
      <c r="G514" s="240" t="str">
        <f t="shared" si="221"/>
        <v xml:space="preserve"> </v>
      </c>
      <c r="H514" s="240" t="str">
        <f t="shared" si="221"/>
        <v xml:space="preserve"> </v>
      </c>
      <c r="I514" s="251" t="str">
        <f t="shared" si="221"/>
        <v xml:space="preserve"> </v>
      </c>
      <c r="J514" s="240"/>
      <c r="K514" s="254"/>
      <c r="CA514" s="238" t="str">
        <f t="shared" si="222"/>
        <v xml:space="preserve"> </v>
      </c>
      <c r="CB514" s="253"/>
      <c r="CC514" s="247"/>
      <c r="CD514" s="240" t="str">
        <f t="shared" si="223"/>
        <v xml:space="preserve"> </v>
      </c>
      <c r="CE514" s="240" t="str">
        <f t="shared" si="223"/>
        <v xml:space="preserve"> </v>
      </c>
      <c r="CF514" s="240" t="str">
        <f t="shared" si="223"/>
        <v xml:space="preserve"> </v>
      </c>
      <c r="CG514" s="240" t="str">
        <f t="shared" si="223"/>
        <v xml:space="preserve"> </v>
      </c>
      <c r="CH514" s="240" t="str">
        <f t="shared" si="223"/>
        <v xml:space="preserve"> </v>
      </c>
      <c r="CI514" s="251" t="str">
        <f t="shared" si="223"/>
        <v xml:space="preserve"> </v>
      </c>
      <c r="CJ514" s="240"/>
      <c r="CK514" s="254"/>
    </row>
    <row r="515" spans="1:89">
      <c r="A515" s="166" t="str">
        <f t="shared" si="220"/>
        <v xml:space="preserve"> </v>
      </c>
      <c r="B515" s="101"/>
      <c r="C515" s="100"/>
      <c r="D515" s="167" t="str">
        <f t="shared" si="221"/>
        <v xml:space="preserve"> </v>
      </c>
      <c r="E515" s="167" t="str">
        <f t="shared" si="221"/>
        <v xml:space="preserve"> </v>
      </c>
      <c r="F515" s="167" t="str">
        <f t="shared" si="221"/>
        <v xml:space="preserve"> </v>
      </c>
      <c r="G515" s="167" t="str">
        <f t="shared" si="221"/>
        <v xml:space="preserve"> </v>
      </c>
      <c r="H515" s="167" t="str">
        <f t="shared" si="221"/>
        <v xml:space="preserve"> </v>
      </c>
      <c r="I515" s="168" t="str">
        <f t="shared" si="221"/>
        <v xml:space="preserve"> </v>
      </c>
      <c r="J515" s="167"/>
      <c r="K515" s="165"/>
      <c r="CA515" s="166" t="str">
        <f t="shared" si="222"/>
        <v xml:space="preserve"> </v>
      </c>
      <c r="CB515" s="101"/>
      <c r="CC515" s="100"/>
      <c r="CD515" s="167" t="str">
        <f t="shared" si="223"/>
        <v xml:space="preserve"> </v>
      </c>
      <c r="CE515" s="167" t="str">
        <f t="shared" si="223"/>
        <v xml:space="preserve"> </v>
      </c>
      <c r="CF515" s="167" t="str">
        <f t="shared" si="223"/>
        <v xml:space="preserve"> </v>
      </c>
      <c r="CG515" s="167" t="str">
        <f t="shared" si="223"/>
        <v xml:space="preserve"> </v>
      </c>
      <c r="CH515" s="167" t="str">
        <f t="shared" si="223"/>
        <v xml:space="preserve"> </v>
      </c>
      <c r="CI515" s="168" t="str">
        <f t="shared" si="223"/>
        <v xml:space="preserve"> </v>
      </c>
      <c r="CJ515" s="167"/>
      <c r="CK515" s="165"/>
    </row>
    <row r="516" spans="1:89">
      <c r="A516" s="238" t="str">
        <f t="shared" si="220"/>
        <v xml:space="preserve"> </v>
      </c>
      <c r="B516" s="253"/>
      <c r="C516" s="247"/>
      <c r="D516" s="240" t="str">
        <f t="shared" si="221"/>
        <v xml:space="preserve"> </v>
      </c>
      <c r="E516" s="240" t="str">
        <f t="shared" si="221"/>
        <v xml:space="preserve"> </v>
      </c>
      <c r="F516" s="240" t="str">
        <f t="shared" si="221"/>
        <v xml:space="preserve"> </v>
      </c>
      <c r="G516" s="240" t="str">
        <f t="shared" si="221"/>
        <v xml:space="preserve"> </v>
      </c>
      <c r="H516" s="240" t="str">
        <f t="shared" si="221"/>
        <v xml:space="preserve"> </v>
      </c>
      <c r="I516" s="251" t="str">
        <f t="shared" si="221"/>
        <v xml:space="preserve"> </v>
      </c>
      <c r="J516" s="240"/>
      <c r="K516" s="254"/>
      <c r="CA516" s="238" t="str">
        <f t="shared" si="222"/>
        <v xml:space="preserve"> </v>
      </c>
      <c r="CB516" s="253"/>
      <c r="CC516" s="247"/>
      <c r="CD516" s="240" t="str">
        <f t="shared" si="223"/>
        <v xml:space="preserve"> </v>
      </c>
      <c r="CE516" s="240" t="str">
        <f t="shared" si="223"/>
        <v xml:space="preserve"> </v>
      </c>
      <c r="CF516" s="240" t="str">
        <f t="shared" si="223"/>
        <v xml:space="preserve"> </v>
      </c>
      <c r="CG516" s="240" t="str">
        <f t="shared" si="223"/>
        <v xml:space="preserve"> </v>
      </c>
      <c r="CH516" s="240" t="str">
        <f t="shared" si="223"/>
        <v xml:space="preserve"> </v>
      </c>
      <c r="CI516" s="251" t="str">
        <f t="shared" si="223"/>
        <v xml:space="preserve"> </v>
      </c>
      <c r="CJ516" s="240"/>
      <c r="CK516" s="254"/>
    </row>
    <row r="517" spans="1:89">
      <c r="A517" s="166" t="str">
        <f t="shared" si="220"/>
        <v xml:space="preserve"> </v>
      </c>
      <c r="B517" s="101"/>
      <c r="C517" s="100"/>
      <c r="D517" s="167" t="str">
        <f t="shared" si="221"/>
        <v xml:space="preserve"> </v>
      </c>
      <c r="E517" s="167" t="str">
        <f t="shared" si="221"/>
        <v xml:space="preserve"> </v>
      </c>
      <c r="F517" s="167" t="str">
        <f t="shared" si="221"/>
        <v xml:space="preserve"> </v>
      </c>
      <c r="G517" s="167" t="str">
        <f t="shared" si="221"/>
        <v xml:space="preserve"> </v>
      </c>
      <c r="H517" s="167" t="str">
        <f t="shared" si="221"/>
        <v xml:space="preserve"> </v>
      </c>
      <c r="I517" s="168" t="str">
        <f t="shared" si="221"/>
        <v xml:space="preserve"> </v>
      </c>
      <c r="J517" s="167"/>
      <c r="K517" s="165"/>
      <c r="CA517" s="166" t="str">
        <f t="shared" si="222"/>
        <v xml:space="preserve"> </v>
      </c>
      <c r="CB517" s="101"/>
      <c r="CC517" s="100"/>
      <c r="CD517" s="167" t="str">
        <f t="shared" si="223"/>
        <v xml:space="preserve"> </v>
      </c>
      <c r="CE517" s="167" t="str">
        <f t="shared" si="223"/>
        <v xml:space="preserve"> </v>
      </c>
      <c r="CF517" s="167" t="str">
        <f t="shared" si="223"/>
        <v xml:space="preserve"> </v>
      </c>
      <c r="CG517" s="167" t="str">
        <f t="shared" si="223"/>
        <v xml:space="preserve"> </v>
      </c>
      <c r="CH517" s="167" t="str">
        <f t="shared" si="223"/>
        <v xml:space="preserve"> </v>
      </c>
      <c r="CI517" s="168" t="str">
        <f t="shared" si="223"/>
        <v xml:space="preserve"> </v>
      </c>
      <c r="CJ517" s="167"/>
      <c r="CK517" s="165"/>
    </row>
    <row r="518" spans="1:89">
      <c r="A518" s="238" t="str">
        <f t="shared" si="220"/>
        <v xml:space="preserve"> </v>
      </c>
      <c r="B518" s="253"/>
      <c r="C518" s="247"/>
      <c r="D518" s="240" t="str">
        <f t="shared" si="221"/>
        <v xml:space="preserve"> </v>
      </c>
      <c r="E518" s="240" t="str">
        <f t="shared" si="221"/>
        <v xml:space="preserve"> </v>
      </c>
      <c r="F518" s="240" t="str">
        <f t="shared" si="221"/>
        <v xml:space="preserve"> </v>
      </c>
      <c r="G518" s="240" t="str">
        <f t="shared" si="221"/>
        <v xml:space="preserve"> </v>
      </c>
      <c r="H518" s="240" t="str">
        <f t="shared" si="221"/>
        <v xml:space="preserve"> </v>
      </c>
      <c r="I518" s="251" t="str">
        <f t="shared" si="221"/>
        <v xml:space="preserve"> </v>
      </c>
      <c r="J518" s="240"/>
      <c r="K518" s="254"/>
      <c r="CA518" s="238" t="str">
        <f t="shared" si="222"/>
        <v xml:space="preserve"> </v>
      </c>
      <c r="CB518" s="253"/>
      <c r="CC518" s="247"/>
      <c r="CD518" s="240" t="str">
        <f t="shared" si="223"/>
        <v xml:space="preserve"> </v>
      </c>
      <c r="CE518" s="240" t="str">
        <f t="shared" si="223"/>
        <v xml:space="preserve"> </v>
      </c>
      <c r="CF518" s="240" t="str">
        <f t="shared" si="223"/>
        <v xml:space="preserve"> </v>
      </c>
      <c r="CG518" s="240" t="str">
        <f t="shared" si="223"/>
        <v xml:space="preserve"> </v>
      </c>
      <c r="CH518" s="240" t="str">
        <f t="shared" si="223"/>
        <v xml:space="preserve"> </v>
      </c>
      <c r="CI518" s="251" t="str">
        <f t="shared" si="223"/>
        <v xml:space="preserve"> </v>
      </c>
      <c r="CJ518" s="240"/>
      <c r="CK518" s="254"/>
    </row>
    <row r="519" spans="1:89">
      <c r="A519" s="166" t="str">
        <f t="shared" si="220"/>
        <v xml:space="preserve"> </v>
      </c>
      <c r="B519" s="101"/>
      <c r="C519" s="100"/>
      <c r="D519" s="167" t="str">
        <f t="shared" si="221"/>
        <v xml:space="preserve"> </v>
      </c>
      <c r="E519" s="167" t="str">
        <f t="shared" si="221"/>
        <v xml:space="preserve"> </v>
      </c>
      <c r="F519" s="167" t="str">
        <f t="shared" si="221"/>
        <v xml:space="preserve"> </v>
      </c>
      <c r="G519" s="167" t="str">
        <f t="shared" si="221"/>
        <v xml:space="preserve"> </v>
      </c>
      <c r="H519" s="167" t="str">
        <f t="shared" si="221"/>
        <v xml:space="preserve"> </v>
      </c>
      <c r="I519" s="168" t="str">
        <f t="shared" si="221"/>
        <v xml:space="preserve"> </v>
      </c>
      <c r="J519" s="167"/>
      <c r="K519" s="165"/>
      <c r="CA519" s="166" t="str">
        <f t="shared" si="222"/>
        <v xml:space="preserve"> </v>
      </c>
      <c r="CB519" s="101"/>
      <c r="CC519" s="100"/>
      <c r="CD519" s="167" t="str">
        <f t="shared" si="223"/>
        <v xml:space="preserve"> </v>
      </c>
      <c r="CE519" s="167" t="str">
        <f t="shared" si="223"/>
        <v xml:space="preserve"> </v>
      </c>
      <c r="CF519" s="167" t="str">
        <f t="shared" si="223"/>
        <v xml:space="preserve"> </v>
      </c>
      <c r="CG519" s="167" t="str">
        <f t="shared" si="223"/>
        <v xml:space="preserve"> </v>
      </c>
      <c r="CH519" s="167" t="str">
        <f t="shared" si="223"/>
        <v xml:space="preserve"> </v>
      </c>
      <c r="CI519" s="168" t="str">
        <f t="shared" si="223"/>
        <v xml:space="preserve"> </v>
      </c>
      <c r="CJ519" s="167"/>
      <c r="CK519" s="165"/>
    </row>
    <row r="520" spans="1:89">
      <c r="A520" s="238" t="str">
        <f t="shared" si="220"/>
        <v xml:space="preserve"> </v>
      </c>
      <c r="B520" s="253"/>
      <c r="C520" s="247"/>
      <c r="D520" s="240" t="str">
        <f t="shared" si="221"/>
        <v xml:space="preserve"> </v>
      </c>
      <c r="E520" s="240" t="str">
        <f t="shared" si="221"/>
        <v xml:space="preserve"> </v>
      </c>
      <c r="F520" s="240" t="str">
        <f t="shared" si="221"/>
        <v xml:space="preserve"> </v>
      </c>
      <c r="G520" s="240" t="str">
        <f t="shared" si="221"/>
        <v xml:space="preserve"> </v>
      </c>
      <c r="H520" s="240" t="str">
        <f t="shared" si="221"/>
        <v xml:space="preserve"> </v>
      </c>
      <c r="I520" s="251" t="str">
        <f t="shared" si="221"/>
        <v xml:space="preserve"> </v>
      </c>
      <c r="J520" s="240"/>
      <c r="K520" s="254"/>
      <c r="CA520" s="238" t="str">
        <f t="shared" si="222"/>
        <v xml:space="preserve"> </v>
      </c>
      <c r="CB520" s="253"/>
      <c r="CC520" s="247"/>
      <c r="CD520" s="240" t="str">
        <f t="shared" si="223"/>
        <v xml:space="preserve"> </v>
      </c>
      <c r="CE520" s="240" t="str">
        <f t="shared" si="223"/>
        <v xml:space="preserve"> </v>
      </c>
      <c r="CF520" s="240" t="str">
        <f t="shared" si="223"/>
        <v xml:space="preserve"> </v>
      </c>
      <c r="CG520" s="240" t="str">
        <f t="shared" si="223"/>
        <v xml:space="preserve"> </v>
      </c>
      <c r="CH520" s="240" t="str">
        <f t="shared" si="223"/>
        <v xml:space="preserve"> </v>
      </c>
      <c r="CI520" s="251" t="str">
        <f t="shared" si="223"/>
        <v xml:space="preserve"> </v>
      </c>
      <c r="CJ520" s="240"/>
      <c r="CK520" s="254"/>
    </row>
    <row r="521" spans="1:89">
      <c r="A521" s="166" t="str">
        <f t="shared" si="220"/>
        <v xml:space="preserve"> </v>
      </c>
      <c r="B521" s="101"/>
      <c r="C521" s="100"/>
      <c r="D521" s="167" t="str">
        <f t="shared" si="221"/>
        <v xml:space="preserve"> </v>
      </c>
      <c r="E521" s="167" t="str">
        <f t="shared" si="221"/>
        <v xml:space="preserve"> </v>
      </c>
      <c r="F521" s="167" t="str">
        <f t="shared" si="221"/>
        <v xml:space="preserve"> </v>
      </c>
      <c r="G521" s="167" t="str">
        <f t="shared" si="221"/>
        <v xml:space="preserve"> </v>
      </c>
      <c r="H521" s="167" t="str">
        <f t="shared" si="221"/>
        <v xml:space="preserve"> </v>
      </c>
      <c r="I521" s="168" t="str">
        <f t="shared" si="221"/>
        <v xml:space="preserve"> </v>
      </c>
      <c r="J521" s="167"/>
      <c r="K521" s="169"/>
      <c r="CA521" s="166" t="str">
        <f t="shared" si="222"/>
        <v xml:space="preserve"> </v>
      </c>
      <c r="CB521" s="101"/>
      <c r="CC521" s="100"/>
      <c r="CD521" s="167" t="str">
        <f t="shared" si="223"/>
        <v xml:space="preserve"> </v>
      </c>
      <c r="CE521" s="167" t="str">
        <f t="shared" si="223"/>
        <v xml:space="preserve"> </v>
      </c>
      <c r="CF521" s="167" t="str">
        <f t="shared" si="223"/>
        <v xml:space="preserve"> </v>
      </c>
      <c r="CG521" s="167" t="str">
        <f t="shared" si="223"/>
        <v xml:space="preserve"> </v>
      </c>
      <c r="CH521" s="167" t="str">
        <f t="shared" si="223"/>
        <v xml:space="preserve"> </v>
      </c>
      <c r="CI521" s="168" t="str">
        <f t="shared" si="223"/>
        <v xml:space="preserve"> </v>
      </c>
      <c r="CJ521" s="167"/>
      <c r="CK521" s="169"/>
    </row>
    <row r="522" spans="1:89">
      <c r="A522" s="238" t="str">
        <f t="shared" si="220"/>
        <v xml:space="preserve"> </v>
      </c>
      <c r="B522" s="253"/>
      <c r="C522" s="247"/>
      <c r="D522" s="240" t="str">
        <f t="shared" si="221"/>
        <v xml:space="preserve"> </v>
      </c>
      <c r="E522" s="240" t="str">
        <f t="shared" si="221"/>
        <v xml:space="preserve"> </v>
      </c>
      <c r="F522" s="240" t="str">
        <f t="shared" si="221"/>
        <v xml:space="preserve"> </v>
      </c>
      <c r="G522" s="240" t="str">
        <f t="shared" si="221"/>
        <v xml:space="preserve"> </v>
      </c>
      <c r="H522" s="240" t="str">
        <f t="shared" si="221"/>
        <v xml:space="preserve"> </v>
      </c>
      <c r="I522" s="251" t="str">
        <f t="shared" si="221"/>
        <v xml:space="preserve"> </v>
      </c>
      <c r="J522" s="240"/>
      <c r="K522" s="254"/>
      <c r="CA522" s="238" t="str">
        <f t="shared" si="222"/>
        <v xml:space="preserve"> </v>
      </c>
      <c r="CB522" s="253"/>
      <c r="CC522" s="247"/>
      <c r="CD522" s="240" t="str">
        <f t="shared" si="223"/>
        <v xml:space="preserve"> </v>
      </c>
      <c r="CE522" s="240" t="str">
        <f t="shared" si="223"/>
        <v xml:space="preserve"> </v>
      </c>
      <c r="CF522" s="240" t="str">
        <f t="shared" si="223"/>
        <v xml:space="preserve"> </v>
      </c>
      <c r="CG522" s="240" t="str">
        <f t="shared" si="223"/>
        <v xml:space="preserve"> </v>
      </c>
      <c r="CH522" s="240" t="str">
        <f t="shared" si="223"/>
        <v xml:space="preserve"> </v>
      </c>
      <c r="CI522" s="251" t="str">
        <f t="shared" si="223"/>
        <v xml:space="preserve"> </v>
      </c>
      <c r="CJ522" s="240"/>
      <c r="CK522" s="254"/>
    </row>
    <row r="523" spans="1:89">
      <c r="A523" s="166" t="str">
        <f t="shared" si="220"/>
        <v xml:space="preserve"> </v>
      </c>
      <c r="B523" s="101"/>
      <c r="C523" s="100"/>
      <c r="D523" s="167" t="str">
        <f t="shared" ref="D523:I524" si="224">IF(AND(D1323&gt;0,$E$134&gt;0),D1323," ")</f>
        <v xml:space="preserve"> </v>
      </c>
      <c r="E523" s="167" t="str">
        <f t="shared" si="224"/>
        <v xml:space="preserve"> </v>
      </c>
      <c r="F523" s="167" t="str">
        <f t="shared" si="224"/>
        <v xml:space="preserve"> </v>
      </c>
      <c r="G523" s="167" t="str">
        <f t="shared" si="224"/>
        <v xml:space="preserve"> </v>
      </c>
      <c r="H523" s="167" t="str">
        <f t="shared" si="224"/>
        <v xml:space="preserve"> </v>
      </c>
      <c r="I523" s="168" t="str">
        <f t="shared" si="224"/>
        <v xml:space="preserve"> </v>
      </c>
      <c r="J523" s="167"/>
      <c r="K523" s="165"/>
      <c r="CA523" s="166" t="str">
        <f t="shared" si="222"/>
        <v xml:space="preserve"> </v>
      </c>
      <c r="CB523" s="101"/>
      <c r="CC523" s="100"/>
      <c r="CD523" s="167" t="str">
        <f t="shared" ref="CD523:CI524" si="225">IF(AND(CD1323&gt;0,$E$134&gt;0),CD1323," ")</f>
        <v xml:space="preserve"> </v>
      </c>
      <c r="CE523" s="167" t="str">
        <f t="shared" si="225"/>
        <v xml:space="preserve"> </v>
      </c>
      <c r="CF523" s="167" t="str">
        <f t="shared" si="225"/>
        <v xml:space="preserve"> </v>
      </c>
      <c r="CG523" s="167" t="str">
        <f t="shared" si="225"/>
        <v xml:space="preserve"> </v>
      </c>
      <c r="CH523" s="167" t="str">
        <f t="shared" si="225"/>
        <v xml:space="preserve"> </v>
      </c>
      <c r="CI523" s="168" t="str">
        <f t="shared" si="225"/>
        <v xml:space="preserve"> </v>
      </c>
      <c r="CJ523" s="167"/>
      <c r="CK523" s="165"/>
    </row>
    <row r="524" spans="1:89">
      <c r="A524" s="246" t="str">
        <f t="shared" si="220"/>
        <v xml:space="preserve"> </v>
      </c>
      <c r="B524" s="258"/>
      <c r="C524" s="247"/>
      <c r="D524" s="247" t="str">
        <f t="shared" si="224"/>
        <v xml:space="preserve"> </v>
      </c>
      <c r="E524" s="247" t="str">
        <f t="shared" si="224"/>
        <v xml:space="preserve"> </v>
      </c>
      <c r="F524" s="247" t="str">
        <f t="shared" si="224"/>
        <v xml:space="preserve"> </v>
      </c>
      <c r="G524" s="247" t="str">
        <f t="shared" si="224"/>
        <v xml:space="preserve"> </v>
      </c>
      <c r="H524" s="247" t="str">
        <f t="shared" si="224"/>
        <v xml:space="preserve"> </v>
      </c>
      <c r="I524" s="256" t="str">
        <f t="shared" si="224"/>
        <v xml:space="preserve"> </v>
      </c>
      <c r="J524" s="247"/>
      <c r="K524" s="259"/>
      <c r="CA524" s="246" t="str">
        <f t="shared" si="222"/>
        <v xml:space="preserve"> </v>
      </c>
      <c r="CB524" s="258"/>
      <c r="CC524" s="247"/>
      <c r="CD524" s="247" t="str">
        <f t="shared" si="225"/>
        <v xml:space="preserve"> </v>
      </c>
      <c r="CE524" s="247" t="str">
        <f t="shared" si="225"/>
        <v xml:space="preserve"> </v>
      </c>
      <c r="CF524" s="247" t="str">
        <f t="shared" si="225"/>
        <v xml:space="preserve"> </v>
      </c>
      <c r="CG524" s="247" t="str">
        <f t="shared" si="225"/>
        <v xml:space="preserve"> </v>
      </c>
      <c r="CH524" s="247" t="str">
        <f t="shared" si="225"/>
        <v xml:space="preserve"> </v>
      </c>
      <c r="CI524" s="256" t="str">
        <f t="shared" si="225"/>
        <v xml:space="preserve"> </v>
      </c>
      <c r="CJ524" s="247"/>
      <c r="CK524" s="259"/>
    </row>
    <row r="525" spans="1:89">
      <c r="A525" s="179" t="s">
        <v>5023</v>
      </c>
      <c r="B525" s="102"/>
      <c r="C525" s="175" t="s">
        <v>5018</v>
      </c>
      <c r="D525" s="175" t="s">
        <v>5701</v>
      </c>
      <c r="E525" s="175" t="s">
        <v>5019</v>
      </c>
      <c r="F525" s="175" t="s">
        <v>5020</v>
      </c>
      <c r="G525" s="175" t="s">
        <v>5021</v>
      </c>
      <c r="H525" s="175" t="s">
        <v>5022</v>
      </c>
      <c r="I525" s="221" t="s">
        <v>5316</v>
      </c>
      <c r="J525" s="176"/>
      <c r="K525" s="180"/>
      <c r="CA525" s="179" t="s">
        <v>5023</v>
      </c>
      <c r="CB525" s="102"/>
      <c r="CC525" s="175" t="s">
        <v>5018</v>
      </c>
      <c r="CD525" s="175" t="s">
        <v>5701</v>
      </c>
      <c r="CE525" s="175" t="s">
        <v>5019</v>
      </c>
      <c r="CF525" s="175" t="s">
        <v>5020</v>
      </c>
      <c r="CG525" s="175" t="s">
        <v>5021</v>
      </c>
      <c r="CH525" s="175" t="s">
        <v>5022</v>
      </c>
      <c r="CI525" s="221" t="s">
        <v>5316</v>
      </c>
      <c r="CJ525" s="176"/>
      <c r="CK525" s="180"/>
    </row>
    <row r="526" spans="1:89">
      <c r="A526" s="166" t="str">
        <f t="shared" ref="A526:A541" si="226">IF(AND(A1326&gt;0,$E$134&gt;1),A1326," ")</f>
        <v xml:space="preserve"> </v>
      </c>
      <c r="B526" s="101"/>
      <c r="C526" s="100"/>
      <c r="D526" s="167" t="str">
        <f t="shared" ref="D526:I541" si="227">IF(AND(D1326&gt;0,$E$134&gt;1),D1326," ")</f>
        <v xml:space="preserve"> </v>
      </c>
      <c r="E526" s="167" t="str">
        <f t="shared" si="227"/>
        <v xml:space="preserve"> </v>
      </c>
      <c r="F526" s="167" t="str">
        <f t="shared" si="227"/>
        <v xml:space="preserve"> </v>
      </c>
      <c r="G526" s="167" t="str">
        <f t="shared" si="227"/>
        <v xml:space="preserve"> </v>
      </c>
      <c r="H526" s="167" t="str">
        <f t="shared" si="227"/>
        <v xml:space="preserve"> </v>
      </c>
      <c r="I526" s="168" t="str">
        <f t="shared" si="227"/>
        <v xml:space="preserve"> </v>
      </c>
      <c r="J526" s="101"/>
      <c r="K526" s="165"/>
      <c r="CA526" s="166" t="str">
        <f t="shared" ref="CA526:CA541" si="228">IF(AND(CA1326&gt;0,$E$134&gt;1),CA1326," ")</f>
        <v xml:space="preserve"> </v>
      </c>
      <c r="CB526" s="101"/>
      <c r="CC526" s="100"/>
      <c r="CD526" s="167" t="str">
        <f t="shared" ref="CD526:CI541" si="229">IF(AND(CD1326&gt;0,$E$134&gt;1),CD1326," ")</f>
        <v xml:space="preserve"> </v>
      </c>
      <c r="CE526" s="167" t="str">
        <f t="shared" si="229"/>
        <v xml:space="preserve"> </v>
      </c>
      <c r="CF526" s="167" t="str">
        <f t="shared" si="229"/>
        <v xml:space="preserve"> </v>
      </c>
      <c r="CG526" s="167" t="str">
        <f t="shared" si="229"/>
        <v xml:space="preserve"> </v>
      </c>
      <c r="CH526" s="167" t="str">
        <f t="shared" si="229"/>
        <v xml:space="preserve"> </v>
      </c>
      <c r="CI526" s="168" t="str">
        <f t="shared" si="229"/>
        <v xml:space="preserve"> </v>
      </c>
      <c r="CJ526" s="101"/>
      <c r="CK526" s="165"/>
    </row>
    <row r="527" spans="1:89">
      <c r="A527" s="238" t="str">
        <f t="shared" si="226"/>
        <v xml:space="preserve"> </v>
      </c>
      <c r="B527" s="253"/>
      <c r="C527" s="247"/>
      <c r="D527" s="240" t="str">
        <f t="shared" si="227"/>
        <v xml:space="preserve"> </v>
      </c>
      <c r="E527" s="240" t="str">
        <f t="shared" si="227"/>
        <v xml:space="preserve"> </v>
      </c>
      <c r="F527" s="240" t="str">
        <f t="shared" si="227"/>
        <v xml:space="preserve"> </v>
      </c>
      <c r="G527" s="240" t="str">
        <f t="shared" si="227"/>
        <v xml:space="preserve"> </v>
      </c>
      <c r="H527" s="240" t="str">
        <f t="shared" si="227"/>
        <v xml:space="preserve"> </v>
      </c>
      <c r="I527" s="251" t="str">
        <f t="shared" si="227"/>
        <v xml:space="preserve"> </v>
      </c>
      <c r="J527" s="253"/>
      <c r="K527" s="254"/>
      <c r="CA527" s="238" t="str">
        <f t="shared" si="228"/>
        <v xml:space="preserve"> </v>
      </c>
      <c r="CB527" s="253"/>
      <c r="CC527" s="247"/>
      <c r="CD527" s="240" t="str">
        <f t="shared" si="229"/>
        <v xml:space="preserve"> </v>
      </c>
      <c r="CE527" s="240" t="str">
        <f t="shared" si="229"/>
        <v xml:space="preserve"> </v>
      </c>
      <c r="CF527" s="240" t="str">
        <f t="shared" si="229"/>
        <v xml:space="preserve"> </v>
      </c>
      <c r="CG527" s="240" t="str">
        <f t="shared" si="229"/>
        <v xml:space="preserve"> </v>
      </c>
      <c r="CH527" s="240" t="str">
        <f t="shared" si="229"/>
        <v xml:space="preserve"> </v>
      </c>
      <c r="CI527" s="251" t="str">
        <f t="shared" si="229"/>
        <v xml:space="preserve"> </v>
      </c>
      <c r="CJ527" s="253"/>
      <c r="CK527" s="254"/>
    </row>
    <row r="528" spans="1:89">
      <c r="A528" s="166" t="str">
        <f t="shared" si="226"/>
        <v xml:space="preserve"> </v>
      </c>
      <c r="B528" s="101"/>
      <c r="C528" s="100"/>
      <c r="D528" s="167" t="str">
        <f t="shared" si="227"/>
        <v xml:space="preserve"> </v>
      </c>
      <c r="E528" s="167" t="str">
        <f t="shared" si="227"/>
        <v xml:space="preserve"> </v>
      </c>
      <c r="F528" s="167" t="str">
        <f t="shared" si="227"/>
        <v xml:space="preserve"> </v>
      </c>
      <c r="G528" s="167" t="str">
        <f t="shared" si="227"/>
        <v xml:space="preserve"> </v>
      </c>
      <c r="H528" s="167" t="str">
        <f t="shared" si="227"/>
        <v xml:space="preserve"> </v>
      </c>
      <c r="I528" s="168" t="str">
        <f t="shared" si="227"/>
        <v xml:space="preserve"> </v>
      </c>
      <c r="J528" s="101"/>
      <c r="K528" s="165"/>
      <c r="CA528" s="166" t="str">
        <f t="shared" si="228"/>
        <v xml:space="preserve"> </v>
      </c>
      <c r="CB528" s="101"/>
      <c r="CC528" s="100"/>
      <c r="CD528" s="167" t="str">
        <f t="shared" si="229"/>
        <v xml:space="preserve"> </v>
      </c>
      <c r="CE528" s="167" t="str">
        <f t="shared" si="229"/>
        <v xml:space="preserve"> </v>
      </c>
      <c r="CF528" s="167" t="str">
        <f t="shared" si="229"/>
        <v xml:space="preserve"> </v>
      </c>
      <c r="CG528" s="167" t="str">
        <f t="shared" si="229"/>
        <v xml:space="preserve"> </v>
      </c>
      <c r="CH528" s="167" t="str">
        <f t="shared" si="229"/>
        <v xml:space="preserve"> </v>
      </c>
      <c r="CI528" s="168" t="str">
        <f t="shared" si="229"/>
        <v xml:space="preserve"> </v>
      </c>
      <c r="CJ528" s="101"/>
      <c r="CK528" s="165"/>
    </row>
    <row r="529" spans="1:89">
      <c r="A529" s="238" t="str">
        <f t="shared" si="226"/>
        <v xml:space="preserve"> </v>
      </c>
      <c r="B529" s="253"/>
      <c r="C529" s="247"/>
      <c r="D529" s="240" t="str">
        <f t="shared" si="227"/>
        <v xml:space="preserve"> </v>
      </c>
      <c r="E529" s="240" t="str">
        <f t="shared" si="227"/>
        <v xml:space="preserve"> </v>
      </c>
      <c r="F529" s="240" t="str">
        <f t="shared" si="227"/>
        <v xml:space="preserve"> </v>
      </c>
      <c r="G529" s="240" t="str">
        <f t="shared" si="227"/>
        <v xml:space="preserve"> </v>
      </c>
      <c r="H529" s="240" t="str">
        <f t="shared" si="227"/>
        <v xml:space="preserve"> </v>
      </c>
      <c r="I529" s="251" t="str">
        <f t="shared" si="227"/>
        <v xml:space="preserve"> </v>
      </c>
      <c r="J529" s="253"/>
      <c r="K529" s="254"/>
      <c r="CA529" s="238" t="str">
        <f t="shared" si="228"/>
        <v xml:space="preserve"> </v>
      </c>
      <c r="CB529" s="253"/>
      <c r="CC529" s="247"/>
      <c r="CD529" s="240" t="str">
        <f t="shared" si="229"/>
        <v xml:space="preserve"> </v>
      </c>
      <c r="CE529" s="240" t="str">
        <f t="shared" si="229"/>
        <v xml:space="preserve"> </v>
      </c>
      <c r="CF529" s="240" t="str">
        <f t="shared" si="229"/>
        <v xml:space="preserve"> </v>
      </c>
      <c r="CG529" s="240" t="str">
        <f t="shared" si="229"/>
        <v xml:space="preserve"> </v>
      </c>
      <c r="CH529" s="240" t="str">
        <f t="shared" si="229"/>
        <v xml:space="preserve"> </v>
      </c>
      <c r="CI529" s="251" t="str">
        <f t="shared" si="229"/>
        <v xml:space="preserve"> </v>
      </c>
      <c r="CJ529" s="253"/>
      <c r="CK529" s="254"/>
    </row>
    <row r="530" spans="1:89">
      <c r="A530" s="166" t="str">
        <f t="shared" si="226"/>
        <v xml:space="preserve"> </v>
      </c>
      <c r="B530" s="101"/>
      <c r="C530" s="100"/>
      <c r="D530" s="167" t="str">
        <f t="shared" si="227"/>
        <v xml:space="preserve"> </v>
      </c>
      <c r="E530" s="167" t="str">
        <f t="shared" si="227"/>
        <v xml:space="preserve"> </v>
      </c>
      <c r="F530" s="167" t="str">
        <f t="shared" si="227"/>
        <v xml:space="preserve"> </v>
      </c>
      <c r="G530" s="167" t="str">
        <f t="shared" si="227"/>
        <v xml:space="preserve"> </v>
      </c>
      <c r="H530" s="167" t="str">
        <f t="shared" si="227"/>
        <v xml:space="preserve"> </v>
      </c>
      <c r="I530" s="168" t="str">
        <f t="shared" si="227"/>
        <v xml:space="preserve"> </v>
      </c>
      <c r="J530" s="101"/>
      <c r="K530" s="165"/>
      <c r="CA530" s="166" t="str">
        <f t="shared" si="228"/>
        <v xml:space="preserve"> </v>
      </c>
      <c r="CB530" s="101"/>
      <c r="CC530" s="100"/>
      <c r="CD530" s="167" t="str">
        <f t="shared" si="229"/>
        <v xml:space="preserve"> </v>
      </c>
      <c r="CE530" s="167" t="str">
        <f t="shared" si="229"/>
        <v xml:space="preserve"> </v>
      </c>
      <c r="CF530" s="167" t="str">
        <f t="shared" si="229"/>
        <v xml:space="preserve"> </v>
      </c>
      <c r="CG530" s="167" t="str">
        <f t="shared" si="229"/>
        <v xml:space="preserve"> </v>
      </c>
      <c r="CH530" s="167" t="str">
        <f t="shared" si="229"/>
        <v xml:space="preserve"> </v>
      </c>
      <c r="CI530" s="168" t="str">
        <f t="shared" si="229"/>
        <v xml:space="preserve"> </v>
      </c>
      <c r="CJ530" s="101"/>
      <c r="CK530" s="165"/>
    </row>
    <row r="531" spans="1:89">
      <c r="A531" s="238" t="str">
        <f t="shared" si="226"/>
        <v xml:space="preserve"> </v>
      </c>
      <c r="B531" s="253"/>
      <c r="C531" s="247"/>
      <c r="D531" s="240" t="str">
        <f t="shared" si="227"/>
        <v xml:space="preserve"> </v>
      </c>
      <c r="E531" s="240" t="str">
        <f t="shared" si="227"/>
        <v xml:space="preserve"> </v>
      </c>
      <c r="F531" s="240" t="str">
        <f t="shared" si="227"/>
        <v xml:space="preserve"> </v>
      </c>
      <c r="G531" s="240" t="str">
        <f t="shared" si="227"/>
        <v xml:space="preserve"> </v>
      </c>
      <c r="H531" s="240" t="str">
        <f t="shared" si="227"/>
        <v xml:space="preserve"> </v>
      </c>
      <c r="I531" s="251" t="str">
        <f t="shared" si="227"/>
        <v xml:space="preserve"> </v>
      </c>
      <c r="J531" s="253"/>
      <c r="K531" s="254"/>
      <c r="CA531" s="238" t="str">
        <f t="shared" si="228"/>
        <v xml:space="preserve"> </v>
      </c>
      <c r="CB531" s="253"/>
      <c r="CC531" s="247"/>
      <c r="CD531" s="240" t="str">
        <f t="shared" si="229"/>
        <v xml:space="preserve"> </v>
      </c>
      <c r="CE531" s="240" t="str">
        <f t="shared" si="229"/>
        <v xml:space="preserve"> </v>
      </c>
      <c r="CF531" s="240" t="str">
        <f t="shared" si="229"/>
        <v xml:space="preserve"> </v>
      </c>
      <c r="CG531" s="240" t="str">
        <f t="shared" si="229"/>
        <v xml:space="preserve"> </v>
      </c>
      <c r="CH531" s="240" t="str">
        <f t="shared" si="229"/>
        <v xml:space="preserve"> </v>
      </c>
      <c r="CI531" s="251" t="str">
        <f t="shared" si="229"/>
        <v xml:space="preserve"> </v>
      </c>
      <c r="CJ531" s="253"/>
      <c r="CK531" s="254"/>
    </row>
    <row r="532" spans="1:89">
      <c r="A532" s="166" t="str">
        <f t="shared" si="226"/>
        <v xml:space="preserve"> </v>
      </c>
      <c r="B532" s="101"/>
      <c r="C532" s="100"/>
      <c r="D532" s="167" t="str">
        <f t="shared" si="227"/>
        <v xml:space="preserve"> </v>
      </c>
      <c r="E532" s="167" t="str">
        <f t="shared" si="227"/>
        <v xml:space="preserve"> </v>
      </c>
      <c r="F532" s="167" t="str">
        <f t="shared" si="227"/>
        <v xml:space="preserve"> </v>
      </c>
      <c r="G532" s="167" t="str">
        <f t="shared" si="227"/>
        <v xml:space="preserve"> </v>
      </c>
      <c r="H532" s="167" t="str">
        <f t="shared" si="227"/>
        <v xml:space="preserve"> </v>
      </c>
      <c r="I532" s="168" t="str">
        <f t="shared" si="227"/>
        <v xml:space="preserve"> </v>
      </c>
      <c r="J532" s="101"/>
      <c r="K532" s="165"/>
      <c r="CA532" s="166" t="str">
        <f t="shared" si="228"/>
        <v xml:space="preserve"> </v>
      </c>
      <c r="CB532" s="101"/>
      <c r="CC532" s="100"/>
      <c r="CD532" s="167" t="str">
        <f t="shared" si="229"/>
        <v xml:space="preserve"> </v>
      </c>
      <c r="CE532" s="167" t="str">
        <f t="shared" si="229"/>
        <v xml:space="preserve"> </v>
      </c>
      <c r="CF532" s="167" t="str">
        <f t="shared" si="229"/>
        <v xml:space="preserve"> </v>
      </c>
      <c r="CG532" s="167" t="str">
        <f t="shared" si="229"/>
        <v xml:space="preserve"> </v>
      </c>
      <c r="CH532" s="167" t="str">
        <f t="shared" si="229"/>
        <v xml:space="preserve"> </v>
      </c>
      <c r="CI532" s="168" t="str">
        <f t="shared" si="229"/>
        <v xml:space="preserve"> </v>
      </c>
      <c r="CJ532" s="101"/>
      <c r="CK532" s="165"/>
    </row>
    <row r="533" spans="1:89">
      <c r="A533" s="238" t="str">
        <f t="shared" si="226"/>
        <v xml:space="preserve"> </v>
      </c>
      <c r="B533" s="253"/>
      <c r="C533" s="247"/>
      <c r="D533" s="240" t="str">
        <f t="shared" si="227"/>
        <v xml:space="preserve"> </v>
      </c>
      <c r="E533" s="240" t="str">
        <f t="shared" si="227"/>
        <v xml:space="preserve"> </v>
      </c>
      <c r="F533" s="240" t="str">
        <f t="shared" si="227"/>
        <v xml:space="preserve"> </v>
      </c>
      <c r="G533" s="240" t="str">
        <f t="shared" si="227"/>
        <v xml:space="preserve"> </v>
      </c>
      <c r="H533" s="240" t="str">
        <f t="shared" si="227"/>
        <v xml:space="preserve"> </v>
      </c>
      <c r="I533" s="251" t="str">
        <f t="shared" si="227"/>
        <v xml:space="preserve"> </v>
      </c>
      <c r="J533" s="253"/>
      <c r="K533" s="254"/>
      <c r="CA533" s="238" t="str">
        <f t="shared" si="228"/>
        <v xml:space="preserve"> </v>
      </c>
      <c r="CB533" s="253"/>
      <c r="CC533" s="247"/>
      <c r="CD533" s="240" t="str">
        <f t="shared" si="229"/>
        <v xml:space="preserve"> </v>
      </c>
      <c r="CE533" s="240" t="str">
        <f t="shared" si="229"/>
        <v xml:space="preserve"> </v>
      </c>
      <c r="CF533" s="240" t="str">
        <f t="shared" si="229"/>
        <v xml:space="preserve"> </v>
      </c>
      <c r="CG533" s="240" t="str">
        <f t="shared" si="229"/>
        <v xml:space="preserve"> </v>
      </c>
      <c r="CH533" s="240" t="str">
        <f t="shared" si="229"/>
        <v xml:space="preserve"> </v>
      </c>
      <c r="CI533" s="251" t="str">
        <f t="shared" si="229"/>
        <v xml:space="preserve"> </v>
      </c>
      <c r="CJ533" s="253"/>
      <c r="CK533" s="254"/>
    </row>
    <row r="534" spans="1:89">
      <c r="A534" s="166" t="str">
        <f t="shared" si="226"/>
        <v xml:space="preserve"> </v>
      </c>
      <c r="B534" s="101"/>
      <c r="C534" s="100"/>
      <c r="D534" s="167" t="str">
        <f t="shared" si="227"/>
        <v xml:space="preserve"> </v>
      </c>
      <c r="E534" s="167" t="str">
        <f t="shared" si="227"/>
        <v xml:space="preserve"> </v>
      </c>
      <c r="F534" s="167" t="str">
        <f t="shared" si="227"/>
        <v xml:space="preserve"> </v>
      </c>
      <c r="G534" s="167" t="str">
        <f t="shared" si="227"/>
        <v xml:space="preserve"> </v>
      </c>
      <c r="H534" s="167" t="str">
        <f t="shared" si="227"/>
        <v xml:space="preserve"> </v>
      </c>
      <c r="I534" s="168" t="str">
        <f t="shared" si="227"/>
        <v xml:space="preserve"> </v>
      </c>
      <c r="J534" s="101"/>
      <c r="K534" s="165"/>
      <c r="CA534" s="166" t="str">
        <f t="shared" si="228"/>
        <v xml:space="preserve"> </v>
      </c>
      <c r="CB534" s="101"/>
      <c r="CC534" s="100"/>
      <c r="CD534" s="167" t="str">
        <f t="shared" si="229"/>
        <v xml:space="preserve"> </v>
      </c>
      <c r="CE534" s="167" t="str">
        <f t="shared" si="229"/>
        <v xml:space="preserve"> </v>
      </c>
      <c r="CF534" s="167" t="str">
        <f t="shared" si="229"/>
        <v xml:space="preserve"> </v>
      </c>
      <c r="CG534" s="167" t="str">
        <f t="shared" si="229"/>
        <v xml:space="preserve"> </v>
      </c>
      <c r="CH534" s="167" t="str">
        <f t="shared" si="229"/>
        <v xml:space="preserve"> </v>
      </c>
      <c r="CI534" s="168" t="str">
        <f t="shared" si="229"/>
        <v xml:space="preserve"> </v>
      </c>
      <c r="CJ534" s="101"/>
      <c r="CK534" s="165"/>
    </row>
    <row r="535" spans="1:89">
      <c r="A535" s="238" t="str">
        <f t="shared" si="226"/>
        <v xml:space="preserve"> </v>
      </c>
      <c r="B535" s="253"/>
      <c r="C535" s="247"/>
      <c r="D535" s="240" t="str">
        <f t="shared" si="227"/>
        <v xml:space="preserve"> </v>
      </c>
      <c r="E535" s="240" t="str">
        <f t="shared" si="227"/>
        <v xml:space="preserve"> </v>
      </c>
      <c r="F535" s="240" t="str">
        <f t="shared" si="227"/>
        <v xml:space="preserve"> </v>
      </c>
      <c r="G535" s="240" t="str">
        <f t="shared" si="227"/>
        <v xml:space="preserve"> </v>
      </c>
      <c r="H535" s="240" t="str">
        <f t="shared" si="227"/>
        <v xml:space="preserve"> </v>
      </c>
      <c r="I535" s="251" t="str">
        <f t="shared" si="227"/>
        <v xml:space="preserve"> </v>
      </c>
      <c r="J535" s="253"/>
      <c r="K535" s="254"/>
      <c r="CA535" s="238" t="str">
        <f t="shared" si="228"/>
        <v xml:space="preserve"> </v>
      </c>
      <c r="CB535" s="253"/>
      <c r="CC535" s="247"/>
      <c r="CD535" s="240" t="str">
        <f t="shared" si="229"/>
        <v xml:space="preserve"> </v>
      </c>
      <c r="CE535" s="240" t="str">
        <f t="shared" si="229"/>
        <v xml:space="preserve"> </v>
      </c>
      <c r="CF535" s="240" t="str">
        <f t="shared" si="229"/>
        <v xml:space="preserve"> </v>
      </c>
      <c r="CG535" s="240" t="str">
        <f t="shared" si="229"/>
        <v xml:space="preserve"> </v>
      </c>
      <c r="CH535" s="240" t="str">
        <f t="shared" si="229"/>
        <v xml:space="preserve"> </v>
      </c>
      <c r="CI535" s="251" t="str">
        <f t="shared" si="229"/>
        <v xml:space="preserve"> </v>
      </c>
      <c r="CJ535" s="253"/>
      <c r="CK535" s="254"/>
    </row>
    <row r="536" spans="1:89">
      <c r="A536" s="166" t="str">
        <f t="shared" si="226"/>
        <v xml:space="preserve"> </v>
      </c>
      <c r="B536" s="101"/>
      <c r="C536" s="100"/>
      <c r="D536" s="167" t="str">
        <f t="shared" si="227"/>
        <v xml:space="preserve"> </v>
      </c>
      <c r="E536" s="167" t="str">
        <f t="shared" si="227"/>
        <v xml:space="preserve"> </v>
      </c>
      <c r="F536" s="167" t="str">
        <f t="shared" si="227"/>
        <v xml:space="preserve"> </v>
      </c>
      <c r="G536" s="167" t="str">
        <f t="shared" si="227"/>
        <v xml:space="preserve"> </v>
      </c>
      <c r="H536" s="167" t="str">
        <f t="shared" si="227"/>
        <v xml:space="preserve"> </v>
      </c>
      <c r="I536" s="168" t="str">
        <f t="shared" si="227"/>
        <v xml:space="preserve"> </v>
      </c>
      <c r="J536" s="101"/>
      <c r="K536" s="165"/>
      <c r="CA536" s="166" t="str">
        <f t="shared" si="228"/>
        <v xml:space="preserve"> </v>
      </c>
      <c r="CB536" s="101"/>
      <c r="CC536" s="100"/>
      <c r="CD536" s="167" t="str">
        <f t="shared" si="229"/>
        <v xml:space="preserve"> </v>
      </c>
      <c r="CE536" s="167" t="str">
        <f t="shared" si="229"/>
        <v xml:space="preserve"> </v>
      </c>
      <c r="CF536" s="167" t="str">
        <f t="shared" si="229"/>
        <v xml:space="preserve"> </v>
      </c>
      <c r="CG536" s="167" t="str">
        <f t="shared" si="229"/>
        <v xml:space="preserve"> </v>
      </c>
      <c r="CH536" s="167" t="str">
        <f t="shared" si="229"/>
        <v xml:space="preserve"> </v>
      </c>
      <c r="CI536" s="168" t="str">
        <f t="shared" si="229"/>
        <v xml:space="preserve"> </v>
      </c>
      <c r="CJ536" s="101"/>
      <c r="CK536" s="165"/>
    </row>
    <row r="537" spans="1:89">
      <c r="A537" s="238" t="str">
        <f t="shared" si="226"/>
        <v xml:space="preserve"> </v>
      </c>
      <c r="B537" s="253"/>
      <c r="C537" s="247"/>
      <c r="D537" s="240" t="str">
        <f t="shared" si="227"/>
        <v xml:space="preserve"> </v>
      </c>
      <c r="E537" s="240" t="str">
        <f t="shared" si="227"/>
        <v xml:space="preserve"> </v>
      </c>
      <c r="F537" s="240" t="str">
        <f t="shared" si="227"/>
        <v xml:space="preserve"> </v>
      </c>
      <c r="G537" s="240" t="str">
        <f t="shared" si="227"/>
        <v xml:space="preserve"> </v>
      </c>
      <c r="H537" s="240" t="str">
        <f t="shared" si="227"/>
        <v xml:space="preserve"> </v>
      </c>
      <c r="I537" s="251" t="str">
        <f t="shared" si="227"/>
        <v xml:space="preserve"> </v>
      </c>
      <c r="J537" s="253"/>
      <c r="K537" s="254"/>
      <c r="CA537" s="238" t="str">
        <f t="shared" si="228"/>
        <v xml:space="preserve"> </v>
      </c>
      <c r="CB537" s="253"/>
      <c r="CC537" s="247"/>
      <c r="CD537" s="240" t="str">
        <f t="shared" si="229"/>
        <v xml:space="preserve"> </v>
      </c>
      <c r="CE537" s="240" t="str">
        <f t="shared" si="229"/>
        <v xml:space="preserve"> </v>
      </c>
      <c r="CF537" s="240" t="str">
        <f t="shared" si="229"/>
        <v xml:space="preserve"> </v>
      </c>
      <c r="CG537" s="240" t="str">
        <f t="shared" si="229"/>
        <v xml:space="preserve"> </v>
      </c>
      <c r="CH537" s="240" t="str">
        <f t="shared" si="229"/>
        <v xml:space="preserve"> </v>
      </c>
      <c r="CI537" s="251" t="str">
        <f t="shared" si="229"/>
        <v xml:space="preserve"> </v>
      </c>
      <c r="CJ537" s="253"/>
      <c r="CK537" s="254"/>
    </row>
    <row r="538" spans="1:89">
      <c r="A538" s="166" t="str">
        <f t="shared" si="226"/>
        <v xml:space="preserve"> </v>
      </c>
      <c r="B538" s="101"/>
      <c r="C538" s="100"/>
      <c r="D538" s="167" t="str">
        <f t="shared" si="227"/>
        <v xml:space="preserve"> </v>
      </c>
      <c r="E538" s="167" t="str">
        <f t="shared" si="227"/>
        <v xml:space="preserve"> </v>
      </c>
      <c r="F538" s="167" t="str">
        <f t="shared" si="227"/>
        <v xml:space="preserve"> </v>
      </c>
      <c r="G538" s="167" t="str">
        <f t="shared" si="227"/>
        <v xml:space="preserve"> </v>
      </c>
      <c r="H538" s="167" t="str">
        <f t="shared" si="227"/>
        <v xml:space="preserve"> </v>
      </c>
      <c r="I538" s="168" t="str">
        <f t="shared" si="227"/>
        <v xml:space="preserve"> </v>
      </c>
      <c r="J538" s="101"/>
      <c r="K538" s="165"/>
      <c r="CA538" s="166" t="str">
        <f t="shared" si="228"/>
        <v xml:space="preserve"> </v>
      </c>
      <c r="CB538" s="101"/>
      <c r="CC538" s="100"/>
      <c r="CD538" s="167" t="str">
        <f t="shared" si="229"/>
        <v xml:space="preserve"> </v>
      </c>
      <c r="CE538" s="167" t="str">
        <f t="shared" si="229"/>
        <v xml:space="preserve"> </v>
      </c>
      <c r="CF538" s="167" t="str">
        <f t="shared" si="229"/>
        <v xml:space="preserve"> </v>
      </c>
      <c r="CG538" s="167" t="str">
        <f t="shared" si="229"/>
        <v xml:space="preserve"> </v>
      </c>
      <c r="CH538" s="167" t="str">
        <f t="shared" si="229"/>
        <v xml:space="preserve"> </v>
      </c>
      <c r="CI538" s="168" t="str">
        <f t="shared" si="229"/>
        <v xml:space="preserve"> </v>
      </c>
      <c r="CJ538" s="101"/>
      <c r="CK538" s="165"/>
    </row>
    <row r="539" spans="1:89">
      <c r="A539" s="238" t="str">
        <f t="shared" si="226"/>
        <v xml:space="preserve"> </v>
      </c>
      <c r="B539" s="253"/>
      <c r="C539" s="247"/>
      <c r="D539" s="240" t="str">
        <f t="shared" si="227"/>
        <v xml:space="preserve"> </v>
      </c>
      <c r="E539" s="240" t="str">
        <f t="shared" si="227"/>
        <v xml:space="preserve"> </v>
      </c>
      <c r="F539" s="240" t="str">
        <f t="shared" si="227"/>
        <v xml:space="preserve"> </v>
      </c>
      <c r="G539" s="240" t="str">
        <f t="shared" si="227"/>
        <v xml:space="preserve"> </v>
      </c>
      <c r="H539" s="240" t="str">
        <f t="shared" si="227"/>
        <v xml:space="preserve"> </v>
      </c>
      <c r="I539" s="251" t="str">
        <f t="shared" si="227"/>
        <v xml:space="preserve"> </v>
      </c>
      <c r="J539" s="253"/>
      <c r="K539" s="254"/>
      <c r="CA539" s="238" t="str">
        <f t="shared" si="228"/>
        <v xml:space="preserve"> </v>
      </c>
      <c r="CB539" s="253"/>
      <c r="CC539" s="247"/>
      <c r="CD539" s="240" t="str">
        <f t="shared" si="229"/>
        <v xml:space="preserve"> </v>
      </c>
      <c r="CE539" s="240" t="str">
        <f t="shared" si="229"/>
        <v xml:space="preserve"> </v>
      </c>
      <c r="CF539" s="240" t="str">
        <f t="shared" si="229"/>
        <v xml:space="preserve"> </v>
      </c>
      <c r="CG539" s="240" t="str">
        <f t="shared" si="229"/>
        <v xml:space="preserve"> </v>
      </c>
      <c r="CH539" s="240" t="str">
        <f t="shared" si="229"/>
        <v xml:space="preserve"> </v>
      </c>
      <c r="CI539" s="251" t="str">
        <f t="shared" si="229"/>
        <v xml:space="preserve"> </v>
      </c>
      <c r="CJ539" s="253"/>
      <c r="CK539" s="254"/>
    </row>
    <row r="540" spans="1:89">
      <c r="A540" s="166" t="str">
        <f t="shared" si="226"/>
        <v xml:space="preserve"> </v>
      </c>
      <c r="B540" s="101"/>
      <c r="C540" s="100"/>
      <c r="D540" s="167" t="str">
        <f t="shared" si="227"/>
        <v xml:space="preserve"> </v>
      </c>
      <c r="E540" s="167" t="str">
        <f t="shared" si="227"/>
        <v xml:space="preserve"> </v>
      </c>
      <c r="F540" s="167" t="str">
        <f t="shared" si="227"/>
        <v xml:space="preserve"> </v>
      </c>
      <c r="G540" s="167" t="str">
        <f t="shared" si="227"/>
        <v xml:space="preserve"> </v>
      </c>
      <c r="H540" s="167" t="str">
        <f t="shared" si="227"/>
        <v xml:space="preserve"> </v>
      </c>
      <c r="I540" s="168" t="str">
        <f t="shared" si="227"/>
        <v xml:space="preserve"> </v>
      </c>
      <c r="J540" s="101"/>
      <c r="K540" s="165"/>
      <c r="CA540" s="166" t="str">
        <f t="shared" si="228"/>
        <v xml:space="preserve"> </v>
      </c>
      <c r="CB540" s="101"/>
      <c r="CC540" s="100"/>
      <c r="CD540" s="167" t="str">
        <f t="shared" si="229"/>
        <v xml:space="preserve"> </v>
      </c>
      <c r="CE540" s="167" t="str">
        <f t="shared" si="229"/>
        <v xml:space="preserve"> </v>
      </c>
      <c r="CF540" s="167" t="str">
        <f t="shared" si="229"/>
        <v xml:space="preserve"> </v>
      </c>
      <c r="CG540" s="167" t="str">
        <f t="shared" si="229"/>
        <v xml:space="preserve"> </v>
      </c>
      <c r="CH540" s="167" t="str">
        <f t="shared" si="229"/>
        <v xml:space="preserve"> </v>
      </c>
      <c r="CI540" s="168" t="str">
        <f t="shared" si="229"/>
        <v xml:space="preserve"> </v>
      </c>
      <c r="CJ540" s="101"/>
      <c r="CK540" s="165"/>
    </row>
    <row r="541" spans="1:89">
      <c r="A541" s="246" t="str">
        <f t="shared" si="226"/>
        <v xml:space="preserve"> </v>
      </c>
      <c r="B541" s="258"/>
      <c r="C541" s="247"/>
      <c r="D541" s="247" t="str">
        <f t="shared" si="227"/>
        <v xml:space="preserve"> </v>
      </c>
      <c r="E541" s="247" t="str">
        <f t="shared" si="227"/>
        <v xml:space="preserve"> </v>
      </c>
      <c r="F541" s="247" t="str">
        <f t="shared" si="227"/>
        <v xml:space="preserve"> </v>
      </c>
      <c r="G541" s="247" t="str">
        <f t="shared" si="227"/>
        <v xml:space="preserve"> </v>
      </c>
      <c r="H541" s="247" t="str">
        <f t="shared" si="227"/>
        <v xml:space="preserve"> </v>
      </c>
      <c r="I541" s="256" t="str">
        <f t="shared" si="227"/>
        <v xml:space="preserve"> </v>
      </c>
      <c r="J541" s="258"/>
      <c r="K541" s="259"/>
      <c r="CA541" s="246" t="str">
        <f t="shared" si="228"/>
        <v xml:space="preserve"> </v>
      </c>
      <c r="CB541" s="258"/>
      <c r="CC541" s="247"/>
      <c r="CD541" s="247" t="str">
        <f t="shared" si="229"/>
        <v xml:space="preserve"> </v>
      </c>
      <c r="CE541" s="247" t="str">
        <f t="shared" si="229"/>
        <v xml:space="preserve"> </v>
      </c>
      <c r="CF541" s="247" t="str">
        <f t="shared" si="229"/>
        <v xml:space="preserve"> </v>
      </c>
      <c r="CG541" s="247" t="str">
        <f t="shared" si="229"/>
        <v xml:space="preserve"> </v>
      </c>
      <c r="CH541" s="247" t="str">
        <f t="shared" si="229"/>
        <v xml:space="preserve"> </v>
      </c>
      <c r="CI541" s="256" t="str">
        <f t="shared" si="229"/>
        <v xml:space="preserve"> </v>
      </c>
      <c r="CJ541" s="258"/>
      <c r="CK541" s="259"/>
    </row>
    <row r="542" spans="1:89">
      <c r="A542" s="179" t="s">
        <v>5024</v>
      </c>
      <c r="B542" s="102"/>
      <c r="C542" s="175" t="s">
        <v>5018</v>
      </c>
      <c r="D542" s="175" t="s">
        <v>5701</v>
      </c>
      <c r="E542" s="175" t="s">
        <v>5019</v>
      </c>
      <c r="F542" s="175" t="s">
        <v>5020</v>
      </c>
      <c r="G542" s="175" t="s">
        <v>5021</v>
      </c>
      <c r="H542" s="175" t="s">
        <v>5022</v>
      </c>
      <c r="I542" s="221" t="s">
        <v>5316</v>
      </c>
      <c r="J542" s="176"/>
      <c r="K542" s="180"/>
      <c r="CA542" s="179" t="s">
        <v>5024</v>
      </c>
      <c r="CB542" s="102"/>
      <c r="CC542" s="175" t="s">
        <v>5018</v>
      </c>
      <c r="CD542" s="175" t="s">
        <v>5701</v>
      </c>
      <c r="CE542" s="175" t="s">
        <v>5019</v>
      </c>
      <c r="CF542" s="175" t="s">
        <v>5020</v>
      </c>
      <c r="CG542" s="175" t="s">
        <v>5021</v>
      </c>
      <c r="CH542" s="175" t="s">
        <v>5022</v>
      </c>
      <c r="CI542" s="221" t="s">
        <v>5316</v>
      </c>
      <c r="CJ542" s="176"/>
      <c r="CK542" s="180"/>
    </row>
    <row r="543" spans="1:89">
      <c r="A543" s="166" t="str">
        <f t="shared" ref="A543:A563" si="230">IF(AND(A1343&gt;0,$E$134&gt;2),A1343," ")</f>
        <v xml:space="preserve"> </v>
      </c>
      <c r="B543" s="101"/>
      <c r="C543" s="100"/>
      <c r="D543" s="167" t="str">
        <f t="shared" ref="D543:I558" si="231">IF(AND(D1343&gt;0,$E$134&gt;2),D1343," ")</f>
        <v xml:space="preserve"> </v>
      </c>
      <c r="E543" s="167" t="str">
        <f t="shared" si="231"/>
        <v xml:space="preserve"> </v>
      </c>
      <c r="F543" s="167" t="str">
        <f t="shared" si="231"/>
        <v xml:space="preserve"> </v>
      </c>
      <c r="G543" s="167" t="str">
        <f t="shared" si="231"/>
        <v xml:space="preserve"> </v>
      </c>
      <c r="H543" s="167" t="str">
        <f t="shared" si="231"/>
        <v xml:space="preserve"> </v>
      </c>
      <c r="I543" s="168" t="str">
        <f t="shared" si="231"/>
        <v xml:space="preserve"> </v>
      </c>
      <c r="J543" s="101"/>
      <c r="K543" s="165"/>
      <c r="CA543" s="166" t="str">
        <f t="shared" ref="CA543:CA563" si="232">IF(AND(CA1343&gt;0,$E$134&gt;2),CA1343," ")</f>
        <v xml:space="preserve"> </v>
      </c>
      <c r="CB543" s="101"/>
      <c r="CC543" s="100"/>
      <c r="CD543" s="167" t="str">
        <f t="shared" ref="CD543:CI558" si="233">IF(AND(CD1343&gt;0,$E$134&gt;2),CD1343," ")</f>
        <v xml:space="preserve"> </v>
      </c>
      <c r="CE543" s="167" t="str">
        <f t="shared" si="233"/>
        <v xml:space="preserve"> </v>
      </c>
      <c r="CF543" s="167" t="str">
        <f t="shared" si="233"/>
        <v xml:space="preserve"> </v>
      </c>
      <c r="CG543" s="167" t="str">
        <f t="shared" si="233"/>
        <v xml:space="preserve"> </v>
      </c>
      <c r="CH543" s="167" t="str">
        <f t="shared" si="233"/>
        <v xml:space="preserve"> </v>
      </c>
      <c r="CI543" s="168" t="str">
        <f t="shared" si="233"/>
        <v xml:space="preserve"> </v>
      </c>
      <c r="CJ543" s="101"/>
      <c r="CK543" s="165"/>
    </row>
    <row r="544" spans="1:89">
      <c r="A544" s="238" t="str">
        <f t="shared" si="230"/>
        <v xml:space="preserve"> </v>
      </c>
      <c r="B544" s="253"/>
      <c r="C544" s="247"/>
      <c r="D544" s="240" t="str">
        <f t="shared" si="231"/>
        <v xml:space="preserve"> </v>
      </c>
      <c r="E544" s="240" t="str">
        <f t="shared" si="231"/>
        <v xml:space="preserve"> </v>
      </c>
      <c r="F544" s="240" t="str">
        <f t="shared" si="231"/>
        <v xml:space="preserve"> </v>
      </c>
      <c r="G544" s="240" t="str">
        <f t="shared" si="231"/>
        <v xml:space="preserve"> </v>
      </c>
      <c r="H544" s="240" t="str">
        <f t="shared" si="231"/>
        <v xml:space="preserve"> </v>
      </c>
      <c r="I544" s="251" t="str">
        <f t="shared" si="231"/>
        <v xml:space="preserve"> </v>
      </c>
      <c r="J544" s="253"/>
      <c r="K544" s="254"/>
      <c r="CA544" s="238" t="str">
        <f t="shared" si="232"/>
        <v xml:space="preserve"> </v>
      </c>
      <c r="CB544" s="253"/>
      <c r="CC544" s="247"/>
      <c r="CD544" s="240" t="str">
        <f t="shared" si="233"/>
        <v xml:space="preserve"> </v>
      </c>
      <c r="CE544" s="240" t="str">
        <f t="shared" si="233"/>
        <v xml:space="preserve"> </v>
      </c>
      <c r="CF544" s="240" t="str">
        <f t="shared" si="233"/>
        <v xml:space="preserve"> </v>
      </c>
      <c r="CG544" s="240" t="str">
        <f t="shared" si="233"/>
        <v xml:space="preserve"> </v>
      </c>
      <c r="CH544" s="240" t="str">
        <f t="shared" si="233"/>
        <v xml:space="preserve"> </v>
      </c>
      <c r="CI544" s="251" t="str">
        <f t="shared" si="233"/>
        <v xml:space="preserve"> </v>
      </c>
      <c r="CJ544" s="253"/>
      <c r="CK544" s="254"/>
    </row>
    <row r="545" spans="1:89">
      <c r="A545" s="166" t="str">
        <f t="shared" si="230"/>
        <v xml:space="preserve"> </v>
      </c>
      <c r="B545" s="101"/>
      <c r="C545" s="100"/>
      <c r="D545" s="167" t="str">
        <f t="shared" si="231"/>
        <v xml:space="preserve"> </v>
      </c>
      <c r="E545" s="167" t="str">
        <f t="shared" si="231"/>
        <v xml:space="preserve"> </v>
      </c>
      <c r="F545" s="167" t="str">
        <f t="shared" si="231"/>
        <v xml:space="preserve"> </v>
      </c>
      <c r="G545" s="167" t="str">
        <f t="shared" si="231"/>
        <v xml:space="preserve"> </v>
      </c>
      <c r="H545" s="167" t="str">
        <f t="shared" si="231"/>
        <v xml:space="preserve"> </v>
      </c>
      <c r="I545" s="168" t="str">
        <f t="shared" si="231"/>
        <v xml:space="preserve"> </v>
      </c>
      <c r="J545" s="101"/>
      <c r="K545" s="165"/>
      <c r="CA545" s="166" t="str">
        <f t="shared" si="232"/>
        <v xml:space="preserve"> </v>
      </c>
      <c r="CB545" s="101"/>
      <c r="CC545" s="100"/>
      <c r="CD545" s="167" t="str">
        <f t="shared" si="233"/>
        <v xml:space="preserve"> </v>
      </c>
      <c r="CE545" s="167" t="str">
        <f t="shared" si="233"/>
        <v xml:space="preserve"> </v>
      </c>
      <c r="CF545" s="167" t="str">
        <f t="shared" si="233"/>
        <v xml:space="preserve"> </v>
      </c>
      <c r="CG545" s="167" t="str">
        <f t="shared" si="233"/>
        <v xml:space="preserve"> </v>
      </c>
      <c r="CH545" s="167" t="str">
        <f t="shared" si="233"/>
        <v xml:space="preserve"> </v>
      </c>
      <c r="CI545" s="168" t="str">
        <f t="shared" si="233"/>
        <v xml:space="preserve"> </v>
      </c>
      <c r="CJ545" s="101"/>
      <c r="CK545" s="165"/>
    </row>
    <row r="546" spans="1:89">
      <c r="A546" s="238" t="str">
        <f t="shared" si="230"/>
        <v xml:space="preserve"> </v>
      </c>
      <c r="B546" s="253"/>
      <c r="C546" s="247"/>
      <c r="D546" s="240" t="str">
        <f t="shared" si="231"/>
        <v xml:space="preserve"> </v>
      </c>
      <c r="E546" s="240" t="str">
        <f t="shared" si="231"/>
        <v xml:space="preserve"> </v>
      </c>
      <c r="F546" s="240" t="str">
        <f t="shared" si="231"/>
        <v xml:space="preserve"> </v>
      </c>
      <c r="G546" s="240" t="str">
        <f t="shared" si="231"/>
        <v xml:space="preserve"> </v>
      </c>
      <c r="H546" s="240" t="str">
        <f t="shared" si="231"/>
        <v xml:space="preserve"> </v>
      </c>
      <c r="I546" s="251" t="str">
        <f t="shared" si="231"/>
        <v xml:space="preserve"> </v>
      </c>
      <c r="J546" s="253"/>
      <c r="K546" s="254"/>
      <c r="CA546" s="238" t="str">
        <f t="shared" si="232"/>
        <v xml:space="preserve"> </v>
      </c>
      <c r="CB546" s="253"/>
      <c r="CC546" s="247"/>
      <c r="CD546" s="240" t="str">
        <f t="shared" si="233"/>
        <v xml:space="preserve"> </v>
      </c>
      <c r="CE546" s="240" t="str">
        <f t="shared" si="233"/>
        <v xml:space="preserve"> </v>
      </c>
      <c r="CF546" s="240" t="str">
        <f t="shared" si="233"/>
        <v xml:space="preserve"> </v>
      </c>
      <c r="CG546" s="240" t="str">
        <f t="shared" si="233"/>
        <v xml:space="preserve"> </v>
      </c>
      <c r="CH546" s="240" t="str">
        <f t="shared" si="233"/>
        <v xml:space="preserve"> </v>
      </c>
      <c r="CI546" s="251" t="str">
        <f t="shared" si="233"/>
        <v xml:space="preserve"> </v>
      </c>
      <c r="CJ546" s="253"/>
      <c r="CK546" s="254"/>
    </row>
    <row r="547" spans="1:89">
      <c r="A547" s="166" t="str">
        <f t="shared" si="230"/>
        <v xml:space="preserve"> </v>
      </c>
      <c r="B547" s="101"/>
      <c r="C547" s="100"/>
      <c r="D547" s="167" t="str">
        <f t="shared" si="231"/>
        <v xml:space="preserve"> </v>
      </c>
      <c r="E547" s="167" t="str">
        <f t="shared" si="231"/>
        <v xml:space="preserve"> </v>
      </c>
      <c r="F547" s="167" t="str">
        <f t="shared" si="231"/>
        <v xml:space="preserve"> </v>
      </c>
      <c r="G547" s="167" t="str">
        <f t="shared" si="231"/>
        <v xml:space="preserve"> </v>
      </c>
      <c r="H547" s="167" t="str">
        <f t="shared" si="231"/>
        <v xml:space="preserve"> </v>
      </c>
      <c r="I547" s="168" t="str">
        <f t="shared" si="231"/>
        <v xml:space="preserve"> </v>
      </c>
      <c r="J547" s="101"/>
      <c r="K547" s="165"/>
      <c r="CA547" s="166" t="str">
        <f t="shared" si="232"/>
        <v xml:space="preserve"> </v>
      </c>
      <c r="CB547" s="101"/>
      <c r="CC547" s="100"/>
      <c r="CD547" s="167" t="str">
        <f t="shared" si="233"/>
        <v xml:space="preserve"> </v>
      </c>
      <c r="CE547" s="167" t="str">
        <f t="shared" si="233"/>
        <v xml:space="preserve"> </v>
      </c>
      <c r="CF547" s="167" t="str">
        <f t="shared" si="233"/>
        <v xml:space="preserve"> </v>
      </c>
      <c r="CG547" s="167" t="str">
        <f t="shared" si="233"/>
        <v xml:space="preserve"> </v>
      </c>
      <c r="CH547" s="167" t="str">
        <f t="shared" si="233"/>
        <v xml:space="preserve"> </v>
      </c>
      <c r="CI547" s="168" t="str">
        <f t="shared" si="233"/>
        <v xml:space="preserve"> </v>
      </c>
      <c r="CJ547" s="101"/>
      <c r="CK547" s="165"/>
    </row>
    <row r="548" spans="1:89">
      <c r="A548" s="238" t="str">
        <f t="shared" si="230"/>
        <v xml:space="preserve"> </v>
      </c>
      <c r="B548" s="253"/>
      <c r="C548" s="247"/>
      <c r="D548" s="240" t="str">
        <f t="shared" si="231"/>
        <v xml:space="preserve"> </v>
      </c>
      <c r="E548" s="240" t="str">
        <f t="shared" si="231"/>
        <v xml:space="preserve"> </v>
      </c>
      <c r="F548" s="240" t="str">
        <f t="shared" si="231"/>
        <v xml:space="preserve"> </v>
      </c>
      <c r="G548" s="240" t="str">
        <f t="shared" si="231"/>
        <v xml:space="preserve"> </v>
      </c>
      <c r="H548" s="240" t="str">
        <f t="shared" si="231"/>
        <v xml:space="preserve"> </v>
      </c>
      <c r="I548" s="251" t="str">
        <f t="shared" si="231"/>
        <v xml:space="preserve"> </v>
      </c>
      <c r="J548" s="253"/>
      <c r="K548" s="254"/>
      <c r="CA548" s="238" t="str">
        <f t="shared" si="232"/>
        <v xml:space="preserve"> </v>
      </c>
      <c r="CB548" s="253"/>
      <c r="CC548" s="247"/>
      <c r="CD548" s="240" t="str">
        <f t="shared" si="233"/>
        <v xml:space="preserve"> </v>
      </c>
      <c r="CE548" s="240" t="str">
        <f t="shared" si="233"/>
        <v xml:space="preserve"> </v>
      </c>
      <c r="CF548" s="240" t="str">
        <f t="shared" si="233"/>
        <v xml:space="preserve"> </v>
      </c>
      <c r="CG548" s="240" t="str">
        <f t="shared" si="233"/>
        <v xml:space="preserve"> </v>
      </c>
      <c r="CH548" s="240" t="str">
        <f t="shared" si="233"/>
        <v xml:space="preserve"> </v>
      </c>
      <c r="CI548" s="251" t="str">
        <f t="shared" si="233"/>
        <v xml:space="preserve"> </v>
      </c>
      <c r="CJ548" s="253"/>
      <c r="CK548" s="254"/>
    </row>
    <row r="549" spans="1:89">
      <c r="A549" s="166" t="str">
        <f t="shared" si="230"/>
        <v xml:space="preserve"> </v>
      </c>
      <c r="B549" s="101"/>
      <c r="C549" s="100"/>
      <c r="D549" s="167" t="str">
        <f t="shared" si="231"/>
        <v xml:space="preserve"> </v>
      </c>
      <c r="E549" s="167" t="str">
        <f t="shared" si="231"/>
        <v xml:space="preserve"> </v>
      </c>
      <c r="F549" s="167" t="str">
        <f t="shared" si="231"/>
        <v xml:space="preserve"> </v>
      </c>
      <c r="G549" s="167" t="str">
        <f t="shared" si="231"/>
        <v xml:space="preserve"> </v>
      </c>
      <c r="H549" s="167" t="str">
        <f t="shared" si="231"/>
        <v xml:space="preserve"> </v>
      </c>
      <c r="I549" s="168" t="str">
        <f t="shared" si="231"/>
        <v xml:space="preserve"> </v>
      </c>
      <c r="J549" s="101"/>
      <c r="K549" s="165"/>
      <c r="CA549" s="166" t="str">
        <f t="shared" si="232"/>
        <v xml:space="preserve"> </v>
      </c>
      <c r="CB549" s="101"/>
      <c r="CC549" s="100"/>
      <c r="CD549" s="167" t="str">
        <f t="shared" si="233"/>
        <v xml:space="preserve"> </v>
      </c>
      <c r="CE549" s="167" t="str">
        <f t="shared" si="233"/>
        <v xml:space="preserve"> </v>
      </c>
      <c r="CF549" s="167" t="str">
        <f t="shared" si="233"/>
        <v xml:space="preserve"> </v>
      </c>
      <c r="CG549" s="167" t="str">
        <f t="shared" si="233"/>
        <v xml:space="preserve"> </v>
      </c>
      <c r="CH549" s="167" t="str">
        <f t="shared" si="233"/>
        <v xml:space="preserve"> </v>
      </c>
      <c r="CI549" s="168" t="str">
        <f t="shared" si="233"/>
        <v xml:space="preserve"> </v>
      </c>
      <c r="CJ549" s="101"/>
      <c r="CK549" s="165"/>
    </row>
    <row r="550" spans="1:89">
      <c r="A550" s="238" t="str">
        <f t="shared" si="230"/>
        <v xml:space="preserve"> </v>
      </c>
      <c r="B550" s="253"/>
      <c r="C550" s="247"/>
      <c r="D550" s="240" t="str">
        <f t="shared" si="231"/>
        <v xml:space="preserve"> </v>
      </c>
      <c r="E550" s="240" t="str">
        <f t="shared" si="231"/>
        <v xml:space="preserve"> </v>
      </c>
      <c r="F550" s="240" t="str">
        <f t="shared" si="231"/>
        <v xml:space="preserve"> </v>
      </c>
      <c r="G550" s="240" t="str">
        <f t="shared" si="231"/>
        <v xml:space="preserve"> </v>
      </c>
      <c r="H550" s="240" t="str">
        <f t="shared" si="231"/>
        <v xml:space="preserve"> </v>
      </c>
      <c r="I550" s="251" t="str">
        <f t="shared" si="231"/>
        <v xml:space="preserve"> </v>
      </c>
      <c r="J550" s="253"/>
      <c r="K550" s="254"/>
      <c r="CA550" s="238" t="str">
        <f t="shared" si="232"/>
        <v xml:space="preserve"> </v>
      </c>
      <c r="CB550" s="253"/>
      <c r="CC550" s="247"/>
      <c r="CD550" s="240" t="str">
        <f t="shared" si="233"/>
        <v xml:space="preserve"> </v>
      </c>
      <c r="CE550" s="240" t="str">
        <f t="shared" si="233"/>
        <v xml:space="preserve"> </v>
      </c>
      <c r="CF550" s="240" t="str">
        <f t="shared" si="233"/>
        <v xml:space="preserve"> </v>
      </c>
      <c r="CG550" s="240" t="str">
        <f t="shared" si="233"/>
        <v xml:space="preserve"> </v>
      </c>
      <c r="CH550" s="240" t="str">
        <f t="shared" si="233"/>
        <v xml:space="preserve"> </v>
      </c>
      <c r="CI550" s="251" t="str">
        <f t="shared" si="233"/>
        <v xml:space="preserve"> </v>
      </c>
      <c r="CJ550" s="253"/>
      <c r="CK550" s="254"/>
    </row>
    <row r="551" spans="1:89">
      <c r="A551" s="166" t="str">
        <f t="shared" si="230"/>
        <v xml:space="preserve"> </v>
      </c>
      <c r="B551" s="101"/>
      <c r="C551" s="100"/>
      <c r="D551" s="167" t="str">
        <f t="shared" si="231"/>
        <v xml:space="preserve"> </v>
      </c>
      <c r="E551" s="167" t="str">
        <f t="shared" si="231"/>
        <v xml:space="preserve"> </v>
      </c>
      <c r="F551" s="167" t="str">
        <f t="shared" si="231"/>
        <v xml:space="preserve"> </v>
      </c>
      <c r="G551" s="167" t="str">
        <f t="shared" si="231"/>
        <v xml:space="preserve"> </v>
      </c>
      <c r="H551" s="167" t="str">
        <f t="shared" si="231"/>
        <v xml:space="preserve"> </v>
      </c>
      <c r="I551" s="168" t="str">
        <f t="shared" si="231"/>
        <v xml:space="preserve"> </v>
      </c>
      <c r="J551" s="101"/>
      <c r="K551" s="165"/>
      <c r="CA551" s="166" t="str">
        <f t="shared" si="232"/>
        <v xml:space="preserve"> </v>
      </c>
      <c r="CB551" s="101"/>
      <c r="CC551" s="100"/>
      <c r="CD551" s="167" t="str">
        <f t="shared" si="233"/>
        <v xml:space="preserve"> </v>
      </c>
      <c r="CE551" s="167" t="str">
        <f t="shared" si="233"/>
        <v xml:space="preserve"> </v>
      </c>
      <c r="CF551" s="167" t="str">
        <f t="shared" si="233"/>
        <v xml:space="preserve"> </v>
      </c>
      <c r="CG551" s="167" t="str">
        <f t="shared" si="233"/>
        <v xml:space="preserve"> </v>
      </c>
      <c r="CH551" s="167" t="str">
        <f t="shared" si="233"/>
        <v xml:space="preserve"> </v>
      </c>
      <c r="CI551" s="168" t="str">
        <f t="shared" si="233"/>
        <v xml:space="preserve"> </v>
      </c>
      <c r="CJ551" s="101"/>
      <c r="CK551" s="165"/>
    </row>
    <row r="552" spans="1:89">
      <c r="A552" s="238" t="str">
        <f t="shared" si="230"/>
        <v xml:space="preserve"> </v>
      </c>
      <c r="B552" s="253"/>
      <c r="C552" s="247"/>
      <c r="D552" s="240" t="str">
        <f t="shared" si="231"/>
        <v xml:space="preserve"> </v>
      </c>
      <c r="E552" s="240" t="str">
        <f t="shared" si="231"/>
        <v xml:space="preserve"> </v>
      </c>
      <c r="F552" s="240" t="str">
        <f t="shared" si="231"/>
        <v xml:space="preserve"> </v>
      </c>
      <c r="G552" s="240" t="str">
        <f t="shared" si="231"/>
        <v xml:space="preserve"> </v>
      </c>
      <c r="H552" s="240" t="str">
        <f t="shared" si="231"/>
        <v xml:space="preserve"> </v>
      </c>
      <c r="I552" s="251" t="str">
        <f t="shared" si="231"/>
        <v xml:space="preserve"> </v>
      </c>
      <c r="J552" s="253"/>
      <c r="K552" s="254"/>
      <c r="CA552" s="238" t="str">
        <f t="shared" si="232"/>
        <v xml:space="preserve"> </v>
      </c>
      <c r="CB552" s="253"/>
      <c r="CC552" s="247"/>
      <c r="CD552" s="240" t="str">
        <f t="shared" si="233"/>
        <v xml:space="preserve"> </v>
      </c>
      <c r="CE552" s="240" t="str">
        <f t="shared" si="233"/>
        <v xml:space="preserve"> </v>
      </c>
      <c r="CF552" s="240" t="str">
        <f t="shared" si="233"/>
        <v xml:space="preserve"> </v>
      </c>
      <c r="CG552" s="240" t="str">
        <f t="shared" si="233"/>
        <v xml:space="preserve"> </v>
      </c>
      <c r="CH552" s="240" t="str">
        <f t="shared" si="233"/>
        <v xml:space="preserve"> </v>
      </c>
      <c r="CI552" s="251" t="str">
        <f t="shared" si="233"/>
        <v xml:space="preserve"> </v>
      </c>
      <c r="CJ552" s="253"/>
      <c r="CK552" s="254"/>
    </row>
    <row r="553" spans="1:89">
      <c r="A553" s="166" t="str">
        <f t="shared" si="230"/>
        <v xml:space="preserve"> </v>
      </c>
      <c r="B553" s="101"/>
      <c r="C553" s="100"/>
      <c r="D553" s="167" t="str">
        <f t="shared" si="231"/>
        <v xml:space="preserve"> </v>
      </c>
      <c r="E553" s="167" t="str">
        <f t="shared" si="231"/>
        <v xml:space="preserve"> </v>
      </c>
      <c r="F553" s="167" t="str">
        <f t="shared" si="231"/>
        <v xml:space="preserve"> </v>
      </c>
      <c r="G553" s="167" t="str">
        <f t="shared" si="231"/>
        <v xml:space="preserve"> </v>
      </c>
      <c r="H553" s="167" t="str">
        <f t="shared" si="231"/>
        <v xml:space="preserve"> </v>
      </c>
      <c r="I553" s="168" t="str">
        <f t="shared" si="231"/>
        <v xml:space="preserve"> </v>
      </c>
      <c r="J553" s="101"/>
      <c r="K553" s="165"/>
      <c r="CA553" s="166" t="str">
        <f t="shared" si="232"/>
        <v xml:space="preserve"> </v>
      </c>
      <c r="CB553" s="101"/>
      <c r="CC553" s="100"/>
      <c r="CD553" s="167" t="str">
        <f t="shared" si="233"/>
        <v xml:space="preserve"> </v>
      </c>
      <c r="CE553" s="167" t="str">
        <f t="shared" si="233"/>
        <v xml:space="preserve"> </v>
      </c>
      <c r="CF553" s="167" t="str">
        <f t="shared" si="233"/>
        <v xml:space="preserve"> </v>
      </c>
      <c r="CG553" s="167" t="str">
        <f t="shared" si="233"/>
        <v xml:space="preserve"> </v>
      </c>
      <c r="CH553" s="167" t="str">
        <f t="shared" si="233"/>
        <v xml:space="preserve"> </v>
      </c>
      <c r="CI553" s="168" t="str">
        <f t="shared" si="233"/>
        <v xml:space="preserve"> </v>
      </c>
      <c r="CJ553" s="101"/>
      <c r="CK553" s="165"/>
    </row>
    <row r="554" spans="1:89">
      <c r="A554" s="238" t="str">
        <f t="shared" si="230"/>
        <v xml:space="preserve"> </v>
      </c>
      <c r="B554" s="253"/>
      <c r="C554" s="247"/>
      <c r="D554" s="240" t="str">
        <f t="shared" si="231"/>
        <v xml:space="preserve"> </v>
      </c>
      <c r="E554" s="240" t="str">
        <f t="shared" si="231"/>
        <v xml:space="preserve"> </v>
      </c>
      <c r="F554" s="240" t="str">
        <f t="shared" si="231"/>
        <v xml:space="preserve"> </v>
      </c>
      <c r="G554" s="240" t="str">
        <f t="shared" si="231"/>
        <v xml:space="preserve"> </v>
      </c>
      <c r="H554" s="240" t="str">
        <f t="shared" si="231"/>
        <v xml:space="preserve"> </v>
      </c>
      <c r="I554" s="251" t="str">
        <f t="shared" si="231"/>
        <v xml:space="preserve"> </v>
      </c>
      <c r="J554" s="253"/>
      <c r="K554" s="254"/>
      <c r="CA554" s="238" t="str">
        <f t="shared" si="232"/>
        <v xml:space="preserve"> </v>
      </c>
      <c r="CB554" s="253"/>
      <c r="CC554" s="247"/>
      <c r="CD554" s="240" t="str">
        <f t="shared" si="233"/>
        <v xml:space="preserve"> </v>
      </c>
      <c r="CE554" s="240" t="str">
        <f t="shared" si="233"/>
        <v xml:space="preserve"> </v>
      </c>
      <c r="CF554" s="240" t="str">
        <f t="shared" si="233"/>
        <v xml:space="preserve"> </v>
      </c>
      <c r="CG554" s="240" t="str">
        <f t="shared" si="233"/>
        <v xml:space="preserve"> </v>
      </c>
      <c r="CH554" s="240" t="str">
        <f t="shared" si="233"/>
        <v xml:space="preserve"> </v>
      </c>
      <c r="CI554" s="251" t="str">
        <f t="shared" si="233"/>
        <v xml:space="preserve"> </v>
      </c>
      <c r="CJ554" s="253"/>
      <c r="CK554" s="254"/>
    </row>
    <row r="555" spans="1:89">
      <c r="A555" s="166" t="str">
        <f t="shared" si="230"/>
        <v xml:space="preserve"> </v>
      </c>
      <c r="B555" s="101"/>
      <c r="C555" s="100"/>
      <c r="D555" s="167" t="str">
        <f t="shared" si="231"/>
        <v xml:space="preserve"> </v>
      </c>
      <c r="E555" s="167" t="str">
        <f t="shared" si="231"/>
        <v xml:space="preserve"> </v>
      </c>
      <c r="F555" s="167" t="str">
        <f t="shared" si="231"/>
        <v xml:space="preserve"> </v>
      </c>
      <c r="G555" s="167" t="str">
        <f t="shared" si="231"/>
        <v xml:space="preserve"> </v>
      </c>
      <c r="H555" s="167" t="str">
        <f t="shared" si="231"/>
        <v xml:space="preserve"> </v>
      </c>
      <c r="I555" s="168" t="str">
        <f t="shared" si="231"/>
        <v xml:space="preserve"> </v>
      </c>
      <c r="J555" s="101"/>
      <c r="K555" s="165"/>
      <c r="CA555" s="166" t="str">
        <f t="shared" si="232"/>
        <v xml:space="preserve"> </v>
      </c>
      <c r="CB555" s="101"/>
      <c r="CC555" s="100"/>
      <c r="CD555" s="167" t="str">
        <f t="shared" si="233"/>
        <v xml:space="preserve"> </v>
      </c>
      <c r="CE555" s="167" t="str">
        <f t="shared" si="233"/>
        <v xml:space="preserve"> </v>
      </c>
      <c r="CF555" s="167" t="str">
        <f t="shared" si="233"/>
        <v xml:space="preserve"> </v>
      </c>
      <c r="CG555" s="167" t="str">
        <f t="shared" si="233"/>
        <v xml:space="preserve"> </v>
      </c>
      <c r="CH555" s="167" t="str">
        <f t="shared" si="233"/>
        <v xml:space="preserve"> </v>
      </c>
      <c r="CI555" s="168" t="str">
        <f t="shared" si="233"/>
        <v xml:space="preserve"> </v>
      </c>
      <c r="CJ555" s="101"/>
      <c r="CK555" s="165"/>
    </row>
    <row r="556" spans="1:89">
      <c r="A556" s="238" t="str">
        <f t="shared" si="230"/>
        <v xml:space="preserve"> </v>
      </c>
      <c r="B556" s="253"/>
      <c r="C556" s="247"/>
      <c r="D556" s="240" t="str">
        <f t="shared" si="231"/>
        <v xml:space="preserve"> </v>
      </c>
      <c r="E556" s="240" t="str">
        <f t="shared" si="231"/>
        <v xml:space="preserve"> </v>
      </c>
      <c r="F556" s="240" t="str">
        <f t="shared" si="231"/>
        <v xml:space="preserve"> </v>
      </c>
      <c r="G556" s="240" t="str">
        <f t="shared" si="231"/>
        <v xml:space="preserve"> </v>
      </c>
      <c r="H556" s="240" t="str">
        <f t="shared" si="231"/>
        <v xml:space="preserve"> </v>
      </c>
      <c r="I556" s="251" t="str">
        <f t="shared" si="231"/>
        <v xml:space="preserve"> </v>
      </c>
      <c r="J556" s="253"/>
      <c r="K556" s="254"/>
      <c r="CA556" s="238" t="str">
        <f t="shared" si="232"/>
        <v xml:space="preserve"> </v>
      </c>
      <c r="CB556" s="253"/>
      <c r="CC556" s="247"/>
      <c r="CD556" s="240" t="str">
        <f t="shared" si="233"/>
        <v xml:space="preserve"> </v>
      </c>
      <c r="CE556" s="240" t="str">
        <f t="shared" si="233"/>
        <v xml:space="preserve"> </v>
      </c>
      <c r="CF556" s="240" t="str">
        <f t="shared" si="233"/>
        <v xml:space="preserve"> </v>
      </c>
      <c r="CG556" s="240" t="str">
        <f t="shared" si="233"/>
        <v xml:space="preserve"> </v>
      </c>
      <c r="CH556" s="240" t="str">
        <f t="shared" si="233"/>
        <v xml:space="preserve"> </v>
      </c>
      <c r="CI556" s="251" t="str">
        <f t="shared" si="233"/>
        <v xml:space="preserve"> </v>
      </c>
      <c r="CJ556" s="253"/>
      <c r="CK556" s="254"/>
    </row>
    <row r="557" spans="1:89">
      <c r="A557" s="166" t="str">
        <f t="shared" si="230"/>
        <v xml:space="preserve"> </v>
      </c>
      <c r="B557" s="101"/>
      <c r="C557" s="100"/>
      <c r="D557" s="167" t="str">
        <f t="shared" si="231"/>
        <v xml:space="preserve"> </v>
      </c>
      <c r="E557" s="167" t="str">
        <f t="shared" si="231"/>
        <v xml:space="preserve"> </v>
      </c>
      <c r="F557" s="167" t="str">
        <f t="shared" si="231"/>
        <v xml:space="preserve"> </v>
      </c>
      <c r="G557" s="167" t="str">
        <f t="shared" si="231"/>
        <v xml:space="preserve"> </v>
      </c>
      <c r="H557" s="167" t="str">
        <f t="shared" si="231"/>
        <v xml:space="preserve"> </v>
      </c>
      <c r="I557" s="168" t="str">
        <f t="shared" si="231"/>
        <v xml:space="preserve"> </v>
      </c>
      <c r="J557" s="101"/>
      <c r="K557" s="165"/>
      <c r="CA557" s="166" t="str">
        <f t="shared" si="232"/>
        <v xml:space="preserve"> </v>
      </c>
      <c r="CB557" s="101"/>
      <c r="CC557" s="100"/>
      <c r="CD557" s="167" t="str">
        <f t="shared" si="233"/>
        <v xml:space="preserve"> </v>
      </c>
      <c r="CE557" s="167" t="str">
        <f t="shared" si="233"/>
        <v xml:space="preserve"> </v>
      </c>
      <c r="CF557" s="167" t="str">
        <f t="shared" si="233"/>
        <v xml:space="preserve"> </v>
      </c>
      <c r="CG557" s="167" t="str">
        <f t="shared" si="233"/>
        <v xml:space="preserve"> </v>
      </c>
      <c r="CH557" s="167" t="str">
        <f t="shared" si="233"/>
        <v xml:space="preserve"> </v>
      </c>
      <c r="CI557" s="168" t="str">
        <f t="shared" si="233"/>
        <v xml:space="preserve"> </v>
      </c>
      <c r="CJ557" s="101"/>
      <c r="CK557" s="165"/>
    </row>
    <row r="558" spans="1:89">
      <c r="A558" s="238" t="str">
        <f t="shared" si="230"/>
        <v xml:space="preserve"> </v>
      </c>
      <c r="B558" s="253"/>
      <c r="C558" s="247"/>
      <c r="D558" s="240" t="str">
        <f t="shared" si="231"/>
        <v xml:space="preserve"> </v>
      </c>
      <c r="E558" s="240" t="str">
        <f t="shared" si="231"/>
        <v xml:space="preserve"> </v>
      </c>
      <c r="F558" s="240" t="str">
        <f t="shared" si="231"/>
        <v xml:space="preserve"> </v>
      </c>
      <c r="G558" s="240" t="str">
        <f t="shared" si="231"/>
        <v xml:space="preserve"> </v>
      </c>
      <c r="H558" s="240" t="str">
        <f t="shared" si="231"/>
        <v xml:space="preserve"> </v>
      </c>
      <c r="I558" s="251" t="str">
        <f t="shared" si="231"/>
        <v xml:space="preserve"> </v>
      </c>
      <c r="J558" s="253"/>
      <c r="K558" s="254"/>
      <c r="CA558" s="238" t="str">
        <f t="shared" si="232"/>
        <v xml:space="preserve"> </v>
      </c>
      <c r="CB558" s="253"/>
      <c r="CC558" s="247"/>
      <c r="CD558" s="240" t="str">
        <f t="shared" si="233"/>
        <v xml:space="preserve"> </v>
      </c>
      <c r="CE558" s="240" t="str">
        <f t="shared" si="233"/>
        <v xml:space="preserve"> </v>
      </c>
      <c r="CF558" s="240" t="str">
        <f t="shared" si="233"/>
        <v xml:space="preserve"> </v>
      </c>
      <c r="CG558" s="240" t="str">
        <f t="shared" si="233"/>
        <v xml:space="preserve"> </v>
      </c>
      <c r="CH558" s="240" t="str">
        <f t="shared" si="233"/>
        <v xml:space="preserve"> </v>
      </c>
      <c r="CI558" s="251" t="str">
        <f t="shared" si="233"/>
        <v xml:space="preserve"> </v>
      </c>
      <c r="CJ558" s="253"/>
      <c r="CK558" s="254"/>
    </row>
    <row r="559" spans="1:89">
      <c r="A559" s="166" t="str">
        <f t="shared" si="230"/>
        <v xml:space="preserve"> </v>
      </c>
      <c r="B559" s="101"/>
      <c r="C559" s="100"/>
      <c r="D559" s="167" t="str">
        <f t="shared" ref="D559:I563" si="234">IF(AND(D1359&gt;0,$E$134&gt;2),D1359," ")</f>
        <v xml:space="preserve"> </v>
      </c>
      <c r="E559" s="167" t="str">
        <f t="shared" si="234"/>
        <v xml:space="preserve"> </v>
      </c>
      <c r="F559" s="167" t="str">
        <f t="shared" si="234"/>
        <v xml:space="preserve"> </v>
      </c>
      <c r="G559" s="167" t="str">
        <f t="shared" si="234"/>
        <v xml:space="preserve"> </v>
      </c>
      <c r="H559" s="167" t="str">
        <f t="shared" si="234"/>
        <v xml:space="preserve"> </v>
      </c>
      <c r="I559" s="168" t="str">
        <f t="shared" si="234"/>
        <v xml:space="preserve"> </v>
      </c>
      <c r="J559" s="101"/>
      <c r="K559" s="165"/>
      <c r="CA559" s="166" t="str">
        <f t="shared" si="232"/>
        <v xml:space="preserve"> </v>
      </c>
      <c r="CB559" s="101"/>
      <c r="CC559" s="100"/>
      <c r="CD559" s="167" t="str">
        <f t="shared" ref="CD559:CI563" si="235">IF(AND(CD1359&gt;0,$E$134&gt;2),CD1359," ")</f>
        <v xml:space="preserve"> </v>
      </c>
      <c r="CE559" s="167" t="str">
        <f t="shared" si="235"/>
        <v xml:space="preserve"> </v>
      </c>
      <c r="CF559" s="167" t="str">
        <f t="shared" si="235"/>
        <v xml:space="preserve"> </v>
      </c>
      <c r="CG559" s="167" t="str">
        <f t="shared" si="235"/>
        <v xml:space="preserve"> </v>
      </c>
      <c r="CH559" s="167" t="str">
        <f t="shared" si="235"/>
        <v xml:space="preserve"> </v>
      </c>
      <c r="CI559" s="168" t="str">
        <f t="shared" si="235"/>
        <v xml:space="preserve"> </v>
      </c>
      <c r="CJ559" s="101"/>
      <c r="CK559" s="165"/>
    </row>
    <row r="560" spans="1:89">
      <c r="A560" s="238" t="str">
        <f t="shared" si="230"/>
        <v xml:space="preserve"> </v>
      </c>
      <c r="B560" s="253"/>
      <c r="C560" s="247"/>
      <c r="D560" s="240" t="str">
        <f t="shared" si="234"/>
        <v xml:space="preserve"> </v>
      </c>
      <c r="E560" s="240" t="str">
        <f t="shared" si="234"/>
        <v xml:space="preserve"> </v>
      </c>
      <c r="F560" s="240" t="str">
        <f t="shared" si="234"/>
        <v xml:space="preserve"> </v>
      </c>
      <c r="G560" s="240" t="str">
        <f t="shared" si="234"/>
        <v xml:space="preserve"> </v>
      </c>
      <c r="H560" s="240" t="str">
        <f t="shared" si="234"/>
        <v xml:space="preserve"> </v>
      </c>
      <c r="I560" s="251" t="str">
        <f t="shared" si="234"/>
        <v xml:space="preserve"> </v>
      </c>
      <c r="J560" s="253"/>
      <c r="K560" s="254"/>
      <c r="CA560" s="238" t="str">
        <f t="shared" si="232"/>
        <v xml:space="preserve"> </v>
      </c>
      <c r="CB560" s="253"/>
      <c r="CC560" s="247"/>
      <c r="CD560" s="240" t="str">
        <f t="shared" si="235"/>
        <v xml:space="preserve"> </v>
      </c>
      <c r="CE560" s="240" t="str">
        <f t="shared" si="235"/>
        <v xml:space="preserve"> </v>
      </c>
      <c r="CF560" s="240" t="str">
        <f t="shared" si="235"/>
        <v xml:space="preserve"> </v>
      </c>
      <c r="CG560" s="240" t="str">
        <f t="shared" si="235"/>
        <v xml:space="preserve"> </v>
      </c>
      <c r="CH560" s="240" t="str">
        <f t="shared" si="235"/>
        <v xml:space="preserve"> </v>
      </c>
      <c r="CI560" s="251" t="str">
        <f t="shared" si="235"/>
        <v xml:space="preserve"> </v>
      </c>
      <c r="CJ560" s="253"/>
      <c r="CK560" s="254"/>
    </row>
    <row r="561" spans="1:89">
      <c r="A561" s="166" t="str">
        <f t="shared" si="230"/>
        <v xml:space="preserve"> </v>
      </c>
      <c r="B561" s="101"/>
      <c r="C561" s="100"/>
      <c r="D561" s="167" t="str">
        <f t="shared" si="234"/>
        <v xml:space="preserve"> </v>
      </c>
      <c r="E561" s="167" t="str">
        <f t="shared" si="234"/>
        <v xml:space="preserve"> </v>
      </c>
      <c r="F561" s="167" t="str">
        <f t="shared" si="234"/>
        <v xml:space="preserve"> </v>
      </c>
      <c r="G561" s="167" t="str">
        <f t="shared" si="234"/>
        <v xml:space="preserve"> </v>
      </c>
      <c r="H561" s="167" t="str">
        <f t="shared" si="234"/>
        <v xml:space="preserve"> </v>
      </c>
      <c r="I561" s="168" t="str">
        <f t="shared" si="234"/>
        <v xml:space="preserve"> </v>
      </c>
      <c r="J561" s="101"/>
      <c r="K561" s="165"/>
      <c r="CA561" s="166" t="str">
        <f t="shared" si="232"/>
        <v xml:space="preserve"> </v>
      </c>
      <c r="CB561" s="101"/>
      <c r="CC561" s="100"/>
      <c r="CD561" s="167" t="str">
        <f t="shared" si="235"/>
        <v xml:space="preserve"> </v>
      </c>
      <c r="CE561" s="167" t="str">
        <f t="shared" si="235"/>
        <v xml:space="preserve"> </v>
      </c>
      <c r="CF561" s="167" t="str">
        <f t="shared" si="235"/>
        <v xml:space="preserve"> </v>
      </c>
      <c r="CG561" s="167" t="str">
        <f t="shared" si="235"/>
        <v xml:space="preserve"> </v>
      </c>
      <c r="CH561" s="167" t="str">
        <f t="shared" si="235"/>
        <v xml:space="preserve"> </v>
      </c>
      <c r="CI561" s="168" t="str">
        <f t="shared" si="235"/>
        <v xml:space="preserve"> </v>
      </c>
      <c r="CJ561" s="101"/>
      <c r="CK561" s="165"/>
    </row>
    <row r="562" spans="1:89">
      <c r="A562" s="238" t="str">
        <f t="shared" si="230"/>
        <v xml:space="preserve"> </v>
      </c>
      <c r="B562" s="253"/>
      <c r="C562" s="247"/>
      <c r="D562" s="240" t="str">
        <f t="shared" si="234"/>
        <v xml:space="preserve"> </v>
      </c>
      <c r="E562" s="240" t="str">
        <f t="shared" si="234"/>
        <v xml:space="preserve"> </v>
      </c>
      <c r="F562" s="240" t="str">
        <f t="shared" si="234"/>
        <v xml:space="preserve"> </v>
      </c>
      <c r="G562" s="240" t="str">
        <f t="shared" si="234"/>
        <v xml:space="preserve"> </v>
      </c>
      <c r="H562" s="240" t="str">
        <f t="shared" si="234"/>
        <v xml:space="preserve"> </v>
      </c>
      <c r="I562" s="251" t="str">
        <f t="shared" si="234"/>
        <v xml:space="preserve"> </v>
      </c>
      <c r="J562" s="253"/>
      <c r="K562" s="254"/>
      <c r="CA562" s="238" t="str">
        <f t="shared" si="232"/>
        <v xml:space="preserve"> </v>
      </c>
      <c r="CB562" s="253"/>
      <c r="CC562" s="247"/>
      <c r="CD562" s="240" t="str">
        <f t="shared" si="235"/>
        <v xml:space="preserve"> </v>
      </c>
      <c r="CE562" s="240" t="str">
        <f t="shared" si="235"/>
        <v xml:space="preserve"> </v>
      </c>
      <c r="CF562" s="240" t="str">
        <f t="shared" si="235"/>
        <v xml:space="preserve"> </v>
      </c>
      <c r="CG562" s="240" t="str">
        <f t="shared" si="235"/>
        <v xml:space="preserve"> </v>
      </c>
      <c r="CH562" s="240" t="str">
        <f t="shared" si="235"/>
        <v xml:space="preserve"> </v>
      </c>
      <c r="CI562" s="251" t="str">
        <f t="shared" si="235"/>
        <v xml:space="preserve"> </v>
      </c>
      <c r="CJ562" s="253"/>
      <c r="CK562" s="254"/>
    </row>
    <row r="563" spans="1:89">
      <c r="A563" s="181" t="str">
        <f t="shared" si="230"/>
        <v xml:space="preserve"> </v>
      </c>
      <c r="B563" s="103"/>
      <c r="C563" s="100"/>
      <c r="D563" s="100" t="str">
        <f t="shared" si="234"/>
        <v xml:space="preserve"> </v>
      </c>
      <c r="E563" s="100" t="str">
        <f t="shared" si="234"/>
        <v xml:space="preserve"> </v>
      </c>
      <c r="F563" s="100" t="str">
        <f t="shared" si="234"/>
        <v xml:space="preserve"> </v>
      </c>
      <c r="G563" s="100" t="str">
        <f t="shared" si="234"/>
        <v xml:space="preserve"> </v>
      </c>
      <c r="H563" s="100" t="str">
        <f t="shared" si="234"/>
        <v xml:space="preserve"> </v>
      </c>
      <c r="I563" s="177" t="str">
        <f t="shared" si="234"/>
        <v xml:space="preserve"> </v>
      </c>
      <c r="J563" s="103"/>
      <c r="K563" s="182"/>
      <c r="CA563" s="181" t="str">
        <f t="shared" si="232"/>
        <v xml:space="preserve"> </v>
      </c>
      <c r="CB563" s="103"/>
      <c r="CC563" s="100"/>
      <c r="CD563" s="100" t="str">
        <f t="shared" si="235"/>
        <v xml:space="preserve"> </v>
      </c>
      <c r="CE563" s="100" t="str">
        <f t="shared" si="235"/>
        <v xml:space="preserve"> </v>
      </c>
      <c r="CF563" s="100" t="str">
        <f t="shared" si="235"/>
        <v xml:space="preserve"> </v>
      </c>
      <c r="CG563" s="100" t="str">
        <f t="shared" si="235"/>
        <v xml:space="preserve"> </v>
      </c>
      <c r="CH563" s="100" t="str">
        <f t="shared" si="235"/>
        <v xml:space="preserve"> </v>
      </c>
      <c r="CI563" s="177" t="str">
        <f t="shared" si="235"/>
        <v xml:space="preserve"> </v>
      </c>
      <c r="CJ563" s="103"/>
      <c r="CK563" s="182"/>
    </row>
    <row r="564" spans="1:89">
      <c r="A564" s="179" t="s">
        <v>5025</v>
      </c>
      <c r="B564" s="102"/>
      <c r="C564" s="175" t="s">
        <v>5018</v>
      </c>
      <c r="D564" s="175" t="s">
        <v>5701</v>
      </c>
      <c r="E564" s="175" t="s">
        <v>5019</v>
      </c>
      <c r="F564" s="175" t="s">
        <v>5020</v>
      </c>
      <c r="G564" s="175" t="s">
        <v>5021</v>
      </c>
      <c r="H564" s="175" t="s">
        <v>5022</v>
      </c>
      <c r="I564" s="221" t="s">
        <v>5316</v>
      </c>
      <c r="J564" s="176"/>
      <c r="K564" s="180"/>
      <c r="CA564" s="179" t="s">
        <v>5025</v>
      </c>
      <c r="CB564" s="102"/>
      <c r="CC564" s="175" t="s">
        <v>5018</v>
      </c>
      <c r="CD564" s="175" t="s">
        <v>5701</v>
      </c>
      <c r="CE564" s="175" t="s">
        <v>5019</v>
      </c>
      <c r="CF564" s="175" t="s">
        <v>5020</v>
      </c>
      <c r="CG564" s="175" t="s">
        <v>5021</v>
      </c>
      <c r="CH564" s="175" t="s">
        <v>5022</v>
      </c>
      <c r="CI564" s="221" t="s">
        <v>5316</v>
      </c>
      <c r="CJ564" s="176"/>
      <c r="CK564" s="180"/>
    </row>
    <row r="565" spans="1:89">
      <c r="A565" s="166" t="str">
        <f t="shared" ref="A565:A582" si="236">IF(AND(A1365&gt;0,$E$134&gt;3),A1365," ")</f>
        <v xml:space="preserve"> </v>
      </c>
      <c r="B565" s="101"/>
      <c r="C565" s="100"/>
      <c r="D565" s="167" t="str">
        <f t="shared" ref="D565:I580" si="237">IF(AND(D1365&gt;0,$E$134&gt;3),D1365," ")</f>
        <v xml:space="preserve"> </v>
      </c>
      <c r="E565" s="167" t="str">
        <f t="shared" si="237"/>
        <v xml:space="preserve"> </v>
      </c>
      <c r="F565" s="167" t="str">
        <f t="shared" si="237"/>
        <v xml:space="preserve"> </v>
      </c>
      <c r="G565" s="167" t="str">
        <f t="shared" si="237"/>
        <v xml:space="preserve"> </v>
      </c>
      <c r="H565" s="167" t="str">
        <f t="shared" si="237"/>
        <v xml:space="preserve"> </v>
      </c>
      <c r="I565" s="168" t="str">
        <f t="shared" si="237"/>
        <v xml:space="preserve"> </v>
      </c>
      <c r="J565" s="101"/>
      <c r="K565" s="165"/>
      <c r="CA565" s="166" t="str">
        <f t="shared" ref="CA565:CA582" si="238">IF(AND(CA1365&gt;0,$E$134&gt;3),CA1365," ")</f>
        <v xml:space="preserve"> </v>
      </c>
      <c r="CB565" s="101"/>
      <c r="CC565" s="100"/>
      <c r="CD565" s="167" t="str">
        <f t="shared" ref="CD565:CI580" si="239">IF(AND(CD1365&gt;0,$E$134&gt;3),CD1365," ")</f>
        <v xml:space="preserve"> </v>
      </c>
      <c r="CE565" s="167" t="str">
        <f t="shared" si="239"/>
        <v xml:space="preserve"> </v>
      </c>
      <c r="CF565" s="167" t="str">
        <f t="shared" si="239"/>
        <v xml:space="preserve"> </v>
      </c>
      <c r="CG565" s="167" t="str">
        <f t="shared" si="239"/>
        <v xml:space="preserve"> </v>
      </c>
      <c r="CH565" s="167" t="str">
        <f t="shared" si="239"/>
        <v xml:space="preserve"> </v>
      </c>
      <c r="CI565" s="168" t="str">
        <f t="shared" si="239"/>
        <v xml:space="preserve"> </v>
      </c>
      <c r="CJ565" s="101"/>
      <c r="CK565" s="165"/>
    </row>
    <row r="566" spans="1:89">
      <c r="A566" s="238" t="str">
        <f t="shared" si="236"/>
        <v xml:space="preserve"> </v>
      </c>
      <c r="B566" s="253"/>
      <c r="C566" s="247"/>
      <c r="D566" s="240" t="str">
        <f t="shared" si="237"/>
        <v xml:space="preserve"> </v>
      </c>
      <c r="E566" s="240" t="str">
        <f t="shared" si="237"/>
        <v xml:space="preserve"> </v>
      </c>
      <c r="F566" s="240" t="str">
        <f t="shared" si="237"/>
        <v xml:space="preserve"> </v>
      </c>
      <c r="G566" s="240" t="str">
        <f t="shared" si="237"/>
        <v xml:space="preserve"> </v>
      </c>
      <c r="H566" s="240" t="str">
        <f t="shared" si="237"/>
        <v xml:space="preserve"> </v>
      </c>
      <c r="I566" s="251" t="str">
        <f t="shared" si="237"/>
        <v xml:space="preserve"> </v>
      </c>
      <c r="J566" s="253"/>
      <c r="K566" s="254"/>
      <c r="CA566" s="238" t="str">
        <f t="shared" si="238"/>
        <v xml:space="preserve"> </v>
      </c>
      <c r="CB566" s="253"/>
      <c r="CC566" s="247"/>
      <c r="CD566" s="240" t="str">
        <f t="shared" si="239"/>
        <v xml:space="preserve"> </v>
      </c>
      <c r="CE566" s="240" t="str">
        <f t="shared" si="239"/>
        <v xml:space="preserve"> </v>
      </c>
      <c r="CF566" s="240" t="str">
        <f t="shared" si="239"/>
        <v xml:space="preserve"> </v>
      </c>
      <c r="CG566" s="240" t="str">
        <f t="shared" si="239"/>
        <v xml:space="preserve"> </v>
      </c>
      <c r="CH566" s="240" t="str">
        <f t="shared" si="239"/>
        <v xml:space="preserve"> </v>
      </c>
      <c r="CI566" s="251" t="str">
        <f t="shared" si="239"/>
        <v xml:space="preserve"> </v>
      </c>
      <c r="CJ566" s="253"/>
      <c r="CK566" s="254"/>
    </row>
    <row r="567" spans="1:89">
      <c r="A567" s="166" t="str">
        <f t="shared" si="236"/>
        <v xml:space="preserve"> </v>
      </c>
      <c r="B567" s="101"/>
      <c r="C567" s="100"/>
      <c r="D567" s="167" t="str">
        <f t="shared" si="237"/>
        <v xml:space="preserve"> </v>
      </c>
      <c r="E567" s="167" t="str">
        <f t="shared" si="237"/>
        <v xml:space="preserve"> </v>
      </c>
      <c r="F567" s="167" t="str">
        <f t="shared" si="237"/>
        <v xml:space="preserve"> </v>
      </c>
      <c r="G567" s="167" t="str">
        <f t="shared" si="237"/>
        <v xml:space="preserve"> </v>
      </c>
      <c r="H567" s="167" t="str">
        <f t="shared" si="237"/>
        <v xml:space="preserve"> </v>
      </c>
      <c r="I567" s="168" t="str">
        <f t="shared" si="237"/>
        <v xml:space="preserve"> </v>
      </c>
      <c r="J567" s="101"/>
      <c r="K567" s="165"/>
      <c r="CA567" s="166" t="str">
        <f t="shared" si="238"/>
        <v xml:space="preserve"> </v>
      </c>
      <c r="CB567" s="101"/>
      <c r="CC567" s="100"/>
      <c r="CD567" s="167" t="str">
        <f t="shared" si="239"/>
        <v xml:space="preserve"> </v>
      </c>
      <c r="CE567" s="167" t="str">
        <f t="shared" si="239"/>
        <v xml:space="preserve"> </v>
      </c>
      <c r="CF567" s="167" t="str">
        <f t="shared" si="239"/>
        <v xml:space="preserve"> </v>
      </c>
      <c r="CG567" s="167" t="str">
        <f t="shared" si="239"/>
        <v xml:space="preserve"> </v>
      </c>
      <c r="CH567" s="167" t="str">
        <f t="shared" si="239"/>
        <v xml:space="preserve"> </v>
      </c>
      <c r="CI567" s="168" t="str">
        <f t="shared" si="239"/>
        <v xml:space="preserve"> </v>
      </c>
      <c r="CJ567" s="101"/>
      <c r="CK567" s="165"/>
    </row>
    <row r="568" spans="1:89">
      <c r="A568" s="238" t="str">
        <f t="shared" si="236"/>
        <v xml:space="preserve"> </v>
      </c>
      <c r="B568" s="253"/>
      <c r="C568" s="247"/>
      <c r="D568" s="240" t="str">
        <f t="shared" si="237"/>
        <v xml:space="preserve"> </v>
      </c>
      <c r="E568" s="240" t="str">
        <f t="shared" si="237"/>
        <v xml:space="preserve"> </v>
      </c>
      <c r="F568" s="240" t="str">
        <f t="shared" si="237"/>
        <v xml:space="preserve"> </v>
      </c>
      <c r="G568" s="240" t="str">
        <f t="shared" si="237"/>
        <v xml:space="preserve"> </v>
      </c>
      <c r="H568" s="240" t="str">
        <f t="shared" si="237"/>
        <v xml:space="preserve"> </v>
      </c>
      <c r="I568" s="251" t="str">
        <f t="shared" si="237"/>
        <v xml:space="preserve"> </v>
      </c>
      <c r="J568" s="253"/>
      <c r="K568" s="254"/>
      <c r="CA568" s="238" t="str">
        <f t="shared" si="238"/>
        <v xml:space="preserve"> </v>
      </c>
      <c r="CB568" s="253"/>
      <c r="CC568" s="247"/>
      <c r="CD568" s="240" t="str">
        <f t="shared" si="239"/>
        <v xml:space="preserve"> </v>
      </c>
      <c r="CE568" s="240" t="str">
        <f t="shared" si="239"/>
        <v xml:space="preserve"> </v>
      </c>
      <c r="CF568" s="240" t="str">
        <f t="shared" si="239"/>
        <v xml:space="preserve"> </v>
      </c>
      <c r="CG568" s="240" t="str">
        <f t="shared" si="239"/>
        <v xml:space="preserve"> </v>
      </c>
      <c r="CH568" s="240" t="str">
        <f t="shared" si="239"/>
        <v xml:space="preserve"> </v>
      </c>
      <c r="CI568" s="251" t="str">
        <f t="shared" si="239"/>
        <v xml:space="preserve"> </v>
      </c>
      <c r="CJ568" s="253"/>
      <c r="CK568" s="254"/>
    </row>
    <row r="569" spans="1:89">
      <c r="A569" s="166" t="str">
        <f t="shared" si="236"/>
        <v xml:space="preserve"> </v>
      </c>
      <c r="B569" s="101"/>
      <c r="C569" s="100"/>
      <c r="D569" s="167" t="str">
        <f t="shared" si="237"/>
        <v xml:space="preserve"> </v>
      </c>
      <c r="E569" s="167" t="str">
        <f t="shared" si="237"/>
        <v xml:space="preserve"> </v>
      </c>
      <c r="F569" s="167" t="str">
        <f t="shared" si="237"/>
        <v xml:space="preserve"> </v>
      </c>
      <c r="G569" s="167" t="str">
        <f t="shared" si="237"/>
        <v xml:space="preserve"> </v>
      </c>
      <c r="H569" s="167" t="str">
        <f t="shared" si="237"/>
        <v xml:space="preserve"> </v>
      </c>
      <c r="I569" s="168" t="str">
        <f t="shared" si="237"/>
        <v xml:space="preserve"> </v>
      </c>
      <c r="J569" s="101"/>
      <c r="K569" s="165"/>
      <c r="CA569" s="166" t="str">
        <f t="shared" si="238"/>
        <v xml:space="preserve"> </v>
      </c>
      <c r="CB569" s="101"/>
      <c r="CC569" s="100"/>
      <c r="CD569" s="167" t="str">
        <f t="shared" si="239"/>
        <v xml:space="preserve"> </v>
      </c>
      <c r="CE569" s="167" t="str">
        <f t="shared" si="239"/>
        <v xml:space="preserve"> </v>
      </c>
      <c r="CF569" s="167" t="str">
        <f t="shared" si="239"/>
        <v xml:space="preserve"> </v>
      </c>
      <c r="CG569" s="167" t="str">
        <f t="shared" si="239"/>
        <v xml:space="preserve"> </v>
      </c>
      <c r="CH569" s="167" t="str">
        <f t="shared" si="239"/>
        <v xml:space="preserve"> </v>
      </c>
      <c r="CI569" s="168" t="str">
        <f t="shared" si="239"/>
        <v xml:space="preserve"> </v>
      </c>
      <c r="CJ569" s="101"/>
      <c r="CK569" s="165"/>
    </row>
    <row r="570" spans="1:89">
      <c r="A570" s="238" t="str">
        <f t="shared" si="236"/>
        <v xml:space="preserve"> </v>
      </c>
      <c r="B570" s="253"/>
      <c r="C570" s="247"/>
      <c r="D570" s="240" t="str">
        <f t="shared" si="237"/>
        <v xml:space="preserve"> </v>
      </c>
      <c r="E570" s="240" t="str">
        <f t="shared" si="237"/>
        <v xml:space="preserve"> </v>
      </c>
      <c r="F570" s="240" t="str">
        <f t="shared" si="237"/>
        <v xml:space="preserve"> </v>
      </c>
      <c r="G570" s="240" t="str">
        <f t="shared" si="237"/>
        <v xml:space="preserve"> </v>
      </c>
      <c r="H570" s="240" t="str">
        <f t="shared" si="237"/>
        <v xml:space="preserve"> </v>
      </c>
      <c r="I570" s="251" t="str">
        <f t="shared" si="237"/>
        <v xml:space="preserve"> </v>
      </c>
      <c r="J570" s="253"/>
      <c r="K570" s="254"/>
      <c r="CA570" s="238" t="str">
        <f t="shared" si="238"/>
        <v xml:space="preserve"> </v>
      </c>
      <c r="CB570" s="253"/>
      <c r="CC570" s="247"/>
      <c r="CD570" s="240" t="str">
        <f t="shared" si="239"/>
        <v xml:space="preserve"> </v>
      </c>
      <c r="CE570" s="240" t="str">
        <f t="shared" si="239"/>
        <v xml:space="preserve"> </v>
      </c>
      <c r="CF570" s="240" t="str">
        <f t="shared" si="239"/>
        <v xml:space="preserve"> </v>
      </c>
      <c r="CG570" s="240" t="str">
        <f t="shared" si="239"/>
        <v xml:space="preserve"> </v>
      </c>
      <c r="CH570" s="240" t="str">
        <f t="shared" si="239"/>
        <v xml:space="preserve"> </v>
      </c>
      <c r="CI570" s="251" t="str">
        <f t="shared" si="239"/>
        <v xml:space="preserve"> </v>
      </c>
      <c r="CJ570" s="253"/>
      <c r="CK570" s="254"/>
    </row>
    <row r="571" spans="1:89">
      <c r="A571" s="166" t="str">
        <f t="shared" si="236"/>
        <v xml:space="preserve"> </v>
      </c>
      <c r="B571" s="101"/>
      <c r="C571" s="100"/>
      <c r="D571" s="167" t="str">
        <f t="shared" si="237"/>
        <v xml:space="preserve"> </v>
      </c>
      <c r="E571" s="167" t="str">
        <f t="shared" si="237"/>
        <v xml:space="preserve"> </v>
      </c>
      <c r="F571" s="167" t="str">
        <f t="shared" si="237"/>
        <v xml:space="preserve"> </v>
      </c>
      <c r="G571" s="167" t="str">
        <f t="shared" si="237"/>
        <v xml:space="preserve"> </v>
      </c>
      <c r="H571" s="167" t="str">
        <f t="shared" si="237"/>
        <v xml:space="preserve"> </v>
      </c>
      <c r="I571" s="168" t="str">
        <f t="shared" si="237"/>
        <v xml:space="preserve"> </v>
      </c>
      <c r="J571" s="101"/>
      <c r="K571" s="165"/>
      <c r="CA571" s="166" t="str">
        <f t="shared" si="238"/>
        <v xml:space="preserve"> </v>
      </c>
      <c r="CB571" s="101"/>
      <c r="CC571" s="100"/>
      <c r="CD571" s="167" t="str">
        <f t="shared" si="239"/>
        <v xml:space="preserve"> </v>
      </c>
      <c r="CE571" s="167" t="str">
        <f t="shared" si="239"/>
        <v xml:space="preserve"> </v>
      </c>
      <c r="CF571" s="167" t="str">
        <f t="shared" si="239"/>
        <v xml:space="preserve"> </v>
      </c>
      <c r="CG571" s="167" t="str">
        <f t="shared" si="239"/>
        <v xml:space="preserve"> </v>
      </c>
      <c r="CH571" s="167" t="str">
        <f t="shared" si="239"/>
        <v xml:space="preserve"> </v>
      </c>
      <c r="CI571" s="168" t="str">
        <f t="shared" si="239"/>
        <v xml:space="preserve"> </v>
      </c>
      <c r="CJ571" s="101"/>
      <c r="CK571" s="165"/>
    </row>
    <row r="572" spans="1:89">
      <c r="A572" s="238" t="str">
        <f t="shared" si="236"/>
        <v xml:space="preserve"> </v>
      </c>
      <c r="B572" s="253"/>
      <c r="C572" s="247"/>
      <c r="D572" s="240" t="str">
        <f t="shared" si="237"/>
        <v xml:space="preserve"> </v>
      </c>
      <c r="E572" s="240" t="str">
        <f t="shared" si="237"/>
        <v xml:space="preserve"> </v>
      </c>
      <c r="F572" s="240" t="str">
        <f t="shared" si="237"/>
        <v xml:space="preserve"> </v>
      </c>
      <c r="G572" s="240" t="str">
        <f t="shared" si="237"/>
        <v xml:space="preserve"> </v>
      </c>
      <c r="H572" s="240" t="str">
        <f t="shared" si="237"/>
        <v xml:space="preserve"> </v>
      </c>
      <c r="I572" s="251" t="str">
        <f t="shared" si="237"/>
        <v xml:space="preserve"> </v>
      </c>
      <c r="J572" s="253"/>
      <c r="K572" s="254"/>
      <c r="CA572" s="238" t="str">
        <f t="shared" si="238"/>
        <v xml:space="preserve"> </v>
      </c>
      <c r="CB572" s="253"/>
      <c r="CC572" s="247"/>
      <c r="CD572" s="240" t="str">
        <f t="shared" si="239"/>
        <v xml:space="preserve"> </v>
      </c>
      <c r="CE572" s="240" t="str">
        <f t="shared" si="239"/>
        <v xml:space="preserve"> </v>
      </c>
      <c r="CF572" s="240" t="str">
        <f t="shared" si="239"/>
        <v xml:space="preserve"> </v>
      </c>
      <c r="CG572" s="240" t="str">
        <f t="shared" si="239"/>
        <v xml:space="preserve"> </v>
      </c>
      <c r="CH572" s="240" t="str">
        <f t="shared" si="239"/>
        <v xml:space="preserve"> </v>
      </c>
      <c r="CI572" s="251" t="str">
        <f t="shared" si="239"/>
        <v xml:space="preserve"> </v>
      </c>
      <c r="CJ572" s="253"/>
      <c r="CK572" s="254"/>
    </row>
    <row r="573" spans="1:89">
      <c r="A573" s="166" t="str">
        <f t="shared" si="236"/>
        <v xml:space="preserve"> </v>
      </c>
      <c r="B573" s="101"/>
      <c r="C573" s="100"/>
      <c r="D573" s="167" t="str">
        <f t="shared" si="237"/>
        <v xml:space="preserve"> </v>
      </c>
      <c r="E573" s="167" t="str">
        <f t="shared" si="237"/>
        <v xml:space="preserve"> </v>
      </c>
      <c r="F573" s="167" t="str">
        <f t="shared" si="237"/>
        <v xml:space="preserve"> </v>
      </c>
      <c r="G573" s="167" t="str">
        <f t="shared" si="237"/>
        <v xml:space="preserve"> </v>
      </c>
      <c r="H573" s="167" t="str">
        <f t="shared" si="237"/>
        <v xml:space="preserve"> </v>
      </c>
      <c r="I573" s="168" t="str">
        <f t="shared" si="237"/>
        <v xml:space="preserve"> </v>
      </c>
      <c r="J573" s="101"/>
      <c r="K573" s="165"/>
      <c r="CA573" s="166" t="str">
        <f t="shared" si="238"/>
        <v xml:space="preserve"> </v>
      </c>
      <c r="CB573" s="101"/>
      <c r="CC573" s="100"/>
      <c r="CD573" s="167" t="str">
        <f t="shared" si="239"/>
        <v xml:space="preserve"> </v>
      </c>
      <c r="CE573" s="167" t="str">
        <f t="shared" si="239"/>
        <v xml:space="preserve"> </v>
      </c>
      <c r="CF573" s="167" t="str">
        <f t="shared" si="239"/>
        <v xml:space="preserve"> </v>
      </c>
      <c r="CG573" s="167" t="str">
        <f t="shared" si="239"/>
        <v xml:space="preserve"> </v>
      </c>
      <c r="CH573" s="167" t="str">
        <f t="shared" si="239"/>
        <v xml:space="preserve"> </v>
      </c>
      <c r="CI573" s="168" t="str">
        <f t="shared" si="239"/>
        <v xml:space="preserve"> </v>
      </c>
      <c r="CJ573" s="101"/>
      <c r="CK573" s="165"/>
    </row>
    <row r="574" spans="1:89">
      <c r="A574" s="238" t="str">
        <f t="shared" si="236"/>
        <v xml:space="preserve"> </v>
      </c>
      <c r="B574" s="253"/>
      <c r="C574" s="247"/>
      <c r="D574" s="240" t="str">
        <f t="shared" si="237"/>
        <v xml:space="preserve"> </v>
      </c>
      <c r="E574" s="240" t="str">
        <f t="shared" si="237"/>
        <v xml:space="preserve"> </v>
      </c>
      <c r="F574" s="240" t="str">
        <f t="shared" si="237"/>
        <v xml:space="preserve"> </v>
      </c>
      <c r="G574" s="240" t="str">
        <f t="shared" si="237"/>
        <v xml:space="preserve"> </v>
      </c>
      <c r="H574" s="240" t="str">
        <f t="shared" si="237"/>
        <v xml:space="preserve"> </v>
      </c>
      <c r="I574" s="251" t="str">
        <f t="shared" si="237"/>
        <v xml:space="preserve"> </v>
      </c>
      <c r="J574" s="253"/>
      <c r="K574" s="254"/>
      <c r="CA574" s="238" t="str">
        <f t="shared" si="238"/>
        <v xml:space="preserve"> </v>
      </c>
      <c r="CB574" s="253"/>
      <c r="CC574" s="247"/>
      <c r="CD574" s="240" t="str">
        <f t="shared" si="239"/>
        <v xml:space="preserve"> </v>
      </c>
      <c r="CE574" s="240" t="str">
        <f t="shared" si="239"/>
        <v xml:space="preserve"> </v>
      </c>
      <c r="CF574" s="240" t="str">
        <f t="shared" si="239"/>
        <v xml:space="preserve"> </v>
      </c>
      <c r="CG574" s="240" t="str">
        <f t="shared" si="239"/>
        <v xml:space="preserve"> </v>
      </c>
      <c r="CH574" s="240" t="str">
        <f t="shared" si="239"/>
        <v xml:space="preserve"> </v>
      </c>
      <c r="CI574" s="251" t="str">
        <f t="shared" si="239"/>
        <v xml:space="preserve"> </v>
      </c>
      <c r="CJ574" s="253"/>
      <c r="CK574" s="254"/>
    </row>
    <row r="575" spans="1:89">
      <c r="A575" s="166" t="str">
        <f t="shared" si="236"/>
        <v xml:space="preserve"> </v>
      </c>
      <c r="B575" s="101"/>
      <c r="C575" s="100"/>
      <c r="D575" s="167" t="str">
        <f t="shared" si="237"/>
        <v xml:space="preserve"> </v>
      </c>
      <c r="E575" s="167" t="str">
        <f t="shared" si="237"/>
        <v xml:space="preserve"> </v>
      </c>
      <c r="F575" s="167" t="str">
        <f t="shared" si="237"/>
        <v xml:space="preserve"> </v>
      </c>
      <c r="G575" s="167" t="str">
        <f t="shared" si="237"/>
        <v xml:space="preserve"> </v>
      </c>
      <c r="H575" s="167" t="str">
        <f t="shared" si="237"/>
        <v xml:space="preserve"> </v>
      </c>
      <c r="I575" s="168" t="str">
        <f t="shared" si="237"/>
        <v xml:space="preserve"> </v>
      </c>
      <c r="J575" s="101"/>
      <c r="K575" s="165"/>
      <c r="CA575" s="166" t="str">
        <f t="shared" si="238"/>
        <v xml:space="preserve"> </v>
      </c>
      <c r="CB575" s="101"/>
      <c r="CC575" s="100"/>
      <c r="CD575" s="167" t="str">
        <f t="shared" si="239"/>
        <v xml:space="preserve"> </v>
      </c>
      <c r="CE575" s="167" t="str">
        <f t="shared" si="239"/>
        <v xml:space="preserve"> </v>
      </c>
      <c r="CF575" s="167" t="str">
        <f t="shared" si="239"/>
        <v xml:space="preserve"> </v>
      </c>
      <c r="CG575" s="167" t="str">
        <f t="shared" si="239"/>
        <v xml:space="preserve"> </v>
      </c>
      <c r="CH575" s="167" t="str">
        <f t="shared" si="239"/>
        <v xml:space="preserve"> </v>
      </c>
      <c r="CI575" s="168" t="str">
        <f t="shared" si="239"/>
        <v xml:space="preserve"> </v>
      </c>
      <c r="CJ575" s="101"/>
      <c r="CK575" s="165"/>
    </row>
    <row r="576" spans="1:89">
      <c r="A576" s="238" t="str">
        <f t="shared" si="236"/>
        <v xml:space="preserve"> </v>
      </c>
      <c r="B576" s="253"/>
      <c r="C576" s="247"/>
      <c r="D576" s="240" t="str">
        <f t="shared" si="237"/>
        <v xml:space="preserve"> </v>
      </c>
      <c r="E576" s="240" t="str">
        <f t="shared" si="237"/>
        <v xml:space="preserve"> </v>
      </c>
      <c r="F576" s="240" t="str">
        <f t="shared" si="237"/>
        <v xml:space="preserve"> </v>
      </c>
      <c r="G576" s="240" t="str">
        <f t="shared" si="237"/>
        <v xml:space="preserve"> </v>
      </c>
      <c r="H576" s="240" t="str">
        <f t="shared" si="237"/>
        <v xml:space="preserve"> </v>
      </c>
      <c r="I576" s="251" t="str">
        <f t="shared" si="237"/>
        <v xml:space="preserve"> </v>
      </c>
      <c r="J576" s="253"/>
      <c r="K576" s="254"/>
      <c r="CA576" s="238" t="str">
        <f t="shared" si="238"/>
        <v xml:space="preserve"> </v>
      </c>
      <c r="CB576" s="253"/>
      <c r="CC576" s="247"/>
      <c r="CD576" s="240" t="str">
        <f t="shared" si="239"/>
        <v xml:space="preserve"> </v>
      </c>
      <c r="CE576" s="240" t="str">
        <f t="shared" si="239"/>
        <v xml:space="preserve"> </v>
      </c>
      <c r="CF576" s="240" t="str">
        <f t="shared" si="239"/>
        <v xml:space="preserve"> </v>
      </c>
      <c r="CG576" s="240" t="str">
        <f t="shared" si="239"/>
        <v xml:space="preserve"> </v>
      </c>
      <c r="CH576" s="240" t="str">
        <f t="shared" si="239"/>
        <v xml:space="preserve"> </v>
      </c>
      <c r="CI576" s="251" t="str">
        <f t="shared" si="239"/>
        <v xml:space="preserve"> </v>
      </c>
      <c r="CJ576" s="253"/>
      <c r="CK576" s="254"/>
    </row>
    <row r="577" spans="1:89">
      <c r="A577" s="166" t="str">
        <f t="shared" si="236"/>
        <v xml:space="preserve"> </v>
      </c>
      <c r="B577" s="101"/>
      <c r="C577" s="100"/>
      <c r="D577" s="167" t="str">
        <f t="shared" si="237"/>
        <v xml:space="preserve"> </v>
      </c>
      <c r="E577" s="167" t="str">
        <f t="shared" si="237"/>
        <v xml:space="preserve"> </v>
      </c>
      <c r="F577" s="167" t="str">
        <f t="shared" si="237"/>
        <v xml:space="preserve"> </v>
      </c>
      <c r="G577" s="167" t="str">
        <f t="shared" si="237"/>
        <v xml:space="preserve"> </v>
      </c>
      <c r="H577" s="167" t="str">
        <f t="shared" si="237"/>
        <v xml:space="preserve"> </v>
      </c>
      <c r="I577" s="168" t="str">
        <f t="shared" si="237"/>
        <v xml:space="preserve"> </v>
      </c>
      <c r="J577" s="101"/>
      <c r="K577" s="165"/>
      <c r="CA577" s="166" t="str">
        <f t="shared" si="238"/>
        <v xml:space="preserve"> </v>
      </c>
      <c r="CB577" s="101"/>
      <c r="CC577" s="100"/>
      <c r="CD577" s="167" t="str">
        <f t="shared" si="239"/>
        <v xml:space="preserve"> </v>
      </c>
      <c r="CE577" s="167" t="str">
        <f t="shared" si="239"/>
        <v xml:space="preserve"> </v>
      </c>
      <c r="CF577" s="167" t="str">
        <f t="shared" si="239"/>
        <v xml:space="preserve"> </v>
      </c>
      <c r="CG577" s="167" t="str">
        <f t="shared" si="239"/>
        <v xml:space="preserve"> </v>
      </c>
      <c r="CH577" s="167" t="str">
        <f t="shared" si="239"/>
        <v xml:space="preserve"> </v>
      </c>
      <c r="CI577" s="168" t="str">
        <f t="shared" si="239"/>
        <v xml:space="preserve"> </v>
      </c>
      <c r="CJ577" s="101"/>
      <c r="CK577" s="165"/>
    </row>
    <row r="578" spans="1:89">
      <c r="A578" s="238" t="str">
        <f t="shared" si="236"/>
        <v xml:space="preserve"> </v>
      </c>
      <c r="B578" s="253"/>
      <c r="C578" s="247"/>
      <c r="D578" s="240" t="str">
        <f t="shared" si="237"/>
        <v xml:space="preserve"> </v>
      </c>
      <c r="E578" s="240" t="str">
        <f t="shared" si="237"/>
        <v xml:space="preserve"> </v>
      </c>
      <c r="F578" s="240" t="str">
        <f t="shared" si="237"/>
        <v xml:space="preserve"> </v>
      </c>
      <c r="G578" s="240" t="str">
        <f t="shared" si="237"/>
        <v xml:space="preserve"> </v>
      </c>
      <c r="H578" s="240" t="str">
        <f t="shared" si="237"/>
        <v xml:space="preserve"> </v>
      </c>
      <c r="I578" s="251" t="str">
        <f t="shared" si="237"/>
        <v xml:space="preserve"> </v>
      </c>
      <c r="J578" s="253"/>
      <c r="K578" s="254"/>
      <c r="CA578" s="238" t="str">
        <f t="shared" si="238"/>
        <v xml:space="preserve"> </v>
      </c>
      <c r="CB578" s="253"/>
      <c r="CC578" s="247"/>
      <c r="CD578" s="240" t="str">
        <f t="shared" si="239"/>
        <v xml:space="preserve"> </v>
      </c>
      <c r="CE578" s="240" t="str">
        <f t="shared" si="239"/>
        <v xml:space="preserve"> </v>
      </c>
      <c r="CF578" s="240" t="str">
        <f t="shared" si="239"/>
        <v xml:space="preserve"> </v>
      </c>
      <c r="CG578" s="240" t="str">
        <f t="shared" si="239"/>
        <v xml:space="preserve"> </v>
      </c>
      <c r="CH578" s="240" t="str">
        <f t="shared" si="239"/>
        <v xml:space="preserve"> </v>
      </c>
      <c r="CI578" s="251" t="str">
        <f t="shared" si="239"/>
        <v xml:space="preserve"> </v>
      </c>
      <c r="CJ578" s="253"/>
      <c r="CK578" s="254"/>
    </row>
    <row r="579" spans="1:89">
      <c r="A579" s="166" t="str">
        <f t="shared" si="236"/>
        <v xml:space="preserve"> </v>
      </c>
      <c r="B579" s="101"/>
      <c r="C579" s="100"/>
      <c r="D579" s="167" t="str">
        <f t="shared" si="237"/>
        <v xml:space="preserve"> </v>
      </c>
      <c r="E579" s="167" t="str">
        <f t="shared" si="237"/>
        <v xml:space="preserve"> </v>
      </c>
      <c r="F579" s="167" t="str">
        <f t="shared" si="237"/>
        <v xml:space="preserve"> </v>
      </c>
      <c r="G579" s="167" t="str">
        <f t="shared" si="237"/>
        <v xml:space="preserve"> </v>
      </c>
      <c r="H579" s="167" t="str">
        <f t="shared" si="237"/>
        <v xml:space="preserve"> </v>
      </c>
      <c r="I579" s="168" t="str">
        <f t="shared" si="237"/>
        <v xml:space="preserve"> </v>
      </c>
      <c r="J579" s="101"/>
      <c r="K579" s="165"/>
      <c r="CA579" s="166" t="str">
        <f t="shared" si="238"/>
        <v xml:space="preserve"> </v>
      </c>
      <c r="CB579" s="101"/>
      <c r="CC579" s="100"/>
      <c r="CD579" s="167" t="str">
        <f t="shared" si="239"/>
        <v xml:space="preserve"> </v>
      </c>
      <c r="CE579" s="167" t="str">
        <f t="shared" si="239"/>
        <v xml:space="preserve"> </v>
      </c>
      <c r="CF579" s="167" t="str">
        <f t="shared" si="239"/>
        <v xml:space="preserve"> </v>
      </c>
      <c r="CG579" s="167" t="str">
        <f t="shared" si="239"/>
        <v xml:space="preserve"> </v>
      </c>
      <c r="CH579" s="167" t="str">
        <f t="shared" si="239"/>
        <v xml:space="preserve"> </v>
      </c>
      <c r="CI579" s="168" t="str">
        <f t="shared" si="239"/>
        <v xml:space="preserve"> </v>
      </c>
      <c r="CJ579" s="101"/>
      <c r="CK579" s="165"/>
    </row>
    <row r="580" spans="1:89">
      <c r="A580" s="238" t="str">
        <f t="shared" si="236"/>
        <v xml:space="preserve"> </v>
      </c>
      <c r="B580" s="253"/>
      <c r="C580" s="247"/>
      <c r="D580" s="240" t="str">
        <f t="shared" si="237"/>
        <v xml:space="preserve"> </v>
      </c>
      <c r="E580" s="240" t="str">
        <f t="shared" si="237"/>
        <v xml:space="preserve"> </v>
      </c>
      <c r="F580" s="240" t="str">
        <f t="shared" si="237"/>
        <v xml:space="preserve"> </v>
      </c>
      <c r="G580" s="240" t="str">
        <f t="shared" si="237"/>
        <v xml:space="preserve"> </v>
      </c>
      <c r="H580" s="240" t="str">
        <f t="shared" si="237"/>
        <v xml:space="preserve"> </v>
      </c>
      <c r="I580" s="251" t="str">
        <f t="shared" si="237"/>
        <v xml:space="preserve"> </v>
      </c>
      <c r="J580" s="253"/>
      <c r="K580" s="254"/>
      <c r="CA580" s="238" t="str">
        <f t="shared" si="238"/>
        <v xml:space="preserve"> </v>
      </c>
      <c r="CB580" s="253"/>
      <c r="CC580" s="247"/>
      <c r="CD580" s="240" t="str">
        <f t="shared" si="239"/>
        <v xml:space="preserve"> </v>
      </c>
      <c r="CE580" s="240" t="str">
        <f t="shared" si="239"/>
        <v xml:space="preserve"> </v>
      </c>
      <c r="CF580" s="240" t="str">
        <f t="shared" si="239"/>
        <v xml:space="preserve"> </v>
      </c>
      <c r="CG580" s="240" t="str">
        <f t="shared" si="239"/>
        <v xml:space="preserve"> </v>
      </c>
      <c r="CH580" s="240" t="str">
        <f t="shared" si="239"/>
        <v xml:space="preserve"> </v>
      </c>
      <c r="CI580" s="251" t="str">
        <f t="shared" si="239"/>
        <v xml:space="preserve"> </v>
      </c>
      <c r="CJ580" s="253"/>
      <c r="CK580" s="254"/>
    </row>
    <row r="581" spans="1:89">
      <c r="A581" s="166" t="str">
        <f t="shared" si="236"/>
        <v xml:space="preserve"> </v>
      </c>
      <c r="B581" s="101"/>
      <c r="C581" s="100"/>
      <c r="D581" s="167" t="str">
        <f t="shared" ref="D581:I582" si="240">IF(AND(D1381&gt;0,$E$134&gt;3),D1381," ")</f>
        <v xml:space="preserve"> </v>
      </c>
      <c r="E581" s="167" t="str">
        <f t="shared" si="240"/>
        <v xml:space="preserve"> </v>
      </c>
      <c r="F581" s="167" t="str">
        <f t="shared" si="240"/>
        <v xml:space="preserve"> </v>
      </c>
      <c r="G581" s="167" t="str">
        <f t="shared" si="240"/>
        <v xml:space="preserve"> </v>
      </c>
      <c r="H581" s="167" t="str">
        <f t="shared" si="240"/>
        <v xml:space="preserve"> </v>
      </c>
      <c r="I581" s="168" t="str">
        <f t="shared" si="240"/>
        <v xml:space="preserve"> </v>
      </c>
      <c r="J581" s="101"/>
      <c r="K581" s="165"/>
      <c r="CA581" s="166" t="str">
        <f t="shared" si="238"/>
        <v xml:space="preserve"> </v>
      </c>
      <c r="CB581" s="101"/>
      <c r="CC581" s="100"/>
      <c r="CD581" s="167" t="str">
        <f t="shared" ref="CD581:CI582" si="241">IF(AND(CD1381&gt;0,$E$134&gt;3),CD1381," ")</f>
        <v xml:space="preserve"> </v>
      </c>
      <c r="CE581" s="167" t="str">
        <f t="shared" si="241"/>
        <v xml:space="preserve"> </v>
      </c>
      <c r="CF581" s="167" t="str">
        <f t="shared" si="241"/>
        <v xml:space="preserve"> </v>
      </c>
      <c r="CG581" s="167" t="str">
        <f t="shared" si="241"/>
        <v xml:space="preserve"> </v>
      </c>
      <c r="CH581" s="167" t="str">
        <f t="shared" si="241"/>
        <v xml:space="preserve"> </v>
      </c>
      <c r="CI581" s="168" t="str">
        <f t="shared" si="241"/>
        <v xml:space="preserve"> </v>
      </c>
      <c r="CJ581" s="101"/>
      <c r="CK581" s="165"/>
    </row>
    <row r="582" spans="1:89">
      <c r="A582" s="246" t="str">
        <f t="shared" si="236"/>
        <v xml:space="preserve"> </v>
      </c>
      <c r="B582" s="258"/>
      <c r="C582" s="247"/>
      <c r="D582" s="247" t="str">
        <f t="shared" si="240"/>
        <v xml:space="preserve"> </v>
      </c>
      <c r="E582" s="247" t="str">
        <f t="shared" si="240"/>
        <v xml:space="preserve"> </v>
      </c>
      <c r="F582" s="247" t="str">
        <f t="shared" si="240"/>
        <v xml:space="preserve"> </v>
      </c>
      <c r="G582" s="247" t="str">
        <f t="shared" si="240"/>
        <v xml:space="preserve"> </v>
      </c>
      <c r="H582" s="247" t="str">
        <f t="shared" si="240"/>
        <v xml:space="preserve"> </v>
      </c>
      <c r="I582" s="256" t="str">
        <f t="shared" si="240"/>
        <v xml:space="preserve"> </v>
      </c>
      <c r="J582" s="258"/>
      <c r="K582" s="259"/>
      <c r="CA582" s="246" t="str">
        <f t="shared" si="238"/>
        <v xml:space="preserve"> </v>
      </c>
      <c r="CB582" s="258"/>
      <c r="CC582" s="247"/>
      <c r="CD582" s="247" t="str">
        <f t="shared" si="241"/>
        <v xml:space="preserve"> </v>
      </c>
      <c r="CE582" s="247" t="str">
        <f t="shared" si="241"/>
        <v xml:space="preserve"> </v>
      </c>
      <c r="CF582" s="247" t="str">
        <f t="shared" si="241"/>
        <v xml:space="preserve"> </v>
      </c>
      <c r="CG582" s="247" t="str">
        <f t="shared" si="241"/>
        <v xml:space="preserve"> </v>
      </c>
      <c r="CH582" s="247" t="str">
        <f t="shared" si="241"/>
        <v xml:space="preserve"> </v>
      </c>
      <c r="CI582" s="256" t="str">
        <f t="shared" si="241"/>
        <v xml:space="preserve"> </v>
      </c>
      <c r="CJ582" s="258"/>
      <c r="CK582" s="259"/>
    </row>
    <row r="583" spans="1:89">
      <c r="A583" s="179" t="s">
        <v>5026</v>
      </c>
      <c r="B583" s="102"/>
      <c r="C583" s="175" t="s">
        <v>5018</v>
      </c>
      <c r="D583" s="175" t="s">
        <v>5701</v>
      </c>
      <c r="E583" s="175" t="s">
        <v>5019</v>
      </c>
      <c r="F583" s="175" t="s">
        <v>5020</v>
      </c>
      <c r="G583" s="175" t="s">
        <v>5021</v>
      </c>
      <c r="H583" s="175" t="s">
        <v>5022</v>
      </c>
      <c r="I583" s="221" t="s">
        <v>5316</v>
      </c>
      <c r="J583" s="176"/>
      <c r="K583" s="180"/>
      <c r="CA583" s="179" t="s">
        <v>5026</v>
      </c>
      <c r="CB583" s="102"/>
      <c r="CC583" s="175" t="s">
        <v>5018</v>
      </c>
      <c r="CD583" s="175" t="s">
        <v>5701</v>
      </c>
      <c r="CE583" s="175" t="s">
        <v>5019</v>
      </c>
      <c r="CF583" s="175" t="s">
        <v>5020</v>
      </c>
      <c r="CG583" s="175" t="s">
        <v>5021</v>
      </c>
      <c r="CH583" s="175" t="s">
        <v>5022</v>
      </c>
      <c r="CI583" s="221" t="s">
        <v>5316</v>
      </c>
      <c r="CJ583" s="176"/>
      <c r="CK583" s="180"/>
    </row>
    <row r="584" spans="1:89">
      <c r="A584" s="166" t="str">
        <f t="shared" ref="A584:A602" si="242">IF(AND(A1384&gt;0,$E$134&gt;4),A1384," ")</f>
        <v xml:space="preserve"> </v>
      </c>
      <c r="B584" s="101"/>
      <c r="C584" s="100"/>
      <c r="D584" s="167" t="str">
        <f t="shared" ref="D584:I599" si="243">IF(AND(D1384&gt;0,$E$134&gt;4),D1384," ")</f>
        <v xml:space="preserve"> </v>
      </c>
      <c r="E584" s="167" t="str">
        <f t="shared" si="243"/>
        <v xml:space="preserve"> </v>
      </c>
      <c r="F584" s="167" t="str">
        <f t="shared" si="243"/>
        <v xml:space="preserve"> </v>
      </c>
      <c r="G584" s="167" t="str">
        <f t="shared" si="243"/>
        <v xml:space="preserve"> </v>
      </c>
      <c r="H584" s="167" t="str">
        <f t="shared" si="243"/>
        <v xml:space="preserve"> </v>
      </c>
      <c r="I584" s="168" t="str">
        <f t="shared" si="243"/>
        <v xml:space="preserve"> </v>
      </c>
      <c r="J584" s="101"/>
      <c r="K584" s="165"/>
      <c r="CA584" s="166" t="str">
        <f t="shared" ref="CA584:CA602" si="244">IF(AND(CA1384&gt;0,$E$134&gt;4),CA1384," ")</f>
        <v xml:space="preserve"> </v>
      </c>
      <c r="CB584" s="101"/>
      <c r="CC584" s="100"/>
      <c r="CD584" s="167" t="str">
        <f t="shared" ref="CD584:CI599" si="245">IF(AND(CD1384&gt;0,$E$134&gt;4),CD1384," ")</f>
        <v xml:space="preserve"> </v>
      </c>
      <c r="CE584" s="167" t="str">
        <f t="shared" si="245"/>
        <v xml:space="preserve"> </v>
      </c>
      <c r="CF584" s="167" t="str">
        <f t="shared" si="245"/>
        <v xml:space="preserve"> </v>
      </c>
      <c r="CG584" s="167" t="str">
        <f t="shared" si="245"/>
        <v xml:space="preserve"> </v>
      </c>
      <c r="CH584" s="167" t="str">
        <f t="shared" si="245"/>
        <v xml:space="preserve"> </v>
      </c>
      <c r="CI584" s="168" t="str">
        <f t="shared" si="245"/>
        <v xml:space="preserve"> </v>
      </c>
      <c r="CJ584" s="101"/>
      <c r="CK584" s="165"/>
    </row>
    <row r="585" spans="1:89">
      <c r="A585" s="238" t="str">
        <f t="shared" si="242"/>
        <v xml:space="preserve"> </v>
      </c>
      <c r="B585" s="253"/>
      <c r="C585" s="247"/>
      <c r="D585" s="240" t="str">
        <f t="shared" si="243"/>
        <v xml:space="preserve"> </v>
      </c>
      <c r="E585" s="240" t="str">
        <f t="shared" si="243"/>
        <v xml:space="preserve"> </v>
      </c>
      <c r="F585" s="240" t="str">
        <f t="shared" si="243"/>
        <v xml:space="preserve"> </v>
      </c>
      <c r="G585" s="240" t="str">
        <f t="shared" si="243"/>
        <v xml:space="preserve"> </v>
      </c>
      <c r="H585" s="240" t="str">
        <f t="shared" si="243"/>
        <v xml:space="preserve"> </v>
      </c>
      <c r="I585" s="251" t="str">
        <f t="shared" si="243"/>
        <v xml:space="preserve"> </v>
      </c>
      <c r="J585" s="253"/>
      <c r="K585" s="254"/>
      <c r="CA585" s="238" t="str">
        <f t="shared" si="244"/>
        <v xml:space="preserve"> </v>
      </c>
      <c r="CB585" s="253"/>
      <c r="CC585" s="247"/>
      <c r="CD585" s="240" t="str">
        <f t="shared" si="245"/>
        <v xml:space="preserve"> </v>
      </c>
      <c r="CE585" s="240" t="str">
        <f t="shared" si="245"/>
        <v xml:space="preserve"> </v>
      </c>
      <c r="CF585" s="240" t="str">
        <f t="shared" si="245"/>
        <v xml:space="preserve"> </v>
      </c>
      <c r="CG585" s="240" t="str">
        <f t="shared" si="245"/>
        <v xml:space="preserve"> </v>
      </c>
      <c r="CH585" s="240" t="str">
        <f t="shared" si="245"/>
        <v xml:space="preserve"> </v>
      </c>
      <c r="CI585" s="251" t="str">
        <f t="shared" si="245"/>
        <v xml:space="preserve"> </v>
      </c>
      <c r="CJ585" s="253"/>
      <c r="CK585" s="254"/>
    </row>
    <row r="586" spans="1:89">
      <c r="A586" s="166" t="str">
        <f t="shared" si="242"/>
        <v xml:space="preserve"> </v>
      </c>
      <c r="B586" s="101"/>
      <c r="C586" s="100"/>
      <c r="D586" s="167" t="str">
        <f t="shared" si="243"/>
        <v xml:space="preserve"> </v>
      </c>
      <c r="E586" s="167" t="str">
        <f t="shared" si="243"/>
        <v xml:space="preserve"> </v>
      </c>
      <c r="F586" s="167" t="str">
        <f t="shared" si="243"/>
        <v xml:space="preserve"> </v>
      </c>
      <c r="G586" s="167" t="str">
        <f t="shared" si="243"/>
        <v xml:space="preserve"> </v>
      </c>
      <c r="H586" s="167" t="str">
        <f t="shared" si="243"/>
        <v xml:space="preserve"> </v>
      </c>
      <c r="I586" s="168" t="str">
        <f t="shared" si="243"/>
        <v xml:space="preserve"> </v>
      </c>
      <c r="J586" s="101"/>
      <c r="K586" s="165"/>
      <c r="CA586" s="166" t="str">
        <f t="shared" si="244"/>
        <v xml:space="preserve"> </v>
      </c>
      <c r="CB586" s="101"/>
      <c r="CC586" s="100"/>
      <c r="CD586" s="167" t="str">
        <f t="shared" si="245"/>
        <v xml:space="preserve"> </v>
      </c>
      <c r="CE586" s="167" t="str">
        <f t="shared" si="245"/>
        <v xml:space="preserve"> </v>
      </c>
      <c r="CF586" s="167" t="str">
        <f t="shared" si="245"/>
        <v xml:space="preserve"> </v>
      </c>
      <c r="CG586" s="167" t="str">
        <f t="shared" si="245"/>
        <v xml:space="preserve"> </v>
      </c>
      <c r="CH586" s="167" t="str">
        <f t="shared" si="245"/>
        <v xml:space="preserve"> </v>
      </c>
      <c r="CI586" s="168" t="str">
        <f t="shared" si="245"/>
        <v xml:space="preserve"> </v>
      </c>
      <c r="CJ586" s="101"/>
      <c r="CK586" s="165"/>
    </row>
    <row r="587" spans="1:89">
      <c r="A587" s="238" t="str">
        <f t="shared" si="242"/>
        <v xml:space="preserve"> </v>
      </c>
      <c r="B587" s="253"/>
      <c r="C587" s="247"/>
      <c r="D587" s="240" t="str">
        <f t="shared" si="243"/>
        <v xml:space="preserve"> </v>
      </c>
      <c r="E587" s="240" t="str">
        <f t="shared" si="243"/>
        <v xml:space="preserve"> </v>
      </c>
      <c r="F587" s="240" t="str">
        <f t="shared" si="243"/>
        <v xml:space="preserve"> </v>
      </c>
      <c r="G587" s="240" t="str">
        <f t="shared" si="243"/>
        <v xml:space="preserve"> </v>
      </c>
      <c r="H587" s="240" t="str">
        <f t="shared" si="243"/>
        <v xml:space="preserve"> </v>
      </c>
      <c r="I587" s="251" t="str">
        <f t="shared" si="243"/>
        <v xml:space="preserve"> </v>
      </c>
      <c r="J587" s="253"/>
      <c r="K587" s="254"/>
      <c r="CA587" s="238" t="str">
        <f t="shared" si="244"/>
        <v xml:space="preserve"> </v>
      </c>
      <c r="CB587" s="253"/>
      <c r="CC587" s="247"/>
      <c r="CD587" s="240" t="str">
        <f t="shared" si="245"/>
        <v xml:space="preserve"> </v>
      </c>
      <c r="CE587" s="240" t="str">
        <f t="shared" si="245"/>
        <v xml:space="preserve"> </v>
      </c>
      <c r="CF587" s="240" t="str">
        <f t="shared" si="245"/>
        <v xml:space="preserve"> </v>
      </c>
      <c r="CG587" s="240" t="str">
        <f t="shared" si="245"/>
        <v xml:space="preserve"> </v>
      </c>
      <c r="CH587" s="240" t="str">
        <f t="shared" si="245"/>
        <v xml:space="preserve"> </v>
      </c>
      <c r="CI587" s="251" t="str">
        <f t="shared" si="245"/>
        <v xml:space="preserve"> </v>
      </c>
      <c r="CJ587" s="253"/>
      <c r="CK587" s="254"/>
    </row>
    <row r="588" spans="1:89">
      <c r="A588" s="166" t="str">
        <f t="shared" si="242"/>
        <v xml:space="preserve"> </v>
      </c>
      <c r="B588" s="101"/>
      <c r="C588" s="100"/>
      <c r="D588" s="167" t="str">
        <f t="shared" si="243"/>
        <v xml:space="preserve"> </v>
      </c>
      <c r="E588" s="167" t="str">
        <f t="shared" si="243"/>
        <v xml:space="preserve"> </v>
      </c>
      <c r="F588" s="167" t="str">
        <f t="shared" si="243"/>
        <v xml:space="preserve"> </v>
      </c>
      <c r="G588" s="167" t="str">
        <f t="shared" si="243"/>
        <v xml:space="preserve"> </v>
      </c>
      <c r="H588" s="167" t="str">
        <f t="shared" si="243"/>
        <v xml:space="preserve"> </v>
      </c>
      <c r="I588" s="168" t="str">
        <f t="shared" si="243"/>
        <v xml:space="preserve"> </v>
      </c>
      <c r="J588" s="101"/>
      <c r="K588" s="165"/>
      <c r="CA588" s="166" t="str">
        <f t="shared" si="244"/>
        <v xml:space="preserve"> </v>
      </c>
      <c r="CB588" s="101"/>
      <c r="CC588" s="100"/>
      <c r="CD588" s="167" t="str">
        <f t="shared" si="245"/>
        <v xml:space="preserve"> </v>
      </c>
      <c r="CE588" s="167" t="str">
        <f t="shared" si="245"/>
        <v xml:space="preserve"> </v>
      </c>
      <c r="CF588" s="167" t="str">
        <f t="shared" si="245"/>
        <v xml:space="preserve"> </v>
      </c>
      <c r="CG588" s="167" t="str">
        <f t="shared" si="245"/>
        <v xml:space="preserve"> </v>
      </c>
      <c r="CH588" s="167" t="str">
        <f t="shared" si="245"/>
        <v xml:space="preserve"> </v>
      </c>
      <c r="CI588" s="168" t="str">
        <f t="shared" si="245"/>
        <v xml:space="preserve"> </v>
      </c>
      <c r="CJ588" s="101"/>
      <c r="CK588" s="165"/>
    </row>
    <row r="589" spans="1:89">
      <c r="A589" s="238" t="str">
        <f t="shared" si="242"/>
        <v xml:space="preserve"> </v>
      </c>
      <c r="B589" s="253"/>
      <c r="C589" s="247"/>
      <c r="D589" s="240" t="str">
        <f t="shared" si="243"/>
        <v xml:space="preserve"> </v>
      </c>
      <c r="E589" s="240" t="str">
        <f t="shared" si="243"/>
        <v xml:space="preserve"> </v>
      </c>
      <c r="F589" s="240" t="str">
        <f t="shared" si="243"/>
        <v xml:space="preserve"> </v>
      </c>
      <c r="G589" s="240" t="str">
        <f t="shared" si="243"/>
        <v xml:space="preserve"> </v>
      </c>
      <c r="H589" s="240" t="str">
        <f t="shared" si="243"/>
        <v xml:space="preserve"> </v>
      </c>
      <c r="I589" s="251" t="str">
        <f t="shared" si="243"/>
        <v xml:space="preserve"> </v>
      </c>
      <c r="J589" s="253"/>
      <c r="K589" s="254"/>
      <c r="CA589" s="238" t="str">
        <f t="shared" si="244"/>
        <v xml:space="preserve"> </v>
      </c>
      <c r="CB589" s="253"/>
      <c r="CC589" s="247"/>
      <c r="CD589" s="240" t="str">
        <f t="shared" si="245"/>
        <v xml:space="preserve"> </v>
      </c>
      <c r="CE589" s="240" t="str">
        <f t="shared" si="245"/>
        <v xml:space="preserve"> </v>
      </c>
      <c r="CF589" s="240" t="str">
        <f t="shared" si="245"/>
        <v xml:space="preserve"> </v>
      </c>
      <c r="CG589" s="240" t="str">
        <f t="shared" si="245"/>
        <v xml:space="preserve"> </v>
      </c>
      <c r="CH589" s="240" t="str">
        <f t="shared" si="245"/>
        <v xml:space="preserve"> </v>
      </c>
      <c r="CI589" s="251" t="str">
        <f t="shared" si="245"/>
        <v xml:space="preserve"> </v>
      </c>
      <c r="CJ589" s="253"/>
      <c r="CK589" s="254"/>
    </row>
    <row r="590" spans="1:89">
      <c r="A590" s="166" t="str">
        <f t="shared" si="242"/>
        <v xml:space="preserve"> </v>
      </c>
      <c r="B590" s="101"/>
      <c r="C590" s="100"/>
      <c r="D590" s="167" t="str">
        <f t="shared" si="243"/>
        <v xml:space="preserve"> </v>
      </c>
      <c r="E590" s="167" t="str">
        <f t="shared" si="243"/>
        <v xml:space="preserve"> </v>
      </c>
      <c r="F590" s="167" t="str">
        <f t="shared" si="243"/>
        <v xml:space="preserve"> </v>
      </c>
      <c r="G590" s="167" t="str">
        <f t="shared" si="243"/>
        <v xml:space="preserve"> </v>
      </c>
      <c r="H590" s="167" t="str">
        <f t="shared" si="243"/>
        <v xml:space="preserve"> </v>
      </c>
      <c r="I590" s="168" t="str">
        <f t="shared" si="243"/>
        <v xml:space="preserve"> </v>
      </c>
      <c r="J590" s="101"/>
      <c r="K590" s="165"/>
      <c r="CA590" s="166" t="str">
        <f t="shared" si="244"/>
        <v xml:space="preserve"> </v>
      </c>
      <c r="CB590" s="101"/>
      <c r="CC590" s="100"/>
      <c r="CD590" s="167" t="str">
        <f t="shared" si="245"/>
        <v xml:space="preserve"> </v>
      </c>
      <c r="CE590" s="167" t="str">
        <f t="shared" si="245"/>
        <v xml:space="preserve"> </v>
      </c>
      <c r="CF590" s="167" t="str">
        <f t="shared" si="245"/>
        <v xml:space="preserve"> </v>
      </c>
      <c r="CG590" s="167" t="str">
        <f t="shared" si="245"/>
        <v xml:space="preserve"> </v>
      </c>
      <c r="CH590" s="167" t="str">
        <f t="shared" si="245"/>
        <v xml:space="preserve"> </v>
      </c>
      <c r="CI590" s="168" t="str">
        <f t="shared" si="245"/>
        <v xml:space="preserve"> </v>
      </c>
      <c r="CJ590" s="101"/>
      <c r="CK590" s="165"/>
    </row>
    <row r="591" spans="1:89">
      <c r="A591" s="238" t="str">
        <f t="shared" si="242"/>
        <v xml:space="preserve"> </v>
      </c>
      <c r="B591" s="253"/>
      <c r="C591" s="247"/>
      <c r="D591" s="240" t="str">
        <f t="shared" si="243"/>
        <v xml:space="preserve"> </v>
      </c>
      <c r="E591" s="240" t="str">
        <f t="shared" si="243"/>
        <v xml:space="preserve"> </v>
      </c>
      <c r="F591" s="240" t="str">
        <f t="shared" si="243"/>
        <v xml:space="preserve"> </v>
      </c>
      <c r="G591" s="240" t="str">
        <f t="shared" si="243"/>
        <v xml:space="preserve"> </v>
      </c>
      <c r="H591" s="240" t="str">
        <f t="shared" si="243"/>
        <v xml:space="preserve"> </v>
      </c>
      <c r="I591" s="251" t="str">
        <f t="shared" si="243"/>
        <v xml:space="preserve"> </v>
      </c>
      <c r="J591" s="253"/>
      <c r="K591" s="254"/>
      <c r="CA591" s="238" t="str">
        <f t="shared" si="244"/>
        <v xml:space="preserve"> </v>
      </c>
      <c r="CB591" s="253"/>
      <c r="CC591" s="247"/>
      <c r="CD591" s="240" t="str">
        <f t="shared" si="245"/>
        <v xml:space="preserve"> </v>
      </c>
      <c r="CE591" s="240" t="str">
        <f t="shared" si="245"/>
        <v xml:space="preserve"> </v>
      </c>
      <c r="CF591" s="240" t="str">
        <f t="shared" si="245"/>
        <v xml:space="preserve"> </v>
      </c>
      <c r="CG591" s="240" t="str">
        <f t="shared" si="245"/>
        <v xml:space="preserve"> </v>
      </c>
      <c r="CH591" s="240" t="str">
        <f t="shared" si="245"/>
        <v xml:space="preserve"> </v>
      </c>
      <c r="CI591" s="251" t="str">
        <f t="shared" si="245"/>
        <v xml:space="preserve"> </v>
      </c>
      <c r="CJ591" s="253"/>
      <c r="CK591" s="254"/>
    </row>
    <row r="592" spans="1:89">
      <c r="A592" s="166" t="str">
        <f t="shared" si="242"/>
        <v xml:space="preserve"> </v>
      </c>
      <c r="B592" s="101"/>
      <c r="C592" s="100"/>
      <c r="D592" s="167" t="str">
        <f t="shared" si="243"/>
        <v xml:space="preserve"> </v>
      </c>
      <c r="E592" s="167" t="str">
        <f t="shared" si="243"/>
        <v xml:space="preserve"> </v>
      </c>
      <c r="F592" s="167" t="str">
        <f t="shared" si="243"/>
        <v xml:space="preserve"> </v>
      </c>
      <c r="G592" s="167" t="str">
        <f t="shared" si="243"/>
        <v xml:space="preserve"> </v>
      </c>
      <c r="H592" s="167" t="str">
        <f t="shared" si="243"/>
        <v xml:space="preserve"> </v>
      </c>
      <c r="I592" s="168" t="str">
        <f t="shared" si="243"/>
        <v xml:space="preserve"> </v>
      </c>
      <c r="J592" s="101"/>
      <c r="K592" s="165"/>
      <c r="CA592" s="166" t="str">
        <f t="shared" si="244"/>
        <v xml:space="preserve"> </v>
      </c>
      <c r="CB592" s="101"/>
      <c r="CC592" s="100"/>
      <c r="CD592" s="167" t="str">
        <f t="shared" si="245"/>
        <v xml:space="preserve"> </v>
      </c>
      <c r="CE592" s="167" t="str">
        <f t="shared" si="245"/>
        <v xml:space="preserve"> </v>
      </c>
      <c r="CF592" s="167" t="str">
        <f t="shared" si="245"/>
        <v xml:space="preserve"> </v>
      </c>
      <c r="CG592" s="167" t="str">
        <f t="shared" si="245"/>
        <v xml:space="preserve"> </v>
      </c>
      <c r="CH592" s="167" t="str">
        <f t="shared" si="245"/>
        <v xml:space="preserve"> </v>
      </c>
      <c r="CI592" s="168" t="str">
        <f t="shared" si="245"/>
        <v xml:space="preserve"> </v>
      </c>
      <c r="CJ592" s="101"/>
      <c r="CK592" s="165"/>
    </row>
    <row r="593" spans="1:89">
      <c r="A593" s="238" t="str">
        <f t="shared" si="242"/>
        <v xml:space="preserve"> </v>
      </c>
      <c r="B593" s="253"/>
      <c r="C593" s="247"/>
      <c r="D593" s="240" t="str">
        <f t="shared" si="243"/>
        <v xml:space="preserve"> </v>
      </c>
      <c r="E593" s="240" t="str">
        <f t="shared" si="243"/>
        <v xml:space="preserve"> </v>
      </c>
      <c r="F593" s="240" t="str">
        <f t="shared" si="243"/>
        <v xml:space="preserve"> </v>
      </c>
      <c r="G593" s="240" t="str">
        <f t="shared" si="243"/>
        <v xml:space="preserve"> </v>
      </c>
      <c r="H593" s="240" t="str">
        <f t="shared" si="243"/>
        <v xml:space="preserve"> </v>
      </c>
      <c r="I593" s="251" t="str">
        <f t="shared" si="243"/>
        <v xml:space="preserve"> </v>
      </c>
      <c r="J593" s="253"/>
      <c r="K593" s="254"/>
      <c r="CA593" s="238" t="str">
        <f t="shared" si="244"/>
        <v xml:space="preserve"> </v>
      </c>
      <c r="CB593" s="253"/>
      <c r="CC593" s="247"/>
      <c r="CD593" s="240" t="str">
        <f t="shared" si="245"/>
        <v xml:space="preserve"> </v>
      </c>
      <c r="CE593" s="240" t="str">
        <f t="shared" si="245"/>
        <v xml:space="preserve"> </v>
      </c>
      <c r="CF593" s="240" t="str">
        <f t="shared" si="245"/>
        <v xml:space="preserve"> </v>
      </c>
      <c r="CG593" s="240" t="str">
        <f t="shared" si="245"/>
        <v xml:space="preserve"> </v>
      </c>
      <c r="CH593" s="240" t="str">
        <f t="shared" si="245"/>
        <v xml:space="preserve"> </v>
      </c>
      <c r="CI593" s="251" t="str">
        <f t="shared" si="245"/>
        <v xml:space="preserve"> </v>
      </c>
      <c r="CJ593" s="253"/>
      <c r="CK593" s="254"/>
    </row>
    <row r="594" spans="1:89">
      <c r="A594" s="166" t="str">
        <f t="shared" si="242"/>
        <v xml:space="preserve"> </v>
      </c>
      <c r="B594" s="101"/>
      <c r="C594" s="100"/>
      <c r="D594" s="167" t="str">
        <f t="shared" si="243"/>
        <v xml:space="preserve"> </v>
      </c>
      <c r="E594" s="167" t="str">
        <f t="shared" si="243"/>
        <v xml:space="preserve"> </v>
      </c>
      <c r="F594" s="167" t="str">
        <f t="shared" si="243"/>
        <v xml:space="preserve"> </v>
      </c>
      <c r="G594" s="167" t="str">
        <f t="shared" si="243"/>
        <v xml:space="preserve"> </v>
      </c>
      <c r="H594" s="167" t="str">
        <f t="shared" si="243"/>
        <v xml:space="preserve"> </v>
      </c>
      <c r="I594" s="168" t="str">
        <f t="shared" si="243"/>
        <v xml:space="preserve"> </v>
      </c>
      <c r="J594" s="101"/>
      <c r="K594" s="165"/>
      <c r="CA594" s="166" t="str">
        <f t="shared" si="244"/>
        <v xml:space="preserve"> </v>
      </c>
      <c r="CB594" s="101"/>
      <c r="CC594" s="100"/>
      <c r="CD594" s="167" t="str">
        <f t="shared" si="245"/>
        <v xml:space="preserve"> </v>
      </c>
      <c r="CE594" s="167" t="str">
        <f t="shared" si="245"/>
        <v xml:space="preserve"> </v>
      </c>
      <c r="CF594" s="167" t="str">
        <f t="shared" si="245"/>
        <v xml:space="preserve"> </v>
      </c>
      <c r="CG594" s="167" t="str">
        <f t="shared" si="245"/>
        <v xml:space="preserve"> </v>
      </c>
      <c r="CH594" s="167" t="str">
        <f t="shared" si="245"/>
        <v xml:space="preserve"> </v>
      </c>
      <c r="CI594" s="168" t="str">
        <f t="shared" si="245"/>
        <v xml:space="preserve"> </v>
      </c>
      <c r="CJ594" s="101"/>
      <c r="CK594" s="165"/>
    </row>
    <row r="595" spans="1:89">
      <c r="A595" s="238" t="str">
        <f t="shared" si="242"/>
        <v xml:space="preserve"> </v>
      </c>
      <c r="B595" s="253"/>
      <c r="C595" s="247"/>
      <c r="D595" s="240" t="str">
        <f t="shared" si="243"/>
        <v xml:space="preserve"> </v>
      </c>
      <c r="E595" s="240" t="str">
        <f t="shared" si="243"/>
        <v xml:space="preserve"> </v>
      </c>
      <c r="F595" s="240" t="str">
        <f t="shared" si="243"/>
        <v xml:space="preserve"> </v>
      </c>
      <c r="G595" s="240" t="str">
        <f t="shared" si="243"/>
        <v xml:space="preserve"> </v>
      </c>
      <c r="H595" s="240" t="str">
        <f t="shared" si="243"/>
        <v xml:space="preserve"> </v>
      </c>
      <c r="I595" s="251" t="str">
        <f t="shared" si="243"/>
        <v xml:space="preserve"> </v>
      </c>
      <c r="J595" s="253"/>
      <c r="K595" s="254"/>
      <c r="CA595" s="238" t="str">
        <f t="shared" si="244"/>
        <v xml:space="preserve"> </v>
      </c>
      <c r="CB595" s="253"/>
      <c r="CC595" s="247"/>
      <c r="CD595" s="240" t="str">
        <f t="shared" si="245"/>
        <v xml:space="preserve"> </v>
      </c>
      <c r="CE595" s="240" t="str">
        <f t="shared" si="245"/>
        <v xml:space="preserve"> </v>
      </c>
      <c r="CF595" s="240" t="str">
        <f t="shared" si="245"/>
        <v xml:space="preserve"> </v>
      </c>
      <c r="CG595" s="240" t="str">
        <f t="shared" si="245"/>
        <v xml:space="preserve"> </v>
      </c>
      <c r="CH595" s="240" t="str">
        <f t="shared" si="245"/>
        <v xml:space="preserve"> </v>
      </c>
      <c r="CI595" s="251" t="str">
        <f t="shared" si="245"/>
        <v xml:space="preserve"> </v>
      </c>
      <c r="CJ595" s="253"/>
      <c r="CK595" s="254"/>
    </row>
    <row r="596" spans="1:89">
      <c r="A596" s="166" t="str">
        <f t="shared" si="242"/>
        <v xml:space="preserve"> </v>
      </c>
      <c r="B596" s="101"/>
      <c r="C596" s="100"/>
      <c r="D596" s="167" t="str">
        <f t="shared" si="243"/>
        <v xml:space="preserve"> </v>
      </c>
      <c r="E596" s="167" t="str">
        <f t="shared" si="243"/>
        <v xml:space="preserve"> </v>
      </c>
      <c r="F596" s="167" t="str">
        <f t="shared" si="243"/>
        <v xml:space="preserve"> </v>
      </c>
      <c r="G596" s="167" t="str">
        <f t="shared" si="243"/>
        <v xml:space="preserve"> </v>
      </c>
      <c r="H596" s="167" t="str">
        <f t="shared" si="243"/>
        <v xml:space="preserve"> </v>
      </c>
      <c r="I596" s="168" t="str">
        <f t="shared" si="243"/>
        <v xml:space="preserve"> </v>
      </c>
      <c r="J596" s="101"/>
      <c r="K596" s="165"/>
      <c r="CA596" s="166" t="str">
        <f t="shared" si="244"/>
        <v xml:space="preserve"> </v>
      </c>
      <c r="CB596" s="101"/>
      <c r="CC596" s="100"/>
      <c r="CD596" s="167" t="str">
        <f t="shared" si="245"/>
        <v xml:space="preserve"> </v>
      </c>
      <c r="CE596" s="167" t="str">
        <f t="shared" si="245"/>
        <v xml:space="preserve"> </v>
      </c>
      <c r="CF596" s="167" t="str">
        <f t="shared" si="245"/>
        <v xml:space="preserve"> </v>
      </c>
      <c r="CG596" s="167" t="str">
        <f t="shared" si="245"/>
        <v xml:space="preserve"> </v>
      </c>
      <c r="CH596" s="167" t="str">
        <f t="shared" si="245"/>
        <v xml:space="preserve"> </v>
      </c>
      <c r="CI596" s="168" t="str">
        <f t="shared" si="245"/>
        <v xml:space="preserve"> </v>
      </c>
      <c r="CJ596" s="101"/>
      <c r="CK596" s="165"/>
    </row>
    <row r="597" spans="1:89">
      <c r="A597" s="238" t="str">
        <f t="shared" si="242"/>
        <v xml:space="preserve"> </v>
      </c>
      <c r="B597" s="253"/>
      <c r="C597" s="247"/>
      <c r="D597" s="240" t="str">
        <f t="shared" si="243"/>
        <v xml:space="preserve"> </v>
      </c>
      <c r="E597" s="240" t="str">
        <f t="shared" si="243"/>
        <v xml:space="preserve"> </v>
      </c>
      <c r="F597" s="240" t="str">
        <f t="shared" si="243"/>
        <v xml:space="preserve"> </v>
      </c>
      <c r="G597" s="240" t="str">
        <f t="shared" si="243"/>
        <v xml:space="preserve"> </v>
      </c>
      <c r="H597" s="240" t="str">
        <f t="shared" si="243"/>
        <v xml:space="preserve"> </v>
      </c>
      <c r="I597" s="251" t="str">
        <f t="shared" si="243"/>
        <v xml:space="preserve"> </v>
      </c>
      <c r="J597" s="253"/>
      <c r="K597" s="254"/>
      <c r="CA597" s="238" t="str">
        <f t="shared" si="244"/>
        <v xml:space="preserve"> </v>
      </c>
      <c r="CB597" s="253"/>
      <c r="CC597" s="247"/>
      <c r="CD597" s="240" t="str">
        <f t="shared" si="245"/>
        <v xml:space="preserve"> </v>
      </c>
      <c r="CE597" s="240" t="str">
        <f t="shared" si="245"/>
        <v xml:space="preserve"> </v>
      </c>
      <c r="CF597" s="240" t="str">
        <f t="shared" si="245"/>
        <v xml:space="preserve"> </v>
      </c>
      <c r="CG597" s="240" t="str">
        <f t="shared" si="245"/>
        <v xml:space="preserve"> </v>
      </c>
      <c r="CH597" s="240" t="str">
        <f t="shared" si="245"/>
        <v xml:space="preserve"> </v>
      </c>
      <c r="CI597" s="251" t="str">
        <f t="shared" si="245"/>
        <v xml:space="preserve"> </v>
      </c>
      <c r="CJ597" s="253"/>
      <c r="CK597" s="254"/>
    </row>
    <row r="598" spans="1:89">
      <c r="A598" s="166" t="str">
        <f t="shared" si="242"/>
        <v xml:space="preserve"> </v>
      </c>
      <c r="B598" s="101"/>
      <c r="C598" s="100"/>
      <c r="D598" s="167" t="str">
        <f t="shared" si="243"/>
        <v xml:space="preserve"> </v>
      </c>
      <c r="E598" s="167" t="str">
        <f t="shared" si="243"/>
        <v xml:space="preserve"> </v>
      </c>
      <c r="F598" s="167" t="str">
        <f t="shared" si="243"/>
        <v xml:space="preserve"> </v>
      </c>
      <c r="G598" s="167" t="str">
        <f t="shared" si="243"/>
        <v xml:space="preserve"> </v>
      </c>
      <c r="H598" s="167" t="str">
        <f t="shared" si="243"/>
        <v xml:space="preserve"> </v>
      </c>
      <c r="I598" s="168" t="str">
        <f t="shared" si="243"/>
        <v xml:space="preserve"> </v>
      </c>
      <c r="J598" s="101"/>
      <c r="K598" s="165"/>
      <c r="CA598" s="166" t="str">
        <f t="shared" si="244"/>
        <v xml:space="preserve"> </v>
      </c>
      <c r="CB598" s="101"/>
      <c r="CC598" s="100"/>
      <c r="CD598" s="167" t="str">
        <f t="shared" si="245"/>
        <v xml:space="preserve"> </v>
      </c>
      <c r="CE598" s="167" t="str">
        <f t="shared" si="245"/>
        <v xml:space="preserve"> </v>
      </c>
      <c r="CF598" s="167" t="str">
        <f t="shared" si="245"/>
        <v xml:space="preserve"> </v>
      </c>
      <c r="CG598" s="167" t="str">
        <f t="shared" si="245"/>
        <v xml:space="preserve"> </v>
      </c>
      <c r="CH598" s="167" t="str">
        <f t="shared" si="245"/>
        <v xml:space="preserve"> </v>
      </c>
      <c r="CI598" s="168" t="str">
        <f t="shared" si="245"/>
        <v xml:space="preserve"> </v>
      </c>
      <c r="CJ598" s="101"/>
      <c r="CK598" s="165"/>
    </row>
    <row r="599" spans="1:89">
      <c r="A599" s="238" t="str">
        <f t="shared" si="242"/>
        <v xml:space="preserve"> </v>
      </c>
      <c r="B599" s="253"/>
      <c r="C599" s="247"/>
      <c r="D599" s="240" t="str">
        <f t="shared" si="243"/>
        <v xml:space="preserve"> </v>
      </c>
      <c r="E599" s="240" t="str">
        <f t="shared" si="243"/>
        <v xml:space="preserve"> </v>
      </c>
      <c r="F599" s="240" t="str">
        <f t="shared" si="243"/>
        <v xml:space="preserve"> </v>
      </c>
      <c r="G599" s="240" t="str">
        <f t="shared" si="243"/>
        <v xml:space="preserve"> </v>
      </c>
      <c r="H599" s="240" t="str">
        <f t="shared" si="243"/>
        <v xml:space="preserve"> </v>
      </c>
      <c r="I599" s="251" t="str">
        <f t="shared" si="243"/>
        <v xml:space="preserve"> </v>
      </c>
      <c r="J599" s="253"/>
      <c r="K599" s="254"/>
      <c r="CA599" s="238" t="str">
        <f t="shared" si="244"/>
        <v xml:space="preserve"> </v>
      </c>
      <c r="CB599" s="253"/>
      <c r="CC599" s="247"/>
      <c r="CD599" s="240" t="str">
        <f t="shared" si="245"/>
        <v xml:space="preserve"> </v>
      </c>
      <c r="CE599" s="240" t="str">
        <f t="shared" si="245"/>
        <v xml:space="preserve"> </v>
      </c>
      <c r="CF599" s="240" t="str">
        <f t="shared" si="245"/>
        <v xml:space="preserve"> </v>
      </c>
      <c r="CG599" s="240" t="str">
        <f t="shared" si="245"/>
        <v xml:space="preserve"> </v>
      </c>
      <c r="CH599" s="240" t="str">
        <f t="shared" si="245"/>
        <v xml:space="preserve"> </v>
      </c>
      <c r="CI599" s="251" t="str">
        <f t="shared" si="245"/>
        <v xml:space="preserve"> </v>
      </c>
      <c r="CJ599" s="253"/>
      <c r="CK599" s="254"/>
    </row>
    <row r="600" spans="1:89">
      <c r="A600" s="166" t="str">
        <f t="shared" si="242"/>
        <v xml:space="preserve"> </v>
      </c>
      <c r="B600" s="101"/>
      <c r="C600" s="100"/>
      <c r="D600" s="167" t="str">
        <f t="shared" ref="D600:I602" si="246">IF(AND(D1400&gt;0,$E$134&gt;4),D1400," ")</f>
        <v xml:space="preserve"> </v>
      </c>
      <c r="E600" s="167" t="str">
        <f t="shared" si="246"/>
        <v xml:space="preserve"> </v>
      </c>
      <c r="F600" s="167" t="str">
        <f t="shared" si="246"/>
        <v xml:space="preserve"> </v>
      </c>
      <c r="G600" s="167" t="str">
        <f t="shared" si="246"/>
        <v xml:space="preserve"> </v>
      </c>
      <c r="H600" s="167" t="str">
        <f t="shared" si="246"/>
        <v xml:space="preserve"> </v>
      </c>
      <c r="I600" s="168" t="str">
        <f t="shared" si="246"/>
        <v xml:space="preserve"> </v>
      </c>
      <c r="J600" s="101"/>
      <c r="K600" s="165"/>
      <c r="CA600" s="166" t="str">
        <f t="shared" si="244"/>
        <v xml:space="preserve"> </v>
      </c>
      <c r="CB600" s="101"/>
      <c r="CC600" s="100"/>
      <c r="CD600" s="167" t="str">
        <f t="shared" ref="CD600:CI602" si="247">IF(AND(CD1400&gt;0,$E$134&gt;4),CD1400," ")</f>
        <v xml:space="preserve"> </v>
      </c>
      <c r="CE600" s="167" t="str">
        <f t="shared" si="247"/>
        <v xml:space="preserve"> </v>
      </c>
      <c r="CF600" s="167" t="str">
        <f t="shared" si="247"/>
        <v xml:space="preserve"> </v>
      </c>
      <c r="CG600" s="167" t="str">
        <f t="shared" si="247"/>
        <v xml:space="preserve"> </v>
      </c>
      <c r="CH600" s="167" t="str">
        <f t="shared" si="247"/>
        <v xml:space="preserve"> </v>
      </c>
      <c r="CI600" s="168" t="str">
        <f t="shared" si="247"/>
        <v xml:space="preserve"> </v>
      </c>
      <c r="CJ600" s="101"/>
      <c r="CK600" s="165"/>
    </row>
    <row r="601" spans="1:89">
      <c r="A601" s="238" t="str">
        <f t="shared" si="242"/>
        <v xml:space="preserve"> </v>
      </c>
      <c r="B601" s="253"/>
      <c r="C601" s="247"/>
      <c r="D601" s="240" t="str">
        <f t="shared" si="246"/>
        <v xml:space="preserve"> </v>
      </c>
      <c r="E601" s="240" t="str">
        <f t="shared" si="246"/>
        <v xml:space="preserve"> </v>
      </c>
      <c r="F601" s="240" t="str">
        <f t="shared" si="246"/>
        <v xml:space="preserve"> </v>
      </c>
      <c r="G601" s="240" t="str">
        <f t="shared" si="246"/>
        <v xml:space="preserve"> </v>
      </c>
      <c r="H601" s="240" t="str">
        <f t="shared" si="246"/>
        <v xml:space="preserve"> </v>
      </c>
      <c r="I601" s="251" t="str">
        <f t="shared" si="246"/>
        <v xml:space="preserve"> </v>
      </c>
      <c r="J601" s="253"/>
      <c r="K601" s="254"/>
      <c r="CA601" s="238" t="str">
        <f t="shared" si="244"/>
        <v xml:space="preserve"> </v>
      </c>
      <c r="CB601" s="253"/>
      <c r="CC601" s="247"/>
      <c r="CD601" s="240" t="str">
        <f t="shared" si="247"/>
        <v xml:space="preserve"> </v>
      </c>
      <c r="CE601" s="240" t="str">
        <f t="shared" si="247"/>
        <v xml:space="preserve"> </v>
      </c>
      <c r="CF601" s="240" t="str">
        <f t="shared" si="247"/>
        <v xml:space="preserve"> </v>
      </c>
      <c r="CG601" s="240" t="str">
        <f t="shared" si="247"/>
        <v xml:space="preserve"> </v>
      </c>
      <c r="CH601" s="240" t="str">
        <f t="shared" si="247"/>
        <v xml:space="preserve"> </v>
      </c>
      <c r="CI601" s="251" t="str">
        <f t="shared" si="247"/>
        <v xml:space="preserve"> </v>
      </c>
      <c r="CJ601" s="253"/>
      <c r="CK601" s="254"/>
    </row>
    <row r="602" spans="1:89">
      <c r="A602" s="181" t="str">
        <f t="shared" si="242"/>
        <v xml:space="preserve"> </v>
      </c>
      <c r="B602" s="103"/>
      <c r="C602" s="100"/>
      <c r="D602" s="100" t="str">
        <f t="shared" si="246"/>
        <v xml:space="preserve"> </v>
      </c>
      <c r="E602" s="100" t="str">
        <f t="shared" si="246"/>
        <v xml:space="preserve"> </v>
      </c>
      <c r="F602" s="100" t="str">
        <f t="shared" si="246"/>
        <v xml:space="preserve"> </v>
      </c>
      <c r="G602" s="100" t="str">
        <f t="shared" si="246"/>
        <v xml:space="preserve"> </v>
      </c>
      <c r="H602" s="100" t="str">
        <f t="shared" si="246"/>
        <v xml:space="preserve"> </v>
      </c>
      <c r="I602" s="177" t="str">
        <f t="shared" si="246"/>
        <v xml:space="preserve"> </v>
      </c>
      <c r="J602" s="103"/>
      <c r="K602" s="182"/>
      <c r="CA602" s="181" t="str">
        <f t="shared" si="244"/>
        <v xml:space="preserve"> </v>
      </c>
      <c r="CB602" s="103"/>
      <c r="CC602" s="100"/>
      <c r="CD602" s="100" t="str">
        <f t="shared" si="247"/>
        <v xml:space="preserve"> </v>
      </c>
      <c r="CE602" s="100" t="str">
        <f t="shared" si="247"/>
        <v xml:space="preserve"> </v>
      </c>
      <c r="CF602" s="100" t="str">
        <f t="shared" si="247"/>
        <v xml:space="preserve"> </v>
      </c>
      <c r="CG602" s="100" t="str">
        <f t="shared" si="247"/>
        <v xml:space="preserve"> </v>
      </c>
      <c r="CH602" s="100" t="str">
        <f t="shared" si="247"/>
        <v xml:space="preserve"> </v>
      </c>
      <c r="CI602" s="177" t="str">
        <f t="shared" si="247"/>
        <v xml:space="preserve"> </v>
      </c>
      <c r="CJ602" s="103"/>
      <c r="CK602" s="182"/>
    </row>
    <row r="603" spans="1:89">
      <c r="A603" s="179" t="s">
        <v>5027</v>
      </c>
      <c r="B603" s="102"/>
      <c r="C603" s="175" t="s">
        <v>5018</v>
      </c>
      <c r="D603" s="175" t="s">
        <v>5701</v>
      </c>
      <c r="E603" s="175" t="s">
        <v>5019</v>
      </c>
      <c r="F603" s="175" t="s">
        <v>5020</v>
      </c>
      <c r="G603" s="175" t="s">
        <v>5021</v>
      </c>
      <c r="H603" s="175" t="s">
        <v>5022</v>
      </c>
      <c r="I603" s="221" t="s">
        <v>5316</v>
      </c>
      <c r="J603" s="176"/>
      <c r="K603" s="180"/>
      <c r="CA603" s="179" t="s">
        <v>5027</v>
      </c>
      <c r="CB603" s="102"/>
      <c r="CC603" s="175" t="s">
        <v>5018</v>
      </c>
      <c r="CD603" s="175" t="s">
        <v>5701</v>
      </c>
      <c r="CE603" s="175" t="s">
        <v>5019</v>
      </c>
      <c r="CF603" s="175" t="s">
        <v>5020</v>
      </c>
      <c r="CG603" s="175" t="s">
        <v>5021</v>
      </c>
      <c r="CH603" s="175" t="s">
        <v>5022</v>
      </c>
      <c r="CI603" s="221" t="s">
        <v>5316</v>
      </c>
      <c r="CJ603" s="176"/>
      <c r="CK603" s="180"/>
    </row>
    <row r="604" spans="1:89">
      <c r="A604" s="166" t="str">
        <f t="shared" ref="A604:A615" si="248">IF(AND(A1404&gt;0,$E$134&gt;5),A1404," ")</f>
        <v xml:space="preserve"> </v>
      </c>
      <c r="B604" s="101"/>
      <c r="C604" s="100"/>
      <c r="D604" s="167" t="str">
        <f t="shared" ref="D604:I615" si="249">IF(AND(D1404&gt;0,$E$134&gt;5),D1404," ")</f>
        <v xml:space="preserve"> </v>
      </c>
      <c r="E604" s="167" t="str">
        <f t="shared" si="249"/>
        <v xml:space="preserve"> </v>
      </c>
      <c r="F604" s="167" t="str">
        <f t="shared" si="249"/>
        <v xml:space="preserve"> </v>
      </c>
      <c r="G604" s="167" t="str">
        <f t="shared" si="249"/>
        <v xml:space="preserve"> </v>
      </c>
      <c r="H604" s="167" t="str">
        <f t="shared" si="249"/>
        <v xml:space="preserve"> </v>
      </c>
      <c r="I604" s="168" t="str">
        <f t="shared" si="249"/>
        <v xml:space="preserve"> </v>
      </c>
      <c r="J604" s="101"/>
      <c r="K604" s="165"/>
      <c r="CA604" s="166" t="str">
        <f t="shared" ref="CA604:CA615" si="250">IF(AND(CA1404&gt;0,$E$134&gt;5),CA1404," ")</f>
        <v xml:space="preserve"> </v>
      </c>
      <c r="CB604" s="101"/>
      <c r="CC604" s="100"/>
      <c r="CD604" s="167" t="str">
        <f t="shared" ref="CD604:CI615" si="251">IF(AND(CD1404&gt;0,$E$134&gt;5),CD1404," ")</f>
        <v xml:space="preserve"> </v>
      </c>
      <c r="CE604" s="167" t="str">
        <f t="shared" si="251"/>
        <v xml:space="preserve"> </v>
      </c>
      <c r="CF604" s="167" t="str">
        <f t="shared" si="251"/>
        <v xml:space="preserve"> </v>
      </c>
      <c r="CG604" s="167" t="str">
        <f t="shared" si="251"/>
        <v xml:space="preserve"> </v>
      </c>
      <c r="CH604" s="167" t="str">
        <f t="shared" si="251"/>
        <v xml:space="preserve"> </v>
      </c>
      <c r="CI604" s="168" t="str">
        <f t="shared" si="251"/>
        <v xml:space="preserve"> </v>
      </c>
      <c r="CJ604" s="101"/>
      <c r="CK604" s="165"/>
    </row>
    <row r="605" spans="1:89">
      <c r="A605" s="238" t="str">
        <f t="shared" si="248"/>
        <v xml:space="preserve"> </v>
      </c>
      <c r="B605" s="253"/>
      <c r="C605" s="247"/>
      <c r="D605" s="240" t="str">
        <f t="shared" si="249"/>
        <v xml:space="preserve"> </v>
      </c>
      <c r="E605" s="240" t="str">
        <f t="shared" si="249"/>
        <v xml:space="preserve"> </v>
      </c>
      <c r="F605" s="240" t="str">
        <f t="shared" si="249"/>
        <v xml:space="preserve"> </v>
      </c>
      <c r="G605" s="240" t="str">
        <f t="shared" si="249"/>
        <v xml:space="preserve"> </v>
      </c>
      <c r="H605" s="240" t="str">
        <f t="shared" si="249"/>
        <v xml:space="preserve"> </v>
      </c>
      <c r="I605" s="251" t="str">
        <f t="shared" si="249"/>
        <v xml:space="preserve"> </v>
      </c>
      <c r="J605" s="253"/>
      <c r="K605" s="254"/>
      <c r="CA605" s="238" t="str">
        <f t="shared" si="250"/>
        <v xml:space="preserve"> </v>
      </c>
      <c r="CB605" s="253"/>
      <c r="CC605" s="247"/>
      <c r="CD605" s="240" t="str">
        <f t="shared" si="251"/>
        <v xml:space="preserve"> </v>
      </c>
      <c r="CE605" s="240" t="str">
        <f t="shared" si="251"/>
        <v xml:space="preserve"> </v>
      </c>
      <c r="CF605" s="240" t="str">
        <f t="shared" si="251"/>
        <v xml:space="preserve"> </v>
      </c>
      <c r="CG605" s="240" t="str">
        <f t="shared" si="251"/>
        <v xml:space="preserve"> </v>
      </c>
      <c r="CH605" s="240" t="str">
        <f t="shared" si="251"/>
        <v xml:space="preserve"> </v>
      </c>
      <c r="CI605" s="251" t="str">
        <f t="shared" si="251"/>
        <v xml:space="preserve"> </v>
      </c>
      <c r="CJ605" s="253"/>
      <c r="CK605" s="254"/>
    </row>
    <row r="606" spans="1:89">
      <c r="A606" s="166" t="str">
        <f t="shared" si="248"/>
        <v xml:space="preserve"> </v>
      </c>
      <c r="B606" s="101"/>
      <c r="C606" s="100"/>
      <c r="D606" s="167" t="str">
        <f t="shared" si="249"/>
        <v xml:space="preserve"> </v>
      </c>
      <c r="E606" s="167" t="str">
        <f t="shared" si="249"/>
        <v xml:space="preserve"> </v>
      </c>
      <c r="F606" s="167" t="str">
        <f t="shared" si="249"/>
        <v xml:space="preserve"> </v>
      </c>
      <c r="G606" s="167" t="str">
        <f t="shared" si="249"/>
        <v xml:space="preserve"> </v>
      </c>
      <c r="H606" s="167" t="str">
        <f t="shared" si="249"/>
        <v xml:space="preserve"> </v>
      </c>
      <c r="I606" s="168" t="str">
        <f t="shared" si="249"/>
        <v xml:space="preserve"> </v>
      </c>
      <c r="J606" s="101"/>
      <c r="K606" s="165"/>
      <c r="CA606" s="166" t="str">
        <f t="shared" si="250"/>
        <v xml:space="preserve"> </v>
      </c>
      <c r="CB606" s="101"/>
      <c r="CC606" s="100"/>
      <c r="CD606" s="167" t="str">
        <f t="shared" si="251"/>
        <v xml:space="preserve"> </v>
      </c>
      <c r="CE606" s="167" t="str">
        <f t="shared" si="251"/>
        <v xml:space="preserve"> </v>
      </c>
      <c r="CF606" s="167" t="str">
        <f t="shared" si="251"/>
        <v xml:space="preserve"> </v>
      </c>
      <c r="CG606" s="167" t="str">
        <f t="shared" si="251"/>
        <v xml:space="preserve"> </v>
      </c>
      <c r="CH606" s="167" t="str">
        <f t="shared" si="251"/>
        <v xml:space="preserve"> </v>
      </c>
      <c r="CI606" s="168" t="str">
        <f t="shared" si="251"/>
        <v xml:space="preserve"> </v>
      </c>
      <c r="CJ606" s="101"/>
      <c r="CK606" s="165"/>
    </row>
    <row r="607" spans="1:89">
      <c r="A607" s="238" t="str">
        <f t="shared" si="248"/>
        <v xml:space="preserve"> </v>
      </c>
      <c r="B607" s="253"/>
      <c r="C607" s="247"/>
      <c r="D607" s="240" t="str">
        <f t="shared" si="249"/>
        <v xml:space="preserve"> </v>
      </c>
      <c r="E607" s="240" t="str">
        <f t="shared" si="249"/>
        <v xml:space="preserve"> </v>
      </c>
      <c r="F607" s="240" t="str">
        <f t="shared" si="249"/>
        <v xml:space="preserve"> </v>
      </c>
      <c r="G607" s="240" t="str">
        <f t="shared" si="249"/>
        <v xml:space="preserve"> </v>
      </c>
      <c r="H607" s="240" t="str">
        <f t="shared" si="249"/>
        <v xml:space="preserve"> </v>
      </c>
      <c r="I607" s="251" t="str">
        <f t="shared" si="249"/>
        <v xml:space="preserve"> </v>
      </c>
      <c r="J607" s="253"/>
      <c r="K607" s="254"/>
      <c r="CA607" s="238" t="str">
        <f t="shared" si="250"/>
        <v xml:space="preserve"> </v>
      </c>
      <c r="CB607" s="253"/>
      <c r="CC607" s="247"/>
      <c r="CD607" s="240" t="str">
        <f t="shared" si="251"/>
        <v xml:space="preserve"> </v>
      </c>
      <c r="CE607" s="240" t="str">
        <f t="shared" si="251"/>
        <v xml:space="preserve"> </v>
      </c>
      <c r="CF607" s="240" t="str">
        <f t="shared" si="251"/>
        <v xml:space="preserve"> </v>
      </c>
      <c r="CG607" s="240" t="str">
        <f t="shared" si="251"/>
        <v xml:space="preserve"> </v>
      </c>
      <c r="CH607" s="240" t="str">
        <f t="shared" si="251"/>
        <v xml:space="preserve"> </v>
      </c>
      <c r="CI607" s="251" t="str">
        <f t="shared" si="251"/>
        <v xml:space="preserve"> </v>
      </c>
      <c r="CJ607" s="253"/>
      <c r="CK607" s="254"/>
    </row>
    <row r="608" spans="1:89">
      <c r="A608" s="166" t="str">
        <f t="shared" si="248"/>
        <v xml:space="preserve"> </v>
      </c>
      <c r="B608" s="101"/>
      <c r="C608" s="100"/>
      <c r="D608" s="167" t="str">
        <f t="shared" si="249"/>
        <v xml:space="preserve"> </v>
      </c>
      <c r="E608" s="167" t="str">
        <f t="shared" si="249"/>
        <v xml:space="preserve"> </v>
      </c>
      <c r="F608" s="167" t="str">
        <f t="shared" si="249"/>
        <v xml:space="preserve"> </v>
      </c>
      <c r="G608" s="167" t="str">
        <f t="shared" si="249"/>
        <v xml:space="preserve"> </v>
      </c>
      <c r="H608" s="167" t="str">
        <f t="shared" si="249"/>
        <v xml:space="preserve"> </v>
      </c>
      <c r="I608" s="168" t="str">
        <f t="shared" si="249"/>
        <v xml:space="preserve"> </v>
      </c>
      <c r="J608" s="101"/>
      <c r="K608" s="165"/>
      <c r="CA608" s="166" t="str">
        <f t="shared" si="250"/>
        <v xml:space="preserve"> </v>
      </c>
      <c r="CB608" s="101"/>
      <c r="CC608" s="100"/>
      <c r="CD608" s="167" t="str">
        <f t="shared" si="251"/>
        <v xml:space="preserve"> </v>
      </c>
      <c r="CE608" s="167" t="str">
        <f t="shared" si="251"/>
        <v xml:space="preserve"> </v>
      </c>
      <c r="CF608" s="167" t="str">
        <f t="shared" si="251"/>
        <v xml:space="preserve"> </v>
      </c>
      <c r="CG608" s="167" t="str">
        <f t="shared" si="251"/>
        <v xml:space="preserve"> </v>
      </c>
      <c r="CH608" s="167" t="str">
        <f t="shared" si="251"/>
        <v xml:space="preserve"> </v>
      </c>
      <c r="CI608" s="168" t="str">
        <f t="shared" si="251"/>
        <v xml:space="preserve"> </v>
      </c>
      <c r="CJ608" s="101"/>
      <c r="CK608" s="165"/>
    </row>
    <row r="609" spans="1:89">
      <c r="A609" s="238" t="str">
        <f t="shared" si="248"/>
        <v xml:space="preserve"> </v>
      </c>
      <c r="B609" s="253"/>
      <c r="C609" s="247"/>
      <c r="D609" s="240" t="str">
        <f t="shared" si="249"/>
        <v xml:space="preserve"> </v>
      </c>
      <c r="E609" s="240" t="str">
        <f t="shared" si="249"/>
        <v xml:space="preserve"> </v>
      </c>
      <c r="F609" s="240" t="str">
        <f t="shared" si="249"/>
        <v xml:space="preserve"> </v>
      </c>
      <c r="G609" s="240" t="str">
        <f t="shared" si="249"/>
        <v xml:space="preserve"> </v>
      </c>
      <c r="H609" s="240" t="str">
        <f t="shared" si="249"/>
        <v xml:space="preserve"> </v>
      </c>
      <c r="I609" s="251" t="str">
        <f t="shared" si="249"/>
        <v xml:space="preserve"> </v>
      </c>
      <c r="J609" s="253"/>
      <c r="K609" s="254"/>
      <c r="CA609" s="238" t="str">
        <f t="shared" si="250"/>
        <v xml:space="preserve"> </v>
      </c>
      <c r="CB609" s="253"/>
      <c r="CC609" s="247"/>
      <c r="CD609" s="240" t="str">
        <f t="shared" si="251"/>
        <v xml:space="preserve"> </v>
      </c>
      <c r="CE609" s="240" t="str">
        <f t="shared" si="251"/>
        <v xml:space="preserve"> </v>
      </c>
      <c r="CF609" s="240" t="str">
        <f t="shared" si="251"/>
        <v xml:space="preserve"> </v>
      </c>
      <c r="CG609" s="240" t="str">
        <f t="shared" si="251"/>
        <v xml:space="preserve"> </v>
      </c>
      <c r="CH609" s="240" t="str">
        <f t="shared" si="251"/>
        <v xml:space="preserve"> </v>
      </c>
      <c r="CI609" s="251" t="str">
        <f t="shared" si="251"/>
        <v xml:space="preserve"> </v>
      </c>
      <c r="CJ609" s="253"/>
      <c r="CK609" s="254"/>
    </row>
    <row r="610" spans="1:89">
      <c r="A610" s="166" t="str">
        <f t="shared" si="248"/>
        <v xml:space="preserve"> </v>
      </c>
      <c r="B610" s="101"/>
      <c r="C610" s="100"/>
      <c r="D610" s="167" t="str">
        <f t="shared" si="249"/>
        <v xml:space="preserve"> </v>
      </c>
      <c r="E610" s="167" t="str">
        <f t="shared" si="249"/>
        <v xml:space="preserve"> </v>
      </c>
      <c r="F610" s="167" t="str">
        <f t="shared" si="249"/>
        <v xml:space="preserve"> </v>
      </c>
      <c r="G610" s="167" t="str">
        <f t="shared" si="249"/>
        <v xml:space="preserve"> </v>
      </c>
      <c r="H610" s="167" t="str">
        <f t="shared" si="249"/>
        <v xml:space="preserve"> </v>
      </c>
      <c r="I610" s="168" t="str">
        <f t="shared" si="249"/>
        <v xml:space="preserve"> </v>
      </c>
      <c r="J610" s="101"/>
      <c r="K610" s="165"/>
      <c r="CA610" s="166" t="str">
        <f t="shared" si="250"/>
        <v xml:space="preserve"> </v>
      </c>
      <c r="CB610" s="101"/>
      <c r="CC610" s="100"/>
      <c r="CD610" s="167" t="str">
        <f t="shared" si="251"/>
        <v xml:space="preserve"> </v>
      </c>
      <c r="CE610" s="167" t="str">
        <f t="shared" si="251"/>
        <v xml:space="preserve"> </v>
      </c>
      <c r="CF610" s="167" t="str">
        <f t="shared" si="251"/>
        <v xml:space="preserve"> </v>
      </c>
      <c r="CG610" s="167" t="str">
        <f t="shared" si="251"/>
        <v xml:space="preserve"> </v>
      </c>
      <c r="CH610" s="167" t="str">
        <f t="shared" si="251"/>
        <v xml:space="preserve"> </v>
      </c>
      <c r="CI610" s="168" t="str">
        <f t="shared" si="251"/>
        <v xml:space="preserve"> </v>
      </c>
      <c r="CJ610" s="101"/>
      <c r="CK610" s="165"/>
    </row>
    <row r="611" spans="1:89">
      <c r="A611" s="238" t="str">
        <f t="shared" si="248"/>
        <v xml:space="preserve"> </v>
      </c>
      <c r="B611" s="253"/>
      <c r="C611" s="247"/>
      <c r="D611" s="240" t="str">
        <f t="shared" si="249"/>
        <v xml:space="preserve"> </v>
      </c>
      <c r="E611" s="240" t="str">
        <f t="shared" si="249"/>
        <v xml:space="preserve"> </v>
      </c>
      <c r="F611" s="240" t="str">
        <f t="shared" si="249"/>
        <v xml:space="preserve"> </v>
      </c>
      <c r="G611" s="240" t="str">
        <f t="shared" si="249"/>
        <v xml:space="preserve"> </v>
      </c>
      <c r="H611" s="240" t="str">
        <f t="shared" si="249"/>
        <v xml:space="preserve"> </v>
      </c>
      <c r="I611" s="251" t="str">
        <f t="shared" si="249"/>
        <v xml:space="preserve"> </v>
      </c>
      <c r="J611" s="253"/>
      <c r="K611" s="254"/>
      <c r="CA611" s="238" t="str">
        <f t="shared" si="250"/>
        <v xml:space="preserve"> </v>
      </c>
      <c r="CB611" s="253"/>
      <c r="CC611" s="247"/>
      <c r="CD611" s="240" t="str">
        <f t="shared" si="251"/>
        <v xml:space="preserve"> </v>
      </c>
      <c r="CE611" s="240" t="str">
        <f t="shared" si="251"/>
        <v xml:space="preserve"> </v>
      </c>
      <c r="CF611" s="240" t="str">
        <f t="shared" si="251"/>
        <v xml:space="preserve"> </v>
      </c>
      <c r="CG611" s="240" t="str">
        <f t="shared" si="251"/>
        <v xml:space="preserve"> </v>
      </c>
      <c r="CH611" s="240" t="str">
        <f t="shared" si="251"/>
        <v xml:space="preserve"> </v>
      </c>
      <c r="CI611" s="251" t="str">
        <f t="shared" si="251"/>
        <v xml:space="preserve"> </v>
      </c>
      <c r="CJ611" s="253"/>
      <c r="CK611" s="254"/>
    </row>
    <row r="612" spans="1:89">
      <c r="A612" s="166" t="str">
        <f t="shared" si="248"/>
        <v xml:space="preserve"> </v>
      </c>
      <c r="B612" s="101"/>
      <c r="C612" s="100"/>
      <c r="D612" s="167" t="str">
        <f t="shared" si="249"/>
        <v xml:space="preserve"> </v>
      </c>
      <c r="E612" s="167" t="str">
        <f t="shared" si="249"/>
        <v xml:space="preserve"> </v>
      </c>
      <c r="F612" s="167" t="str">
        <f t="shared" si="249"/>
        <v xml:space="preserve"> </v>
      </c>
      <c r="G612" s="167" t="str">
        <f t="shared" si="249"/>
        <v xml:space="preserve"> </v>
      </c>
      <c r="H612" s="167" t="str">
        <f t="shared" si="249"/>
        <v xml:space="preserve"> </v>
      </c>
      <c r="I612" s="168" t="str">
        <f t="shared" si="249"/>
        <v xml:space="preserve"> </v>
      </c>
      <c r="J612" s="101"/>
      <c r="K612" s="165"/>
      <c r="CA612" s="166" t="str">
        <f t="shared" si="250"/>
        <v xml:space="preserve"> </v>
      </c>
      <c r="CB612" s="101"/>
      <c r="CC612" s="100"/>
      <c r="CD612" s="167" t="str">
        <f t="shared" si="251"/>
        <v xml:space="preserve"> </v>
      </c>
      <c r="CE612" s="167" t="str">
        <f t="shared" si="251"/>
        <v xml:space="preserve"> </v>
      </c>
      <c r="CF612" s="167" t="str">
        <f t="shared" si="251"/>
        <v xml:space="preserve"> </v>
      </c>
      <c r="CG612" s="167" t="str">
        <f t="shared" si="251"/>
        <v xml:space="preserve"> </v>
      </c>
      <c r="CH612" s="167" t="str">
        <f t="shared" si="251"/>
        <v xml:space="preserve"> </v>
      </c>
      <c r="CI612" s="168" t="str">
        <f t="shared" si="251"/>
        <v xml:space="preserve"> </v>
      </c>
      <c r="CJ612" s="101"/>
      <c r="CK612" s="165"/>
    </row>
    <row r="613" spans="1:89">
      <c r="A613" s="238" t="str">
        <f t="shared" si="248"/>
        <v xml:space="preserve"> </v>
      </c>
      <c r="B613" s="253"/>
      <c r="C613" s="247"/>
      <c r="D613" s="240" t="str">
        <f t="shared" si="249"/>
        <v xml:space="preserve"> </v>
      </c>
      <c r="E613" s="240" t="str">
        <f t="shared" si="249"/>
        <v xml:space="preserve"> </v>
      </c>
      <c r="F613" s="240" t="str">
        <f t="shared" si="249"/>
        <v xml:space="preserve"> </v>
      </c>
      <c r="G613" s="240" t="str">
        <f t="shared" si="249"/>
        <v xml:space="preserve"> </v>
      </c>
      <c r="H613" s="240" t="str">
        <f t="shared" si="249"/>
        <v xml:space="preserve"> </v>
      </c>
      <c r="I613" s="251" t="str">
        <f t="shared" si="249"/>
        <v xml:space="preserve"> </v>
      </c>
      <c r="J613" s="253"/>
      <c r="K613" s="254"/>
      <c r="CA613" s="238" t="str">
        <f t="shared" si="250"/>
        <v xml:space="preserve"> </v>
      </c>
      <c r="CB613" s="253"/>
      <c r="CC613" s="247"/>
      <c r="CD613" s="240" t="str">
        <f t="shared" si="251"/>
        <v xml:space="preserve"> </v>
      </c>
      <c r="CE613" s="240" t="str">
        <f t="shared" si="251"/>
        <v xml:space="preserve"> </v>
      </c>
      <c r="CF613" s="240" t="str">
        <f t="shared" si="251"/>
        <v xml:space="preserve"> </v>
      </c>
      <c r="CG613" s="240" t="str">
        <f t="shared" si="251"/>
        <v xml:space="preserve"> </v>
      </c>
      <c r="CH613" s="240" t="str">
        <f t="shared" si="251"/>
        <v xml:space="preserve"> </v>
      </c>
      <c r="CI613" s="251" t="str">
        <f t="shared" si="251"/>
        <v xml:space="preserve"> </v>
      </c>
      <c r="CJ613" s="253"/>
      <c r="CK613" s="254"/>
    </row>
    <row r="614" spans="1:89">
      <c r="A614" s="166" t="str">
        <f t="shared" si="248"/>
        <v xml:space="preserve"> </v>
      </c>
      <c r="B614" s="101"/>
      <c r="C614" s="100"/>
      <c r="D614" s="167" t="str">
        <f t="shared" si="249"/>
        <v xml:space="preserve"> </v>
      </c>
      <c r="E614" s="167" t="str">
        <f t="shared" si="249"/>
        <v xml:space="preserve"> </v>
      </c>
      <c r="F614" s="167" t="str">
        <f t="shared" si="249"/>
        <v xml:space="preserve"> </v>
      </c>
      <c r="G614" s="167" t="str">
        <f t="shared" si="249"/>
        <v xml:space="preserve"> </v>
      </c>
      <c r="H614" s="167" t="str">
        <f t="shared" si="249"/>
        <v xml:space="preserve"> </v>
      </c>
      <c r="I614" s="168" t="str">
        <f t="shared" si="249"/>
        <v xml:space="preserve"> </v>
      </c>
      <c r="J614" s="101"/>
      <c r="K614" s="165"/>
      <c r="CA614" s="166" t="str">
        <f t="shared" si="250"/>
        <v xml:space="preserve"> </v>
      </c>
      <c r="CB614" s="101"/>
      <c r="CC614" s="100"/>
      <c r="CD614" s="167" t="str">
        <f t="shared" si="251"/>
        <v xml:space="preserve"> </v>
      </c>
      <c r="CE614" s="167" t="str">
        <f t="shared" si="251"/>
        <v xml:space="preserve"> </v>
      </c>
      <c r="CF614" s="167" t="str">
        <f t="shared" si="251"/>
        <v xml:space="preserve"> </v>
      </c>
      <c r="CG614" s="167" t="str">
        <f t="shared" si="251"/>
        <v xml:space="preserve"> </v>
      </c>
      <c r="CH614" s="167" t="str">
        <f t="shared" si="251"/>
        <v xml:space="preserve"> </v>
      </c>
      <c r="CI614" s="168" t="str">
        <f t="shared" si="251"/>
        <v xml:space="preserve"> </v>
      </c>
      <c r="CJ614" s="101"/>
      <c r="CK614" s="165"/>
    </row>
    <row r="615" spans="1:89">
      <c r="A615" s="238" t="str">
        <f t="shared" si="248"/>
        <v xml:space="preserve"> </v>
      </c>
      <c r="B615" s="253"/>
      <c r="C615" s="247"/>
      <c r="D615" s="240" t="str">
        <f t="shared" si="249"/>
        <v xml:space="preserve"> </v>
      </c>
      <c r="E615" s="240" t="str">
        <f t="shared" si="249"/>
        <v xml:space="preserve"> </v>
      </c>
      <c r="F615" s="240" t="str">
        <f t="shared" si="249"/>
        <v xml:space="preserve"> </v>
      </c>
      <c r="G615" s="240" t="str">
        <f t="shared" si="249"/>
        <v xml:space="preserve"> </v>
      </c>
      <c r="H615" s="240" t="str">
        <f t="shared" si="249"/>
        <v xml:space="preserve"> </v>
      </c>
      <c r="I615" s="251" t="str">
        <f t="shared" si="249"/>
        <v xml:space="preserve"> </v>
      </c>
      <c r="J615" s="253"/>
      <c r="K615" s="254"/>
      <c r="CA615" s="238" t="str">
        <f t="shared" si="250"/>
        <v xml:space="preserve"> </v>
      </c>
      <c r="CB615" s="253"/>
      <c r="CC615" s="247"/>
      <c r="CD615" s="240" t="str">
        <f t="shared" si="251"/>
        <v xml:space="preserve"> </v>
      </c>
      <c r="CE615" s="240" t="str">
        <f t="shared" si="251"/>
        <v xml:space="preserve"> </v>
      </c>
      <c r="CF615" s="240" t="str">
        <f t="shared" si="251"/>
        <v xml:space="preserve"> </v>
      </c>
      <c r="CG615" s="240" t="str">
        <f t="shared" si="251"/>
        <v xml:space="preserve"> </v>
      </c>
      <c r="CH615" s="240" t="str">
        <f t="shared" si="251"/>
        <v xml:space="preserve"> </v>
      </c>
      <c r="CI615" s="251" t="str">
        <f t="shared" si="251"/>
        <v xml:space="preserve"> </v>
      </c>
      <c r="CJ615" s="253"/>
      <c r="CK615" s="254"/>
    </row>
    <row r="616" spans="1:89">
      <c r="A616" s="179" t="s">
        <v>5217</v>
      </c>
      <c r="B616" s="102"/>
      <c r="C616" s="175" t="s">
        <v>5018</v>
      </c>
      <c r="D616" s="175" t="s">
        <v>5701</v>
      </c>
      <c r="E616" s="175" t="s">
        <v>5019</v>
      </c>
      <c r="F616" s="175" t="s">
        <v>5020</v>
      </c>
      <c r="G616" s="175" t="s">
        <v>5021</v>
      </c>
      <c r="H616" s="175" t="s">
        <v>5022</v>
      </c>
      <c r="I616" s="221" t="s">
        <v>5316</v>
      </c>
      <c r="J616" s="176"/>
      <c r="K616" s="180"/>
      <c r="CA616" s="179" t="s">
        <v>5217</v>
      </c>
      <c r="CB616" s="102"/>
      <c r="CC616" s="175" t="s">
        <v>5018</v>
      </c>
      <c r="CD616" s="175" t="s">
        <v>5701</v>
      </c>
      <c r="CE616" s="175" t="s">
        <v>5019</v>
      </c>
      <c r="CF616" s="175" t="s">
        <v>5020</v>
      </c>
      <c r="CG616" s="175" t="s">
        <v>5021</v>
      </c>
      <c r="CH616" s="175" t="s">
        <v>5022</v>
      </c>
      <c r="CI616" s="221" t="s">
        <v>5316</v>
      </c>
      <c r="CJ616" s="176"/>
      <c r="CK616" s="180"/>
    </row>
    <row r="617" spans="1:89">
      <c r="A617" s="166" t="str">
        <f t="shared" ref="A617:A632" si="252">IF(AND(A1417&gt;0,$E$134&gt;6),A1417," ")</f>
        <v>Spells, Circle 7</v>
      </c>
      <c r="B617" s="101"/>
      <c r="C617" s="100"/>
      <c r="D617" s="167" t="str">
        <f t="shared" ref="D617:I617" si="253">IF(AND(D1417&gt;0,$E$134&gt;6),D1417," ")</f>
        <v>Source</v>
      </c>
      <c r="E617" s="167" t="str">
        <f t="shared" si="253"/>
        <v>Threads</v>
      </c>
      <c r="F617" s="167" t="str">
        <f t="shared" si="253"/>
        <v>Weaving Diff</v>
      </c>
      <c r="G617" s="167" t="str">
        <f t="shared" si="253"/>
        <v>Range</v>
      </c>
      <c r="H617" s="167" t="str">
        <f t="shared" si="253"/>
        <v>Duration</v>
      </c>
      <c r="I617" s="168" t="str">
        <f t="shared" si="253"/>
        <v>Effect</v>
      </c>
      <c r="J617" s="101"/>
      <c r="K617" s="165"/>
      <c r="CA617" s="166" t="str">
        <f t="shared" ref="CA617:CA632" si="254">IF(AND(CA1417&gt;0,$E$134&gt;6),CA1417," ")</f>
        <v xml:space="preserve"> </v>
      </c>
      <c r="CB617" s="101"/>
      <c r="CC617" s="100"/>
      <c r="CD617" s="167" t="str">
        <f t="shared" ref="CD617:CI617" si="255">IF(AND(CD1417&gt;0,$E$134&gt;6),CD1417," ")</f>
        <v xml:space="preserve"> </v>
      </c>
      <c r="CE617" s="167" t="str">
        <f t="shared" si="255"/>
        <v xml:space="preserve"> </v>
      </c>
      <c r="CF617" s="167" t="str">
        <f t="shared" si="255"/>
        <v xml:space="preserve"> </v>
      </c>
      <c r="CG617" s="167" t="str">
        <f t="shared" si="255"/>
        <v xml:space="preserve"> </v>
      </c>
      <c r="CH617" s="167" t="str">
        <f t="shared" si="255"/>
        <v xml:space="preserve"> </v>
      </c>
      <c r="CI617" s="168" t="str">
        <f t="shared" si="255"/>
        <v xml:space="preserve"> </v>
      </c>
      <c r="CJ617" s="101"/>
      <c r="CK617" s="165"/>
    </row>
    <row r="618" spans="1:89">
      <c r="A618" s="238" t="str">
        <f t="shared" si="252"/>
        <v xml:space="preserve"> </v>
      </c>
      <c r="B618" s="253"/>
      <c r="C618" s="247"/>
      <c r="D618" s="240" t="str">
        <f t="shared" ref="D618:I632" si="256">IF(AND(D1418&gt;0,$E$134&gt;6),D1418," ")</f>
        <v xml:space="preserve"> </v>
      </c>
      <c r="E618" s="240" t="str">
        <f t="shared" si="256"/>
        <v xml:space="preserve"> </v>
      </c>
      <c r="F618" s="240" t="str">
        <f t="shared" si="256"/>
        <v xml:space="preserve"> </v>
      </c>
      <c r="G618" s="240" t="str">
        <f t="shared" si="256"/>
        <v xml:space="preserve"> </v>
      </c>
      <c r="H618" s="240" t="str">
        <f t="shared" si="256"/>
        <v xml:space="preserve"> </v>
      </c>
      <c r="I618" s="251" t="str">
        <f t="shared" si="256"/>
        <v xml:space="preserve"> </v>
      </c>
      <c r="J618" s="253"/>
      <c r="K618" s="254"/>
      <c r="CA618" s="238" t="str">
        <f t="shared" si="254"/>
        <v xml:space="preserve"> </v>
      </c>
      <c r="CB618" s="253"/>
      <c r="CC618" s="247"/>
      <c r="CD618" s="240" t="str">
        <f t="shared" ref="CD618:CI632" si="257">IF(AND(CD1418&gt;0,$E$134&gt;6),CD1418," ")</f>
        <v xml:space="preserve"> </v>
      </c>
      <c r="CE618" s="240" t="str">
        <f t="shared" si="257"/>
        <v xml:space="preserve"> </v>
      </c>
      <c r="CF618" s="240" t="str">
        <f t="shared" si="257"/>
        <v xml:space="preserve"> </v>
      </c>
      <c r="CG618" s="240" t="str">
        <f t="shared" si="257"/>
        <v xml:space="preserve"> </v>
      </c>
      <c r="CH618" s="240" t="str">
        <f t="shared" si="257"/>
        <v xml:space="preserve"> </v>
      </c>
      <c r="CI618" s="251" t="str">
        <f t="shared" si="257"/>
        <v xml:space="preserve"> </v>
      </c>
      <c r="CJ618" s="253"/>
      <c r="CK618" s="254"/>
    </row>
    <row r="619" spans="1:89">
      <c r="A619" s="166" t="str">
        <f t="shared" si="252"/>
        <v xml:space="preserve"> </v>
      </c>
      <c r="B619" s="101"/>
      <c r="C619" s="100"/>
      <c r="D619" s="167" t="str">
        <f t="shared" si="256"/>
        <v xml:space="preserve"> </v>
      </c>
      <c r="E619" s="167" t="str">
        <f t="shared" si="256"/>
        <v xml:space="preserve"> </v>
      </c>
      <c r="F619" s="167" t="str">
        <f t="shared" si="256"/>
        <v xml:space="preserve"> </v>
      </c>
      <c r="G619" s="167" t="str">
        <f t="shared" si="256"/>
        <v xml:space="preserve"> </v>
      </c>
      <c r="H619" s="167" t="str">
        <f t="shared" si="256"/>
        <v xml:space="preserve"> </v>
      </c>
      <c r="I619" s="168" t="str">
        <f t="shared" si="256"/>
        <v xml:space="preserve"> </v>
      </c>
      <c r="J619" s="101"/>
      <c r="K619" s="165"/>
      <c r="CA619" s="166" t="str">
        <f t="shared" si="254"/>
        <v xml:space="preserve"> </v>
      </c>
      <c r="CB619" s="101"/>
      <c r="CC619" s="100"/>
      <c r="CD619" s="167" t="str">
        <f t="shared" si="257"/>
        <v xml:space="preserve"> </v>
      </c>
      <c r="CE619" s="167" t="str">
        <f t="shared" si="257"/>
        <v xml:space="preserve"> </v>
      </c>
      <c r="CF619" s="167" t="str">
        <f t="shared" si="257"/>
        <v xml:space="preserve"> </v>
      </c>
      <c r="CG619" s="167" t="str">
        <f t="shared" si="257"/>
        <v xml:space="preserve"> </v>
      </c>
      <c r="CH619" s="167" t="str">
        <f t="shared" si="257"/>
        <v xml:space="preserve"> </v>
      </c>
      <c r="CI619" s="168" t="str">
        <f t="shared" si="257"/>
        <v xml:space="preserve"> </v>
      </c>
      <c r="CJ619" s="101"/>
      <c r="CK619" s="165"/>
    </row>
    <row r="620" spans="1:89">
      <c r="A620" s="238" t="str">
        <f t="shared" si="252"/>
        <v xml:space="preserve"> </v>
      </c>
      <c r="B620" s="253"/>
      <c r="C620" s="247"/>
      <c r="D620" s="240" t="str">
        <f t="shared" si="256"/>
        <v xml:space="preserve"> </v>
      </c>
      <c r="E620" s="240" t="str">
        <f t="shared" si="256"/>
        <v xml:space="preserve"> </v>
      </c>
      <c r="F620" s="240" t="str">
        <f t="shared" si="256"/>
        <v xml:space="preserve"> </v>
      </c>
      <c r="G620" s="240" t="str">
        <f t="shared" si="256"/>
        <v xml:space="preserve"> </v>
      </c>
      <c r="H620" s="240" t="str">
        <f t="shared" si="256"/>
        <v xml:space="preserve"> </v>
      </c>
      <c r="I620" s="251" t="str">
        <f t="shared" si="256"/>
        <v xml:space="preserve"> </v>
      </c>
      <c r="J620" s="253"/>
      <c r="K620" s="254"/>
      <c r="CA620" s="238" t="str">
        <f t="shared" si="254"/>
        <v xml:space="preserve"> </v>
      </c>
      <c r="CB620" s="253"/>
      <c r="CC620" s="247"/>
      <c r="CD620" s="240" t="str">
        <f t="shared" si="257"/>
        <v xml:space="preserve"> </v>
      </c>
      <c r="CE620" s="240" t="str">
        <f t="shared" si="257"/>
        <v xml:space="preserve"> </v>
      </c>
      <c r="CF620" s="240" t="str">
        <f t="shared" si="257"/>
        <v xml:space="preserve"> </v>
      </c>
      <c r="CG620" s="240" t="str">
        <f t="shared" si="257"/>
        <v xml:space="preserve"> </v>
      </c>
      <c r="CH620" s="240" t="str">
        <f t="shared" si="257"/>
        <v xml:space="preserve"> </v>
      </c>
      <c r="CI620" s="251" t="str">
        <f t="shared" si="257"/>
        <v xml:space="preserve"> </v>
      </c>
      <c r="CJ620" s="253"/>
      <c r="CK620" s="254"/>
    </row>
    <row r="621" spans="1:89">
      <c r="A621" s="166" t="str">
        <f t="shared" si="252"/>
        <v xml:space="preserve"> </v>
      </c>
      <c r="B621" s="101"/>
      <c r="C621" s="100"/>
      <c r="D621" s="167" t="str">
        <f t="shared" si="256"/>
        <v xml:space="preserve"> </v>
      </c>
      <c r="E621" s="167" t="str">
        <f t="shared" si="256"/>
        <v xml:space="preserve"> </v>
      </c>
      <c r="F621" s="167" t="str">
        <f t="shared" si="256"/>
        <v xml:space="preserve"> </v>
      </c>
      <c r="G621" s="167" t="str">
        <f t="shared" si="256"/>
        <v xml:space="preserve"> </v>
      </c>
      <c r="H621" s="167" t="str">
        <f t="shared" si="256"/>
        <v xml:space="preserve"> </v>
      </c>
      <c r="I621" s="168" t="str">
        <f t="shared" si="256"/>
        <v xml:space="preserve"> </v>
      </c>
      <c r="J621" s="101"/>
      <c r="K621" s="165"/>
      <c r="CA621" s="166" t="str">
        <f t="shared" si="254"/>
        <v xml:space="preserve"> </v>
      </c>
      <c r="CB621" s="101"/>
      <c r="CC621" s="100"/>
      <c r="CD621" s="167" t="str">
        <f t="shared" si="257"/>
        <v xml:space="preserve"> </v>
      </c>
      <c r="CE621" s="167" t="str">
        <f t="shared" si="257"/>
        <v xml:space="preserve"> </v>
      </c>
      <c r="CF621" s="167" t="str">
        <f t="shared" si="257"/>
        <v xml:space="preserve"> </v>
      </c>
      <c r="CG621" s="167" t="str">
        <f t="shared" si="257"/>
        <v xml:space="preserve"> </v>
      </c>
      <c r="CH621" s="167" t="str">
        <f t="shared" si="257"/>
        <v xml:space="preserve"> </v>
      </c>
      <c r="CI621" s="168" t="str">
        <f t="shared" si="257"/>
        <v xml:space="preserve"> </v>
      </c>
      <c r="CJ621" s="101"/>
      <c r="CK621" s="165"/>
    </row>
    <row r="622" spans="1:89">
      <c r="A622" s="238" t="str">
        <f t="shared" si="252"/>
        <v xml:space="preserve"> </v>
      </c>
      <c r="B622" s="253"/>
      <c r="C622" s="247"/>
      <c r="D622" s="240" t="str">
        <f t="shared" si="256"/>
        <v xml:space="preserve"> </v>
      </c>
      <c r="E622" s="240" t="str">
        <f t="shared" si="256"/>
        <v xml:space="preserve"> </v>
      </c>
      <c r="F622" s="240" t="str">
        <f t="shared" si="256"/>
        <v xml:space="preserve"> </v>
      </c>
      <c r="G622" s="240" t="str">
        <f t="shared" si="256"/>
        <v xml:space="preserve"> </v>
      </c>
      <c r="H622" s="240" t="str">
        <f t="shared" si="256"/>
        <v xml:space="preserve"> </v>
      </c>
      <c r="I622" s="251" t="str">
        <f t="shared" si="256"/>
        <v xml:space="preserve"> </v>
      </c>
      <c r="J622" s="253"/>
      <c r="K622" s="254"/>
      <c r="CA622" s="238" t="str">
        <f t="shared" si="254"/>
        <v xml:space="preserve"> </v>
      </c>
      <c r="CB622" s="253"/>
      <c r="CC622" s="247"/>
      <c r="CD622" s="240" t="str">
        <f t="shared" si="257"/>
        <v xml:space="preserve"> </v>
      </c>
      <c r="CE622" s="240" t="str">
        <f t="shared" si="257"/>
        <v xml:space="preserve"> </v>
      </c>
      <c r="CF622" s="240" t="str">
        <f t="shared" si="257"/>
        <v xml:space="preserve"> </v>
      </c>
      <c r="CG622" s="240" t="str">
        <f t="shared" si="257"/>
        <v xml:space="preserve"> </v>
      </c>
      <c r="CH622" s="240" t="str">
        <f t="shared" si="257"/>
        <v xml:space="preserve"> </v>
      </c>
      <c r="CI622" s="251" t="str">
        <f t="shared" si="257"/>
        <v xml:space="preserve"> </v>
      </c>
      <c r="CJ622" s="253"/>
      <c r="CK622" s="254"/>
    </row>
    <row r="623" spans="1:89">
      <c r="A623" s="166" t="str">
        <f t="shared" si="252"/>
        <v xml:space="preserve"> </v>
      </c>
      <c r="B623" s="101"/>
      <c r="C623" s="100"/>
      <c r="D623" s="167" t="str">
        <f t="shared" si="256"/>
        <v xml:space="preserve"> </v>
      </c>
      <c r="E623" s="167" t="str">
        <f t="shared" si="256"/>
        <v xml:space="preserve"> </v>
      </c>
      <c r="F623" s="167" t="str">
        <f t="shared" si="256"/>
        <v xml:space="preserve"> </v>
      </c>
      <c r="G623" s="167" t="str">
        <f t="shared" si="256"/>
        <v xml:space="preserve"> </v>
      </c>
      <c r="H623" s="167" t="str">
        <f t="shared" si="256"/>
        <v xml:space="preserve"> </v>
      </c>
      <c r="I623" s="168" t="str">
        <f t="shared" si="256"/>
        <v xml:space="preserve"> </v>
      </c>
      <c r="J623" s="101"/>
      <c r="K623" s="165"/>
      <c r="CA623" s="166" t="str">
        <f t="shared" si="254"/>
        <v xml:space="preserve"> </v>
      </c>
      <c r="CB623" s="101"/>
      <c r="CC623" s="100"/>
      <c r="CD623" s="167" t="str">
        <f t="shared" si="257"/>
        <v xml:space="preserve"> </v>
      </c>
      <c r="CE623" s="167" t="str">
        <f t="shared" si="257"/>
        <v xml:space="preserve"> </v>
      </c>
      <c r="CF623" s="167" t="str">
        <f t="shared" si="257"/>
        <v xml:space="preserve"> </v>
      </c>
      <c r="CG623" s="167" t="str">
        <f t="shared" si="257"/>
        <v xml:space="preserve"> </v>
      </c>
      <c r="CH623" s="167" t="str">
        <f t="shared" si="257"/>
        <v xml:space="preserve"> </v>
      </c>
      <c r="CI623" s="168" t="str">
        <f t="shared" si="257"/>
        <v xml:space="preserve"> </v>
      </c>
      <c r="CJ623" s="101"/>
      <c r="CK623" s="165"/>
    </row>
    <row r="624" spans="1:89">
      <c r="A624" s="238" t="str">
        <f t="shared" si="252"/>
        <v xml:space="preserve"> </v>
      </c>
      <c r="B624" s="253"/>
      <c r="C624" s="247"/>
      <c r="D624" s="240" t="str">
        <f t="shared" si="256"/>
        <v xml:space="preserve"> </v>
      </c>
      <c r="E624" s="240" t="str">
        <f t="shared" si="256"/>
        <v xml:space="preserve"> </v>
      </c>
      <c r="F624" s="240" t="str">
        <f t="shared" si="256"/>
        <v xml:space="preserve"> </v>
      </c>
      <c r="G624" s="240" t="str">
        <f t="shared" si="256"/>
        <v xml:space="preserve"> </v>
      </c>
      <c r="H624" s="240" t="str">
        <f t="shared" si="256"/>
        <v xml:space="preserve"> </v>
      </c>
      <c r="I624" s="251" t="str">
        <f t="shared" si="256"/>
        <v xml:space="preserve"> </v>
      </c>
      <c r="J624" s="253"/>
      <c r="K624" s="254"/>
      <c r="CA624" s="238" t="str">
        <f t="shared" si="254"/>
        <v xml:space="preserve"> </v>
      </c>
      <c r="CB624" s="253"/>
      <c r="CC624" s="247"/>
      <c r="CD624" s="240" t="str">
        <f t="shared" si="257"/>
        <v xml:space="preserve"> </v>
      </c>
      <c r="CE624" s="240" t="str">
        <f t="shared" si="257"/>
        <v xml:space="preserve"> </v>
      </c>
      <c r="CF624" s="240" t="str">
        <f t="shared" si="257"/>
        <v xml:space="preserve"> </v>
      </c>
      <c r="CG624" s="240" t="str">
        <f t="shared" si="257"/>
        <v xml:space="preserve"> </v>
      </c>
      <c r="CH624" s="240" t="str">
        <f t="shared" si="257"/>
        <v xml:space="preserve"> </v>
      </c>
      <c r="CI624" s="251" t="str">
        <f t="shared" si="257"/>
        <v xml:space="preserve"> </v>
      </c>
      <c r="CJ624" s="253"/>
      <c r="CK624" s="254"/>
    </row>
    <row r="625" spans="1:89">
      <c r="A625" s="166" t="str">
        <f t="shared" si="252"/>
        <v xml:space="preserve"> </v>
      </c>
      <c r="B625" s="101"/>
      <c r="C625" s="100"/>
      <c r="D625" s="167" t="str">
        <f t="shared" si="256"/>
        <v xml:space="preserve"> </v>
      </c>
      <c r="E625" s="167" t="str">
        <f t="shared" si="256"/>
        <v xml:space="preserve"> </v>
      </c>
      <c r="F625" s="167" t="str">
        <f t="shared" si="256"/>
        <v xml:space="preserve"> </v>
      </c>
      <c r="G625" s="167" t="str">
        <f t="shared" si="256"/>
        <v xml:space="preserve"> </v>
      </c>
      <c r="H625" s="167" t="str">
        <f t="shared" si="256"/>
        <v xml:space="preserve"> </v>
      </c>
      <c r="I625" s="168" t="str">
        <f t="shared" si="256"/>
        <v xml:space="preserve"> </v>
      </c>
      <c r="J625" s="101"/>
      <c r="K625" s="165"/>
      <c r="CA625" s="166" t="str">
        <f t="shared" si="254"/>
        <v xml:space="preserve"> </v>
      </c>
      <c r="CB625" s="101"/>
      <c r="CC625" s="100"/>
      <c r="CD625" s="167" t="str">
        <f t="shared" si="257"/>
        <v xml:space="preserve"> </v>
      </c>
      <c r="CE625" s="167" t="str">
        <f t="shared" si="257"/>
        <v xml:space="preserve"> </v>
      </c>
      <c r="CF625" s="167" t="str">
        <f t="shared" si="257"/>
        <v xml:space="preserve"> </v>
      </c>
      <c r="CG625" s="167" t="str">
        <f t="shared" si="257"/>
        <v xml:space="preserve"> </v>
      </c>
      <c r="CH625" s="167" t="str">
        <f t="shared" si="257"/>
        <v xml:space="preserve"> </v>
      </c>
      <c r="CI625" s="168" t="str">
        <f t="shared" si="257"/>
        <v xml:space="preserve"> </v>
      </c>
      <c r="CJ625" s="101"/>
      <c r="CK625" s="165"/>
    </row>
    <row r="626" spans="1:89">
      <c r="A626" s="238" t="str">
        <f t="shared" si="252"/>
        <v xml:space="preserve"> </v>
      </c>
      <c r="B626" s="253"/>
      <c r="C626" s="247"/>
      <c r="D626" s="240" t="str">
        <f t="shared" si="256"/>
        <v xml:space="preserve"> </v>
      </c>
      <c r="E626" s="240" t="str">
        <f t="shared" si="256"/>
        <v xml:space="preserve"> </v>
      </c>
      <c r="F626" s="240" t="str">
        <f t="shared" si="256"/>
        <v xml:space="preserve"> </v>
      </c>
      <c r="G626" s="240" t="str">
        <f t="shared" si="256"/>
        <v xml:space="preserve"> </v>
      </c>
      <c r="H626" s="240" t="str">
        <f t="shared" si="256"/>
        <v xml:space="preserve"> </v>
      </c>
      <c r="I626" s="251" t="str">
        <f t="shared" si="256"/>
        <v xml:space="preserve"> </v>
      </c>
      <c r="J626" s="253"/>
      <c r="K626" s="254"/>
      <c r="CA626" s="238" t="str">
        <f t="shared" si="254"/>
        <v xml:space="preserve"> </v>
      </c>
      <c r="CB626" s="253"/>
      <c r="CC626" s="247"/>
      <c r="CD626" s="240" t="str">
        <f t="shared" si="257"/>
        <v xml:space="preserve"> </v>
      </c>
      <c r="CE626" s="240" t="str">
        <f t="shared" si="257"/>
        <v xml:space="preserve"> </v>
      </c>
      <c r="CF626" s="240" t="str">
        <f t="shared" si="257"/>
        <v xml:space="preserve"> </v>
      </c>
      <c r="CG626" s="240" t="str">
        <f t="shared" si="257"/>
        <v xml:space="preserve"> </v>
      </c>
      <c r="CH626" s="240" t="str">
        <f t="shared" si="257"/>
        <v xml:space="preserve"> </v>
      </c>
      <c r="CI626" s="251" t="str">
        <f t="shared" si="257"/>
        <v xml:space="preserve"> </v>
      </c>
      <c r="CJ626" s="253"/>
      <c r="CK626" s="254"/>
    </row>
    <row r="627" spans="1:89">
      <c r="A627" s="166" t="str">
        <f t="shared" si="252"/>
        <v xml:space="preserve"> </v>
      </c>
      <c r="B627" s="101"/>
      <c r="C627" s="100"/>
      <c r="D627" s="167" t="str">
        <f t="shared" si="256"/>
        <v xml:space="preserve"> </v>
      </c>
      <c r="E627" s="167" t="str">
        <f t="shared" si="256"/>
        <v xml:space="preserve"> </v>
      </c>
      <c r="F627" s="167" t="str">
        <f t="shared" si="256"/>
        <v xml:space="preserve"> </v>
      </c>
      <c r="G627" s="167" t="str">
        <f t="shared" si="256"/>
        <v xml:space="preserve"> </v>
      </c>
      <c r="H627" s="167" t="str">
        <f t="shared" si="256"/>
        <v xml:space="preserve"> </v>
      </c>
      <c r="I627" s="168" t="str">
        <f t="shared" si="256"/>
        <v xml:space="preserve"> </v>
      </c>
      <c r="J627" s="101"/>
      <c r="K627" s="165"/>
      <c r="AE627" s="10"/>
      <c r="AF627" s="10"/>
      <c r="AG627" s="92"/>
      <c r="AH627" s="10"/>
      <c r="AI627" s="10"/>
      <c r="AJ627" s="10"/>
      <c r="AK627" s="10"/>
      <c r="AL627" s="10"/>
      <c r="CA627" s="166" t="str">
        <f t="shared" si="254"/>
        <v xml:space="preserve"> </v>
      </c>
      <c r="CB627" s="101"/>
      <c r="CC627" s="100"/>
      <c r="CD627" s="167" t="str">
        <f t="shared" si="257"/>
        <v xml:space="preserve"> </v>
      </c>
      <c r="CE627" s="167" t="str">
        <f t="shared" si="257"/>
        <v xml:space="preserve"> </v>
      </c>
      <c r="CF627" s="167" t="str">
        <f t="shared" si="257"/>
        <v xml:space="preserve"> </v>
      </c>
      <c r="CG627" s="167" t="str">
        <f t="shared" si="257"/>
        <v xml:space="preserve"> </v>
      </c>
      <c r="CH627" s="167" t="str">
        <f t="shared" si="257"/>
        <v xml:space="preserve"> </v>
      </c>
      <c r="CI627" s="168" t="str">
        <f t="shared" si="257"/>
        <v xml:space="preserve"> </v>
      </c>
      <c r="CJ627" s="101"/>
      <c r="CK627" s="165"/>
    </row>
    <row r="628" spans="1:89">
      <c r="A628" s="238" t="str">
        <f t="shared" si="252"/>
        <v xml:space="preserve"> </v>
      </c>
      <c r="B628" s="253"/>
      <c r="C628" s="247"/>
      <c r="D628" s="240" t="str">
        <f t="shared" si="256"/>
        <v xml:space="preserve"> </v>
      </c>
      <c r="E628" s="240" t="str">
        <f t="shared" si="256"/>
        <v xml:space="preserve"> </v>
      </c>
      <c r="F628" s="240" t="str">
        <f t="shared" si="256"/>
        <v xml:space="preserve"> </v>
      </c>
      <c r="G628" s="240" t="str">
        <f t="shared" si="256"/>
        <v xml:space="preserve"> </v>
      </c>
      <c r="H628" s="240" t="str">
        <f t="shared" si="256"/>
        <v xml:space="preserve"> </v>
      </c>
      <c r="I628" s="251" t="str">
        <f t="shared" si="256"/>
        <v xml:space="preserve"> </v>
      </c>
      <c r="J628" s="253"/>
      <c r="K628" s="254"/>
      <c r="AE628" s="10"/>
      <c r="AF628" s="10"/>
      <c r="AG628" s="10"/>
      <c r="AH628" s="10"/>
      <c r="AI628" s="10"/>
      <c r="AJ628" s="10"/>
      <c r="AK628" s="10"/>
      <c r="AL628" s="10"/>
      <c r="CA628" s="238" t="str">
        <f t="shared" si="254"/>
        <v xml:space="preserve"> </v>
      </c>
      <c r="CB628" s="253"/>
      <c r="CC628" s="247"/>
      <c r="CD628" s="240" t="str">
        <f t="shared" si="257"/>
        <v xml:space="preserve"> </v>
      </c>
      <c r="CE628" s="240" t="str">
        <f t="shared" si="257"/>
        <v xml:space="preserve"> </v>
      </c>
      <c r="CF628" s="240" t="str">
        <f t="shared" si="257"/>
        <v xml:space="preserve"> </v>
      </c>
      <c r="CG628" s="240" t="str">
        <f t="shared" si="257"/>
        <v xml:space="preserve"> </v>
      </c>
      <c r="CH628" s="240" t="str">
        <f t="shared" si="257"/>
        <v xml:space="preserve"> </v>
      </c>
      <c r="CI628" s="251" t="str">
        <f t="shared" si="257"/>
        <v xml:space="preserve"> </v>
      </c>
      <c r="CJ628" s="253"/>
      <c r="CK628" s="254"/>
    </row>
    <row r="629" spans="1:89">
      <c r="A629" s="166" t="str">
        <f t="shared" si="252"/>
        <v xml:space="preserve"> </v>
      </c>
      <c r="B629" s="101"/>
      <c r="C629" s="100"/>
      <c r="D629" s="167" t="str">
        <f t="shared" si="256"/>
        <v xml:space="preserve"> </v>
      </c>
      <c r="E629" s="167" t="str">
        <f t="shared" si="256"/>
        <v xml:space="preserve"> </v>
      </c>
      <c r="F629" s="167" t="str">
        <f t="shared" si="256"/>
        <v xml:space="preserve"> </v>
      </c>
      <c r="G629" s="167" t="str">
        <f t="shared" si="256"/>
        <v xml:space="preserve"> </v>
      </c>
      <c r="H629" s="167" t="str">
        <f t="shared" si="256"/>
        <v xml:space="preserve"> </v>
      </c>
      <c r="I629" s="168" t="str">
        <f t="shared" si="256"/>
        <v xml:space="preserve"> </v>
      </c>
      <c r="J629" s="101"/>
      <c r="K629" s="165"/>
      <c r="AE629" s="10"/>
      <c r="AF629" s="10"/>
      <c r="AG629" s="92"/>
      <c r="AH629" s="10"/>
      <c r="AI629" s="10"/>
      <c r="AJ629" s="10"/>
      <c r="AK629" s="10"/>
      <c r="AL629" s="10"/>
      <c r="CA629" s="166" t="str">
        <f t="shared" si="254"/>
        <v xml:space="preserve"> </v>
      </c>
      <c r="CB629" s="101"/>
      <c r="CC629" s="100"/>
      <c r="CD629" s="167" t="str">
        <f t="shared" si="257"/>
        <v xml:space="preserve"> </v>
      </c>
      <c r="CE629" s="167" t="str">
        <f t="shared" si="257"/>
        <v xml:space="preserve"> </v>
      </c>
      <c r="CF629" s="167" t="str">
        <f t="shared" si="257"/>
        <v xml:space="preserve"> </v>
      </c>
      <c r="CG629" s="167" t="str">
        <f t="shared" si="257"/>
        <v xml:space="preserve"> </v>
      </c>
      <c r="CH629" s="167" t="str">
        <f t="shared" si="257"/>
        <v xml:space="preserve"> </v>
      </c>
      <c r="CI629" s="168" t="str">
        <f t="shared" si="257"/>
        <v xml:space="preserve"> </v>
      </c>
      <c r="CJ629" s="101"/>
      <c r="CK629" s="165"/>
    </row>
    <row r="630" spans="1:89">
      <c r="A630" s="238" t="str">
        <f t="shared" si="252"/>
        <v xml:space="preserve"> </v>
      </c>
      <c r="B630" s="253"/>
      <c r="C630" s="247"/>
      <c r="D630" s="240" t="str">
        <f t="shared" si="256"/>
        <v xml:space="preserve"> </v>
      </c>
      <c r="E630" s="240" t="str">
        <f t="shared" si="256"/>
        <v xml:space="preserve"> </v>
      </c>
      <c r="F630" s="240" t="str">
        <f t="shared" si="256"/>
        <v xml:space="preserve"> </v>
      </c>
      <c r="G630" s="240" t="str">
        <f t="shared" si="256"/>
        <v xml:space="preserve"> </v>
      </c>
      <c r="H630" s="240" t="str">
        <f t="shared" si="256"/>
        <v xml:space="preserve"> </v>
      </c>
      <c r="I630" s="251" t="str">
        <f t="shared" si="256"/>
        <v xml:space="preserve"> </v>
      </c>
      <c r="J630" s="253"/>
      <c r="K630" s="254"/>
      <c r="AE630" s="10"/>
      <c r="AF630" s="10"/>
      <c r="AG630" s="92"/>
      <c r="AH630" s="10"/>
      <c r="AI630" s="10"/>
      <c r="AJ630" s="10"/>
      <c r="AK630" s="10"/>
      <c r="AL630" s="10"/>
      <c r="CA630" s="238" t="str">
        <f t="shared" si="254"/>
        <v xml:space="preserve"> </v>
      </c>
      <c r="CB630" s="253"/>
      <c r="CC630" s="247"/>
      <c r="CD630" s="240" t="str">
        <f t="shared" si="257"/>
        <v xml:space="preserve"> </v>
      </c>
      <c r="CE630" s="240" t="str">
        <f t="shared" si="257"/>
        <v xml:space="preserve"> </v>
      </c>
      <c r="CF630" s="240" t="str">
        <f t="shared" si="257"/>
        <v xml:space="preserve"> </v>
      </c>
      <c r="CG630" s="240" t="str">
        <f t="shared" si="257"/>
        <v xml:space="preserve"> </v>
      </c>
      <c r="CH630" s="240" t="str">
        <f t="shared" si="257"/>
        <v xml:space="preserve"> </v>
      </c>
      <c r="CI630" s="251" t="str">
        <f t="shared" si="257"/>
        <v xml:space="preserve"> </v>
      </c>
      <c r="CJ630" s="253"/>
      <c r="CK630" s="254"/>
    </row>
    <row r="631" spans="1:89">
      <c r="A631" s="166" t="str">
        <f t="shared" si="252"/>
        <v xml:space="preserve"> </v>
      </c>
      <c r="B631" s="101"/>
      <c r="C631" s="100"/>
      <c r="D631" s="167" t="str">
        <f t="shared" si="256"/>
        <v xml:space="preserve"> </v>
      </c>
      <c r="E631" s="167" t="str">
        <f t="shared" si="256"/>
        <v xml:space="preserve"> </v>
      </c>
      <c r="F631" s="167" t="str">
        <f t="shared" si="256"/>
        <v xml:space="preserve"> </v>
      </c>
      <c r="G631" s="167" t="str">
        <f t="shared" si="256"/>
        <v xml:space="preserve"> </v>
      </c>
      <c r="H631" s="167" t="str">
        <f t="shared" si="256"/>
        <v xml:space="preserve"> </v>
      </c>
      <c r="I631" s="168" t="str">
        <f t="shared" si="256"/>
        <v xml:space="preserve"> </v>
      </c>
      <c r="J631" s="101"/>
      <c r="K631" s="165"/>
      <c r="AE631" s="10"/>
      <c r="AF631" s="10"/>
      <c r="AG631" s="10"/>
      <c r="AH631" s="10"/>
      <c r="AI631" s="10"/>
      <c r="AJ631" s="10"/>
      <c r="AK631" s="10"/>
      <c r="AL631" s="10"/>
      <c r="CA631" s="166" t="str">
        <f t="shared" si="254"/>
        <v xml:space="preserve"> </v>
      </c>
      <c r="CB631" s="101"/>
      <c r="CC631" s="100"/>
      <c r="CD631" s="167" t="str">
        <f t="shared" si="257"/>
        <v xml:space="preserve"> </v>
      </c>
      <c r="CE631" s="167" t="str">
        <f t="shared" si="257"/>
        <v xml:space="preserve"> </v>
      </c>
      <c r="CF631" s="167" t="str">
        <f t="shared" si="257"/>
        <v xml:space="preserve"> </v>
      </c>
      <c r="CG631" s="167" t="str">
        <f t="shared" si="257"/>
        <v xml:space="preserve"> </v>
      </c>
      <c r="CH631" s="167" t="str">
        <f t="shared" si="257"/>
        <v xml:space="preserve"> </v>
      </c>
      <c r="CI631" s="168" t="str">
        <f t="shared" si="257"/>
        <v xml:space="preserve"> </v>
      </c>
      <c r="CJ631" s="101"/>
      <c r="CK631" s="165"/>
    </row>
    <row r="632" spans="1:89">
      <c r="A632" s="246" t="str">
        <f t="shared" si="252"/>
        <v xml:space="preserve"> </v>
      </c>
      <c r="B632" s="258"/>
      <c r="C632" s="247"/>
      <c r="D632" s="247" t="str">
        <f t="shared" si="256"/>
        <v xml:space="preserve"> </v>
      </c>
      <c r="E632" s="247" t="str">
        <f t="shared" si="256"/>
        <v xml:space="preserve"> </v>
      </c>
      <c r="F632" s="247" t="str">
        <f t="shared" si="256"/>
        <v xml:space="preserve"> </v>
      </c>
      <c r="G632" s="247" t="str">
        <f t="shared" si="256"/>
        <v xml:space="preserve"> </v>
      </c>
      <c r="H632" s="247" t="str">
        <f t="shared" si="256"/>
        <v xml:space="preserve"> </v>
      </c>
      <c r="I632" s="256" t="str">
        <f t="shared" si="256"/>
        <v xml:space="preserve"> </v>
      </c>
      <c r="J632" s="258"/>
      <c r="K632" s="259"/>
      <c r="AE632" s="10"/>
      <c r="AF632" s="10"/>
      <c r="AG632" s="10"/>
      <c r="AH632" s="10"/>
      <c r="AI632" s="10"/>
      <c r="AJ632" s="10"/>
      <c r="AK632" s="10"/>
      <c r="AL632" s="10"/>
      <c r="CA632" s="246" t="str">
        <f t="shared" si="254"/>
        <v xml:space="preserve"> </v>
      </c>
      <c r="CB632" s="258"/>
      <c r="CC632" s="247"/>
      <c r="CD632" s="247" t="str">
        <f t="shared" si="257"/>
        <v xml:space="preserve"> </v>
      </c>
      <c r="CE632" s="247" t="str">
        <f t="shared" si="257"/>
        <v xml:space="preserve"> </v>
      </c>
      <c r="CF632" s="247" t="str">
        <f t="shared" si="257"/>
        <v xml:space="preserve"> </v>
      </c>
      <c r="CG632" s="247" t="str">
        <f t="shared" si="257"/>
        <v xml:space="preserve"> </v>
      </c>
      <c r="CH632" s="247" t="str">
        <f t="shared" si="257"/>
        <v xml:space="preserve"> </v>
      </c>
      <c r="CI632" s="256" t="str">
        <f t="shared" si="257"/>
        <v xml:space="preserve"> </v>
      </c>
      <c r="CJ632" s="258"/>
      <c r="CK632" s="259"/>
    </row>
    <row r="633" spans="1:89">
      <c r="A633" s="179" t="s">
        <v>5212</v>
      </c>
      <c r="B633" s="102"/>
      <c r="C633" s="175" t="s">
        <v>5018</v>
      </c>
      <c r="D633" s="175" t="s">
        <v>5701</v>
      </c>
      <c r="E633" s="175" t="s">
        <v>5019</v>
      </c>
      <c r="F633" s="175" t="s">
        <v>5020</v>
      </c>
      <c r="G633" s="175" t="s">
        <v>5021</v>
      </c>
      <c r="H633" s="175" t="s">
        <v>5022</v>
      </c>
      <c r="I633" s="221" t="s">
        <v>5316</v>
      </c>
      <c r="J633" s="176"/>
      <c r="K633" s="180"/>
      <c r="AE633" s="10"/>
      <c r="AF633" s="10"/>
      <c r="AG633" s="10"/>
      <c r="AH633" s="10"/>
      <c r="AI633" s="10"/>
      <c r="AJ633" s="10"/>
      <c r="AK633" s="10"/>
      <c r="AL633" s="10"/>
      <c r="CA633" s="179" t="s">
        <v>5212</v>
      </c>
      <c r="CB633" s="102"/>
      <c r="CC633" s="175" t="s">
        <v>5018</v>
      </c>
      <c r="CD633" s="175" t="s">
        <v>5701</v>
      </c>
      <c r="CE633" s="175" t="s">
        <v>5019</v>
      </c>
      <c r="CF633" s="175" t="s">
        <v>5020</v>
      </c>
      <c r="CG633" s="175" t="s">
        <v>5021</v>
      </c>
      <c r="CH633" s="175" t="s">
        <v>5022</v>
      </c>
      <c r="CI633" s="221" t="s">
        <v>5316</v>
      </c>
      <c r="CJ633" s="176"/>
      <c r="CK633" s="180"/>
    </row>
    <row r="634" spans="1:89">
      <c r="A634" s="166" t="str">
        <f t="shared" ref="A634:A645" si="258">IF(AND(A1434&gt;0,$E$134&gt;7),A1434," ")</f>
        <v xml:space="preserve"> </v>
      </c>
      <c r="B634" s="101"/>
      <c r="C634" s="100"/>
      <c r="D634" s="167" t="str">
        <f t="shared" ref="D634:I645" si="259">IF(AND(D1434&gt;0,$E$134&gt;7),D1434," ")</f>
        <v xml:space="preserve"> </v>
      </c>
      <c r="E634" s="167" t="str">
        <f t="shared" si="259"/>
        <v xml:space="preserve"> </v>
      </c>
      <c r="F634" s="167" t="str">
        <f t="shared" si="259"/>
        <v xml:space="preserve"> </v>
      </c>
      <c r="G634" s="167" t="str">
        <f t="shared" si="259"/>
        <v xml:space="preserve"> </v>
      </c>
      <c r="H634" s="167" t="str">
        <f t="shared" si="259"/>
        <v xml:space="preserve"> </v>
      </c>
      <c r="I634" s="168" t="str">
        <f t="shared" si="259"/>
        <v xml:space="preserve"> </v>
      </c>
      <c r="J634" s="101"/>
      <c r="K634" s="165"/>
      <c r="AE634" s="10"/>
      <c r="AF634" s="10"/>
      <c r="AG634" s="10"/>
      <c r="AH634" s="10"/>
      <c r="AI634" s="10"/>
      <c r="AJ634" s="10"/>
      <c r="AK634" s="10"/>
      <c r="AL634" s="10"/>
      <c r="CA634" s="166" t="str">
        <f t="shared" ref="CA634:CA645" si="260">IF(AND(CA1434&gt;0,$E$134&gt;7),CA1434," ")</f>
        <v xml:space="preserve"> </v>
      </c>
      <c r="CB634" s="101"/>
      <c r="CC634" s="100"/>
      <c r="CD634" s="167" t="str">
        <f t="shared" ref="CD634:CI645" si="261">IF(AND(CD1434&gt;0,$E$134&gt;7),CD1434," ")</f>
        <v xml:space="preserve"> </v>
      </c>
      <c r="CE634" s="167" t="str">
        <f t="shared" si="261"/>
        <v xml:space="preserve"> </v>
      </c>
      <c r="CF634" s="167" t="str">
        <f t="shared" si="261"/>
        <v xml:space="preserve"> </v>
      </c>
      <c r="CG634" s="167" t="str">
        <f t="shared" si="261"/>
        <v xml:space="preserve"> </v>
      </c>
      <c r="CH634" s="167" t="str">
        <f t="shared" si="261"/>
        <v xml:space="preserve"> </v>
      </c>
      <c r="CI634" s="168" t="str">
        <f t="shared" si="261"/>
        <v xml:space="preserve"> </v>
      </c>
      <c r="CJ634" s="101"/>
      <c r="CK634" s="165"/>
    </row>
    <row r="635" spans="1:89">
      <c r="A635" s="238" t="str">
        <f t="shared" si="258"/>
        <v xml:space="preserve"> </v>
      </c>
      <c r="B635" s="253"/>
      <c r="C635" s="247"/>
      <c r="D635" s="240" t="str">
        <f t="shared" si="259"/>
        <v xml:space="preserve"> </v>
      </c>
      <c r="E635" s="240" t="str">
        <f t="shared" si="259"/>
        <v xml:space="preserve"> </v>
      </c>
      <c r="F635" s="240" t="str">
        <f t="shared" si="259"/>
        <v xml:space="preserve"> </v>
      </c>
      <c r="G635" s="240" t="str">
        <f t="shared" si="259"/>
        <v xml:space="preserve"> </v>
      </c>
      <c r="H635" s="240" t="str">
        <f t="shared" si="259"/>
        <v xml:space="preserve"> </v>
      </c>
      <c r="I635" s="251" t="str">
        <f t="shared" si="259"/>
        <v xml:space="preserve"> </v>
      </c>
      <c r="J635" s="253"/>
      <c r="K635" s="254"/>
      <c r="AE635" s="10"/>
      <c r="AF635" s="10"/>
      <c r="AG635" s="10"/>
      <c r="AH635" s="10"/>
      <c r="AI635" s="10"/>
      <c r="AJ635" s="10"/>
      <c r="AK635" s="10"/>
      <c r="AL635" s="10"/>
      <c r="CA635" s="238" t="str">
        <f t="shared" si="260"/>
        <v xml:space="preserve"> </v>
      </c>
      <c r="CB635" s="253"/>
      <c r="CC635" s="247"/>
      <c r="CD635" s="240" t="str">
        <f t="shared" si="261"/>
        <v xml:space="preserve"> </v>
      </c>
      <c r="CE635" s="240" t="str">
        <f t="shared" si="261"/>
        <v xml:space="preserve"> </v>
      </c>
      <c r="CF635" s="240" t="str">
        <f t="shared" si="261"/>
        <v xml:space="preserve"> </v>
      </c>
      <c r="CG635" s="240" t="str">
        <f t="shared" si="261"/>
        <v xml:space="preserve"> </v>
      </c>
      <c r="CH635" s="240" t="str">
        <f t="shared" si="261"/>
        <v xml:space="preserve"> </v>
      </c>
      <c r="CI635" s="251" t="str">
        <f t="shared" si="261"/>
        <v xml:space="preserve"> </v>
      </c>
      <c r="CJ635" s="253"/>
      <c r="CK635" s="254"/>
    </row>
    <row r="636" spans="1:89">
      <c r="A636" s="166" t="str">
        <f t="shared" si="258"/>
        <v xml:space="preserve"> </v>
      </c>
      <c r="B636" s="101"/>
      <c r="C636" s="100"/>
      <c r="D636" s="167" t="str">
        <f t="shared" si="259"/>
        <v xml:space="preserve"> </v>
      </c>
      <c r="E636" s="167" t="str">
        <f t="shared" si="259"/>
        <v xml:space="preserve"> </v>
      </c>
      <c r="F636" s="167" t="str">
        <f t="shared" si="259"/>
        <v xml:space="preserve"> </v>
      </c>
      <c r="G636" s="167" t="str">
        <f t="shared" si="259"/>
        <v xml:space="preserve"> </v>
      </c>
      <c r="H636" s="167" t="str">
        <f t="shared" si="259"/>
        <v xml:space="preserve"> </v>
      </c>
      <c r="I636" s="168" t="str">
        <f t="shared" si="259"/>
        <v xml:space="preserve"> </v>
      </c>
      <c r="J636" s="101"/>
      <c r="K636" s="165"/>
      <c r="AE636" s="10"/>
      <c r="AF636" s="10"/>
      <c r="AG636" s="10"/>
      <c r="AH636" s="10"/>
      <c r="AI636" s="10"/>
      <c r="AJ636" s="10"/>
      <c r="AK636" s="10"/>
      <c r="AL636" s="10"/>
      <c r="CA636" s="166" t="str">
        <f t="shared" si="260"/>
        <v xml:space="preserve"> </v>
      </c>
      <c r="CB636" s="101"/>
      <c r="CC636" s="100"/>
      <c r="CD636" s="167" t="str">
        <f t="shared" si="261"/>
        <v xml:space="preserve"> </v>
      </c>
      <c r="CE636" s="167" t="str">
        <f t="shared" si="261"/>
        <v xml:space="preserve"> </v>
      </c>
      <c r="CF636" s="167" t="str">
        <f t="shared" si="261"/>
        <v xml:space="preserve"> </v>
      </c>
      <c r="CG636" s="167" t="str">
        <f t="shared" si="261"/>
        <v xml:space="preserve"> </v>
      </c>
      <c r="CH636" s="167" t="str">
        <f t="shared" si="261"/>
        <v xml:space="preserve"> </v>
      </c>
      <c r="CI636" s="168" t="str">
        <f t="shared" si="261"/>
        <v xml:space="preserve"> </v>
      </c>
      <c r="CJ636" s="101"/>
      <c r="CK636" s="165"/>
    </row>
    <row r="637" spans="1:89">
      <c r="A637" s="238" t="str">
        <f t="shared" si="258"/>
        <v xml:space="preserve"> </v>
      </c>
      <c r="B637" s="253"/>
      <c r="C637" s="247"/>
      <c r="D637" s="240" t="str">
        <f t="shared" si="259"/>
        <v xml:space="preserve"> </v>
      </c>
      <c r="E637" s="240" t="str">
        <f t="shared" si="259"/>
        <v xml:space="preserve"> </v>
      </c>
      <c r="F637" s="240" t="str">
        <f t="shared" si="259"/>
        <v xml:space="preserve"> </v>
      </c>
      <c r="G637" s="240" t="str">
        <f t="shared" si="259"/>
        <v xml:space="preserve"> </v>
      </c>
      <c r="H637" s="240" t="str">
        <f t="shared" si="259"/>
        <v xml:space="preserve"> </v>
      </c>
      <c r="I637" s="251" t="str">
        <f t="shared" si="259"/>
        <v xml:space="preserve"> </v>
      </c>
      <c r="J637" s="253"/>
      <c r="K637" s="254"/>
      <c r="AE637" s="10"/>
      <c r="AF637" s="10"/>
      <c r="AG637" s="10"/>
      <c r="AH637" s="10"/>
      <c r="AI637" s="10"/>
      <c r="AJ637" s="10"/>
      <c r="AK637" s="10"/>
      <c r="AL637" s="10"/>
      <c r="CA637" s="238" t="str">
        <f t="shared" si="260"/>
        <v xml:space="preserve"> </v>
      </c>
      <c r="CB637" s="253"/>
      <c r="CC637" s="247"/>
      <c r="CD637" s="240" t="str">
        <f t="shared" si="261"/>
        <v xml:space="preserve"> </v>
      </c>
      <c r="CE637" s="240" t="str">
        <f t="shared" si="261"/>
        <v xml:space="preserve"> </v>
      </c>
      <c r="CF637" s="240" t="str">
        <f t="shared" si="261"/>
        <v xml:space="preserve"> </v>
      </c>
      <c r="CG637" s="240" t="str">
        <f t="shared" si="261"/>
        <v xml:space="preserve"> </v>
      </c>
      <c r="CH637" s="240" t="str">
        <f t="shared" si="261"/>
        <v xml:space="preserve"> </v>
      </c>
      <c r="CI637" s="251" t="str">
        <f t="shared" si="261"/>
        <v xml:space="preserve"> </v>
      </c>
      <c r="CJ637" s="253"/>
      <c r="CK637" s="254"/>
    </row>
    <row r="638" spans="1:89">
      <c r="A638" s="166" t="str">
        <f t="shared" si="258"/>
        <v xml:space="preserve"> </v>
      </c>
      <c r="B638" s="101"/>
      <c r="C638" s="100"/>
      <c r="D638" s="167" t="str">
        <f t="shared" si="259"/>
        <v xml:space="preserve"> </v>
      </c>
      <c r="E638" s="167" t="str">
        <f t="shared" si="259"/>
        <v xml:space="preserve"> </v>
      </c>
      <c r="F638" s="167" t="str">
        <f t="shared" si="259"/>
        <v xml:space="preserve"> </v>
      </c>
      <c r="G638" s="167" t="str">
        <f t="shared" si="259"/>
        <v xml:space="preserve"> </v>
      </c>
      <c r="H638" s="167" t="str">
        <f t="shared" si="259"/>
        <v xml:space="preserve"> </v>
      </c>
      <c r="I638" s="168" t="str">
        <f t="shared" si="259"/>
        <v xml:space="preserve"> </v>
      </c>
      <c r="J638" s="101"/>
      <c r="K638" s="165"/>
      <c r="AE638" s="10"/>
      <c r="AF638" s="10"/>
      <c r="AG638" s="10"/>
      <c r="AH638" s="10"/>
      <c r="AI638" s="10"/>
      <c r="AJ638" s="10"/>
      <c r="AK638" s="10"/>
      <c r="AL638" s="10"/>
      <c r="CA638" s="166" t="str">
        <f t="shared" si="260"/>
        <v xml:space="preserve"> </v>
      </c>
      <c r="CB638" s="101"/>
      <c r="CC638" s="100"/>
      <c r="CD638" s="167" t="str">
        <f t="shared" si="261"/>
        <v xml:space="preserve"> </v>
      </c>
      <c r="CE638" s="167" t="str">
        <f t="shared" si="261"/>
        <v xml:space="preserve"> </v>
      </c>
      <c r="CF638" s="167" t="str">
        <f t="shared" si="261"/>
        <v xml:space="preserve"> </v>
      </c>
      <c r="CG638" s="167" t="str">
        <f t="shared" si="261"/>
        <v xml:space="preserve"> </v>
      </c>
      <c r="CH638" s="167" t="str">
        <f t="shared" si="261"/>
        <v xml:space="preserve"> </v>
      </c>
      <c r="CI638" s="168" t="str">
        <f t="shared" si="261"/>
        <v xml:space="preserve"> </v>
      </c>
      <c r="CJ638" s="101"/>
      <c r="CK638" s="165"/>
    </row>
    <row r="639" spans="1:89">
      <c r="A639" s="238" t="str">
        <f t="shared" si="258"/>
        <v xml:space="preserve"> </v>
      </c>
      <c r="B639" s="253"/>
      <c r="C639" s="247"/>
      <c r="D639" s="240" t="str">
        <f t="shared" si="259"/>
        <v xml:space="preserve"> </v>
      </c>
      <c r="E639" s="240" t="str">
        <f t="shared" si="259"/>
        <v xml:space="preserve"> </v>
      </c>
      <c r="F639" s="240" t="str">
        <f t="shared" si="259"/>
        <v xml:space="preserve"> </v>
      </c>
      <c r="G639" s="240" t="str">
        <f t="shared" si="259"/>
        <v xml:space="preserve"> </v>
      </c>
      <c r="H639" s="240" t="str">
        <f t="shared" si="259"/>
        <v xml:space="preserve"> </v>
      </c>
      <c r="I639" s="251" t="str">
        <f t="shared" si="259"/>
        <v xml:space="preserve"> </v>
      </c>
      <c r="J639" s="253"/>
      <c r="K639" s="254"/>
      <c r="AE639" s="10"/>
      <c r="AF639" s="10"/>
      <c r="AG639" s="10"/>
      <c r="AH639" s="10"/>
      <c r="AI639" s="10"/>
      <c r="AJ639" s="10"/>
      <c r="AK639" s="10"/>
      <c r="AL639" s="10"/>
      <c r="CA639" s="238" t="str">
        <f t="shared" si="260"/>
        <v xml:space="preserve"> </v>
      </c>
      <c r="CB639" s="253"/>
      <c r="CC639" s="247"/>
      <c r="CD639" s="240" t="str">
        <f t="shared" si="261"/>
        <v xml:space="preserve"> </v>
      </c>
      <c r="CE639" s="240" t="str">
        <f t="shared" si="261"/>
        <v xml:space="preserve"> </v>
      </c>
      <c r="CF639" s="240" t="str">
        <f t="shared" si="261"/>
        <v xml:space="preserve"> </v>
      </c>
      <c r="CG639" s="240" t="str">
        <f t="shared" si="261"/>
        <v xml:space="preserve"> </v>
      </c>
      <c r="CH639" s="240" t="str">
        <f t="shared" si="261"/>
        <v xml:space="preserve"> </v>
      </c>
      <c r="CI639" s="251" t="str">
        <f t="shared" si="261"/>
        <v xml:space="preserve"> </v>
      </c>
      <c r="CJ639" s="253"/>
      <c r="CK639" s="254"/>
    </row>
    <row r="640" spans="1:89">
      <c r="A640" s="166" t="str">
        <f t="shared" si="258"/>
        <v xml:space="preserve"> </v>
      </c>
      <c r="B640" s="101"/>
      <c r="C640" s="100"/>
      <c r="D640" s="167" t="str">
        <f t="shared" si="259"/>
        <v xml:space="preserve"> </v>
      </c>
      <c r="E640" s="167" t="str">
        <f t="shared" si="259"/>
        <v xml:space="preserve"> </v>
      </c>
      <c r="F640" s="167" t="str">
        <f t="shared" si="259"/>
        <v xml:space="preserve"> </v>
      </c>
      <c r="G640" s="167" t="str">
        <f t="shared" si="259"/>
        <v xml:space="preserve"> </v>
      </c>
      <c r="H640" s="167" t="str">
        <f t="shared" si="259"/>
        <v xml:space="preserve"> </v>
      </c>
      <c r="I640" s="168" t="str">
        <f t="shared" si="259"/>
        <v xml:space="preserve"> </v>
      </c>
      <c r="J640" s="101"/>
      <c r="K640" s="165"/>
      <c r="AE640" s="10"/>
      <c r="AF640" s="92"/>
      <c r="AG640" s="10"/>
      <c r="AH640" s="10"/>
      <c r="AI640" s="10"/>
      <c r="AJ640" s="10"/>
      <c r="AK640" s="10"/>
      <c r="AL640" s="10"/>
      <c r="CA640" s="166" t="str">
        <f t="shared" si="260"/>
        <v xml:space="preserve"> </v>
      </c>
      <c r="CB640" s="101"/>
      <c r="CC640" s="100"/>
      <c r="CD640" s="167" t="str">
        <f t="shared" si="261"/>
        <v xml:space="preserve"> </v>
      </c>
      <c r="CE640" s="167" t="str">
        <f t="shared" si="261"/>
        <v xml:space="preserve"> </v>
      </c>
      <c r="CF640" s="167" t="str">
        <f t="shared" si="261"/>
        <v xml:space="preserve"> </v>
      </c>
      <c r="CG640" s="167" t="str">
        <f t="shared" si="261"/>
        <v xml:space="preserve"> </v>
      </c>
      <c r="CH640" s="167" t="str">
        <f t="shared" si="261"/>
        <v xml:space="preserve"> </v>
      </c>
      <c r="CI640" s="168" t="str">
        <f t="shared" si="261"/>
        <v xml:space="preserve"> </v>
      </c>
      <c r="CJ640" s="101"/>
      <c r="CK640" s="165"/>
    </row>
    <row r="641" spans="1:89">
      <c r="A641" s="238" t="str">
        <f t="shared" si="258"/>
        <v xml:space="preserve"> </v>
      </c>
      <c r="B641" s="253"/>
      <c r="C641" s="247"/>
      <c r="D641" s="240" t="str">
        <f t="shared" si="259"/>
        <v xml:space="preserve"> </v>
      </c>
      <c r="E641" s="240" t="str">
        <f t="shared" si="259"/>
        <v xml:space="preserve"> </v>
      </c>
      <c r="F641" s="240" t="str">
        <f t="shared" si="259"/>
        <v xml:space="preserve"> </v>
      </c>
      <c r="G641" s="240" t="str">
        <f t="shared" si="259"/>
        <v xml:space="preserve"> </v>
      </c>
      <c r="H641" s="240" t="str">
        <f t="shared" si="259"/>
        <v xml:space="preserve"> </v>
      </c>
      <c r="I641" s="251" t="str">
        <f t="shared" si="259"/>
        <v xml:space="preserve"> </v>
      </c>
      <c r="J641" s="253"/>
      <c r="K641" s="254"/>
      <c r="AE641" s="10"/>
      <c r="AF641" s="10"/>
      <c r="AG641" s="10"/>
      <c r="AH641" s="10"/>
      <c r="AI641" s="10"/>
      <c r="AJ641" s="10"/>
      <c r="AK641" s="10"/>
      <c r="AL641" s="10"/>
      <c r="CA641" s="238" t="str">
        <f t="shared" si="260"/>
        <v xml:space="preserve"> </v>
      </c>
      <c r="CB641" s="253"/>
      <c r="CC641" s="247"/>
      <c r="CD641" s="240" t="str">
        <f t="shared" si="261"/>
        <v xml:space="preserve"> </v>
      </c>
      <c r="CE641" s="240" t="str">
        <f t="shared" si="261"/>
        <v xml:space="preserve"> </v>
      </c>
      <c r="CF641" s="240" t="str">
        <f t="shared" si="261"/>
        <v xml:space="preserve"> </v>
      </c>
      <c r="CG641" s="240" t="str">
        <f t="shared" si="261"/>
        <v xml:space="preserve"> </v>
      </c>
      <c r="CH641" s="240" t="str">
        <f t="shared" si="261"/>
        <v xml:space="preserve"> </v>
      </c>
      <c r="CI641" s="251" t="str">
        <f t="shared" si="261"/>
        <v xml:space="preserve"> </v>
      </c>
      <c r="CJ641" s="253"/>
      <c r="CK641" s="254"/>
    </row>
    <row r="642" spans="1:89">
      <c r="A642" s="166" t="str">
        <f t="shared" si="258"/>
        <v xml:space="preserve"> </v>
      </c>
      <c r="B642" s="101"/>
      <c r="C642" s="100"/>
      <c r="D642" s="167" t="str">
        <f t="shared" si="259"/>
        <v xml:space="preserve"> </v>
      </c>
      <c r="E642" s="167" t="str">
        <f t="shared" si="259"/>
        <v xml:space="preserve"> </v>
      </c>
      <c r="F642" s="167" t="str">
        <f t="shared" si="259"/>
        <v xml:space="preserve"> </v>
      </c>
      <c r="G642" s="167" t="str">
        <f t="shared" si="259"/>
        <v xml:space="preserve"> </v>
      </c>
      <c r="H642" s="167" t="str">
        <f t="shared" si="259"/>
        <v xml:space="preserve"> </v>
      </c>
      <c r="I642" s="168" t="str">
        <f t="shared" si="259"/>
        <v xml:space="preserve"> </v>
      </c>
      <c r="J642" s="101"/>
      <c r="K642" s="165"/>
      <c r="AE642" s="10"/>
      <c r="AF642" s="10"/>
      <c r="AG642" s="10"/>
      <c r="AH642" s="10"/>
      <c r="AI642" s="10"/>
      <c r="AJ642" s="10"/>
      <c r="AK642" s="10"/>
      <c r="AL642" s="10"/>
      <c r="CA642" s="166" t="str">
        <f t="shared" si="260"/>
        <v xml:space="preserve"> </v>
      </c>
      <c r="CB642" s="101"/>
      <c r="CC642" s="100"/>
      <c r="CD642" s="167" t="str">
        <f t="shared" si="261"/>
        <v xml:space="preserve"> </v>
      </c>
      <c r="CE642" s="167" t="str">
        <f t="shared" si="261"/>
        <v xml:space="preserve"> </v>
      </c>
      <c r="CF642" s="167" t="str">
        <f t="shared" si="261"/>
        <v xml:space="preserve"> </v>
      </c>
      <c r="CG642" s="167" t="str">
        <f t="shared" si="261"/>
        <v xml:space="preserve"> </v>
      </c>
      <c r="CH642" s="167" t="str">
        <f t="shared" si="261"/>
        <v xml:space="preserve"> </v>
      </c>
      <c r="CI642" s="168" t="str">
        <f t="shared" si="261"/>
        <v xml:space="preserve"> </v>
      </c>
      <c r="CJ642" s="101"/>
      <c r="CK642" s="165"/>
    </row>
    <row r="643" spans="1:89">
      <c r="A643" s="238" t="str">
        <f t="shared" si="258"/>
        <v xml:space="preserve"> </v>
      </c>
      <c r="B643" s="253"/>
      <c r="C643" s="247"/>
      <c r="D643" s="240" t="str">
        <f t="shared" si="259"/>
        <v xml:space="preserve"> </v>
      </c>
      <c r="E643" s="240" t="str">
        <f t="shared" si="259"/>
        <v xml:space="preserve"> </v>
      </c>
      <c r="F643" s="240" t="str">
        <f t="shared" si="259"/>
        <v xml:space="preserve"> </v>
      </c>
      <c r="G643" s="240" t="str">
        <f t="shared" si="259"/>
        <v xml:space="preserve"> </v>
      </c>
      <c r="H643" s="240" t="str">
        <f t="shared" si="259"/>
        <v xml:space="preserve"> </v>
      </c>
      <c r="I643" s="251" t="str">
        <f t="shared" si="259"/>
        <v xml:space="preserve"> </v>
      </c>
      <c r="J643" s="253"/>
      <c r="K643" s="254"/>
      <c r="CA643" s="238" t="str">
        <f t="shared" si="260"/>
        <v xml:space="preserve"> </v>
      </c>
      <c r="CB643" s="253"/>
      <c r="CC643" s="247"/>
      <c r="CD643" s="240" t="str">
        <f t="shared" si="261"/>
        <v xml:space="preserve"> </v>
      </c>
      <c r="CE643" s="240" t="str">
        <f t="shared" si="261"/>
        <v xml:space="preserve"> </v>
      </c>
      <c r="CF643" s="240" t="str">
        <f t="shared" si="261"/>
        <v xml:space="preserve"> </v>
      </c>
      <c r="CG643" s="240" t="str">
        <f t="shared" si="261"/>
        <v xml:space="preserve"> </v>
      </c>
      <c r="CH643" s="240" t="str">
        <f t="shared" si="261"/>
        <v xml:space="preserve"> </v>
      </c>
      <c r="CI643" s="251" t="str">
        <f t="shared" si="261"/>
        <v xml:space="preserve"> </v>
      </c>
      <c r="CJ643" s="253"/>
      <c r="CK643" s="254"/>
    </row>
    <row r="644" spans="1:89">
      <c r="A644" s="166" t="str">
        <f t="shared" si="258"/>
        <v xml:space="preserve"> </v>
      </c>
      <c r="B644" s="101"/>
      <c r="C644" s="100"/>
      <c r="D644" s="167" t="str">
        <f t="shared" si="259"/>
        <v xml:space="preserve"> </v>
      </c>
      <c r="E644" s="167" t="str">
        <f t="shared" si="259"/>
        <v xml:space="preserve"> </v>
      </c>
      <c r="F644" s="167" t="str">
        <f t="shared" si="259"/>
        <v xml:space="preserve"> </v>
      </c>
      <c r="G644" s="167" t="str">
        <f t="shared" si="259"/>
        <v xml:space="preserve"> </v>
      </c>
      <c r="H644" s="167" t="str">
        <f t="shared" si="259"/>
        <v xml:space="preserve"> </v>
      </c>
      <c r="I644" s="168" t="str">
        <f t="shared" si="259"/>
        <v xml:space="preserve"> </v>
      </c>
      <c r="J644" s="101"/>
      <c r="K644" s="165"/>
      <c r="CA644" s="166" t="str">
        <f t="shared" si="260"/>
        <v xml:space="preserve"> </v>
      </c>
      <c r="CB644" s="101"/>
      <c r="CC644" s="100"/>
      <c r="CD644" s="167" t="str">
        <f t="shared" si="261"/>
        <v xml:space="preserve"> </v>
      </c>
      <c r="CE644" s="167" t="str">
        <f t="shared" si="261"/>
        <v xml:space="preserve"> </v>
      </c>
      <c r="CF644" s="167" t="str">
        <f t="shared" si="261"/>
        <v xml:space="preserve"> </v>
      </c>
      <c r="CG644" s="167" t="str">
        <f t="shared" si="261"/>
        <v xml:space="preserve"> </v>
      </c>
      <c r="CH644" s="167" t="str">
        <f t="shared" si="261"/>
        <v xml:space="preserve"> </v>
      </c>
      <c r="CI644" s="168" t="str">
        <f t="shared" si="261"/>
        <v xml:space="preserve"> </v>
      </c>
      <c r="CJ644" s="101"/>
      <c r="CK644" s="165"/>
    </row>
    <row r="645" spans="1:89">
      <c r="A645" s="246" t="str">
        <f t="shared" si="258"/>
        <v xml:space="preserve"> </v>
      </c>
      <c r="B645" s="258"/>
      <c r="C645" s="247"/>
      <c r="D645" s="247" t="str">
        <f t="shared" si="259"/>
        <v xml:space="preserve"> </v>
      </c>
      <c r="E645" s="247" t="str">
        <f t="shared" si="259"/>
        <v xml:space="preserve"> </v>
      </c>
      <c r="F645" s="247" t="str">
        <f t="shared" si="259"/>
        <v xml:space="preserve"> </v>
      </c>
      <c r="G645" s="247" t="str">
        <f t="shared" si="259"/>
        <v xml:space="preserve"> </v>
      </c>
      <c r="H645" s="247" t="str">
        <f t="shared" si="259"/>
        <v xml:space="preserve"> </v>
      </c>
      <c r="I645" s="256" t="str">
        <f t="shared" si="259"/>
        <v xml:space="preserve"> </v>
      </c>
      <c r="J645" s="258"/>
      <c r="K645" s="259"/>
      <c r="CA645" s="246" t="str">
        <f t="shared" si="260"/>
        <v xml:space="preserve"> </v>
      </c>
      <c r="CB645" s="258"/>
      <c r="CC645" s="247"/>
      <c r="CD645" s="247" t="str">
        <f t="shared" si="261"/>
        <v xml:space="preserve"> </v>
      </c>
      <c r="CE645" s="247" t="str">
        <f t="shared" si="261"/>
        <v xml:space="preserve"> </v>
      </c>
      <c r="CF645" s="247" t="str">
        <f t="shared" si="261"/>
        <v xml:space="preserve"> </v>
      </c>
      <c r="CG645" s="247" t="str">
        <f t="shared" si="261"/>
        <v xml:space="preserve"> </v>
      </c>
      <c r="CH645" s="247" t="str">
        <f t="shared" si="261"/>
        <v xml:space="preserve"> </v>
      </c>
      <c r="CI645" s="256" t="str">
        <f t="shared" si="261"/>
        <v xml:space="preserve"> </v>
      </c>
      <c r="CJ645" s="258"/>
      <c r="CK645" s="259"/>
    </row>
    <row r="646" spans="1:89">
      <c r="A646" s="179" t="s">
        <v>5213</v>
      </c>
      <c r="B646" s="102"/>
      <c r="C646" s="175" t="s">
        <v>5018</v>
      </c>
      <c r="D646" s="175" t="s">
        <v>5701</v>
      </c>
      <c r="E646" s="175" t="s">
        <v>5019</v>
      </c>
      <c r="F646" s="175" t="s">
        <v>5020</v>
      </c>
      <c r="G646" s="175" t="s">
        <v>5021</v>
      </c>
      <c r="H646" s="175" t="s">
        <v>5022</v>
      </c>
      <c r="I646" s="221" t="s">
        <v>5316</v>
      </c>
      <c r="J646" s="176"/>
      <c r="K646" s="180"/>
      <c r="CA646" s="179" t="s">
        <v>5213</v>
      </c>
      <c r="CB646" s="102"/>
      <c r="CC646" s="175" t="s">
        <v>5018</v>
      </c>
      <c r="CD646" s="175" t="s">
        <v>5701</v>
      </c>
      <c r="CE646" s="175" t="s">
        <v>5019</v>
      </c>
      <c r="CF646" s="175" t="s">
        <v>5020</v>
      </c>
      <c r="CG646" s="175" t="s">
        <v>5021</v>
      </c>
      <c r="CH646" s="175" t="s">
        <v>5022</v>
      </c>
      <c r="CI646" s="221" t="s">
        <v>5316</v>
      </c>
      <c r="CJ646" s="176"/>
      <c r="CK646" s="180"/>
    </row>
    <row r="647" spans="1:89">
      <c r="A647" s="166" t="str">
        <f t="shared" ref="A647:A657" si="262">IF(AND(A1447&gt;0,$E$134&gt;8),A1447," ")</f>
        <v xml:space="preserve"> </v>
      </c>
      <c r="B647" s="101"/>
      <c r="C647" s="100"/>
      <c r="D647" s="167" t="str">
        <f t="shared" ref="D647:I657" si="263">IF(AND(D1447&gt;0,$E$134&gt;8),D1447," ")</f>
        <v xml:space="preserve"> </v>
      </c>
      <c r="E647" s="167" t="str">
        <f t="shared" si="263"/>
        <v xml:space="preserve"> </v>
      </c>
      <c r="F647" s="167" t="str">
        <f t="shared" si="263"/>
        <v xml:space="preserve"> </v>
      </c>
      <c r="G647" s="167" t="str">
        <f t="shared" si="263"/>
        <v xml:space="preserve"> </v>
      </c>
      <c r="H647" s="167" t="str">
        <f t="shared" si="263"/>
        <v xml:space="preserve"> </v>
      </c>
      <c r="I647" s="168" t="str">
        <f t="shared" si="263"/>
        <v xml:space="preserve"> </v>
      </c>
      <c r="J647" s="101"/>
      <c r="K647" s="165"/>
      <c r="CA647" s="166" t="str">
        <f t="shared" ref="CA647:CA657" si="264">IF(AND(CA1447&gt;0,$E$134&gt;8),CA1447," ")</f>
        <v xml:space="preserve"> </v>
      </c>
      <c r="CB647" s="101"/>
      <c r="CC647" s="100"/>
      <c r="CD647" s="167" t="str">
        <f t="shared" ref="CD647:CI657" si="265">IF(AND(CD1447&gt;0,$E$134&gt;8),CD1447," ")</f>
        <v xml:space="preserve"> </v>
      </c>
      <c r="CE647" s="167" t="str">
        <f t="shared" si="265"/>
        <v xml:space="preserve"> </v>
      </c>
      <c r="CF647" s="167" t="str">
        <f t="shared" si="265"/>
        <v xml:space="preserve"> </v>
      </c>
      <c r="CG647" s="167" t="str">
        <f t="shared" si="265"/>
        <v xml:space="preserve"> </v>
      </c>
      <c r="CH647" s="167" t="str">
        <f t="shared" si="265"/>
        <v xml:space="preserve"> </v>
      </c>
      <c r="CI647" s="168" t="str">
        <f t="shared" si="265"/>
        <v xml:space="preserve"> </v>
      </c>
      <c r="CJ647" s="101"/>
      <c r="CK647" s="165"/>
    </row>
    <row r="648" spans="1:89">
      <c r="A648" s="238" t="str">
        <f t="shared" si="262"/>
        <v xml:space="preserve"> </v>
      </c>
      <c r="B648" s="253"/>
      <c r="C648" s="247"/>
      <c r="D648" s="240" t="str">
        <f t="shared" si="263"/>
        <v xml:space="preserve"> </v>
      </c>
      <c r="E648" s="240" t="str">
        <f t="shared" si="263"/>
        <v xml:space="preserve"> </v>
      </c>
      <c r="F648" s="240" t="str">
        <f t="shared" si="263"/>
        <v xml:space="preserve"> </v>
      </c>
      <c r="G648" s="240" t="str">
        <f t="shared" si="263"/>
        <v xml:space="preserve"> </v>
      </c>
      <c r="H648" s="240" t="str">
        <f t="shared" si="263"/>
        <v xml:space="preserve"> </v>
      </c>
      <c r="I648" s="251" t="str">
        <f t="shared" si="263"/>
        <v xml:space="preserve"> </v>
      </c>
      <c r="J648" s="253"/>
      <c r="K648" s="254"/>
      <c r="CA648" s="238" t="str">
        <f t="shared" si="264"/>
        <v xml:space="preserve"> </v>
      </c>
      <c r="CB648" s="253"/>
      <c r="CC648" s="247"/>
      <c r="CD648" s="240" t="str">
        <f t="shared" si="265"/>
        <v xml:space="preserve"> </v>
      </c>
      <c r="CE648" s="240" t="str">
        <f t="shared" si="265"/>
        <v xml:space="preserve"> </v>
      </c>
      <c r="CF648" s="240" t="str">
        <f t="shared" si="265"/>
        <v xml:space="preserve"> </v>
      </c>
      <c r="CG648" s="240" t="str">
        <f t="shared" si="265"/>
        <v xml:space="preserve"> </v>
      </c>
      <c r="CH648" s="240" t="str">
        <f t="shared" si="265"/>
        <v xml:space="preserve"> </v>
      </c>
      <c r="CI648" s="251" t="str">
        <f t="shared" si="265"/>
        <v xml:space="preserve"> </v>
      </c>
      <c r="CJ648" s="253"/>
      <c r="CK648" s="254"/>
    </row>
    <row r="649" spans="1:89">
      <c r="A649" s="166" t="str">
        <f t="shared" si="262"/>
        <v xml:space="preserve"> </v>
      </c>
      <c r="B649" s="101"/>
      <c r="C649" s="100"/>
      <c r="D649" s="167" t="str">
        <f t="shared" si="263"/>
        <v xml:space="preserve"> </v>
      </c>
      <c r="E649" s="167" t="str">
        <f t="shared" si="263"/>
        <v xml:space="preserve"> </v>
      </c>
      <c r="F649" s="167" t="str">
        <f t="shared" si="263"/>
        <v xml:space="preserve"> </v>
      </c>
      <c r="G649" s="167" t="str">
        <f t="shared" si="263"/>
        <v xml:space="preserve"> </v>
      </c>
      <c r="H649" s="167" t="str">
        <f t="shared" si="263"/>
        <v xml:space="preserve"> </v>
      </c>
      <c r="I649" s="168" t="str">
        <f t="shared" si="263"/>
        <v xml:space="preserve"> </v>
      </c>
      <c r="J649" s="101"/>
      <c r="K649" s="165"/>
      <c r="CA649" s="166" t="str">
        <f t="shared" si="264"/>
        <v xml:space="preserve"> </v>
      </c>
      <c r="CB649" s="101"/>
      <c r="CC649" s="100"/>
      <c r="CD649" s="167" t="str">
        <f t="shared" si="265"/>
        <v xml:space="preserve"> </v>
      </c>
      <c r="CE649" s="167" t="str">
        <f t="shared" si="265"/>
        <v xml:space="preserve"> </v>
      </c>
      <c r="CF649" s="167" t="str">
        <f t="shared" si="265"/>
        <v xml:space="preserve"> </v>
      </c>
      <c r="CG649" s="167" t="str">
        <f t="shared" si="265"/>
        <v xml:space="preserve"> </v>
      </c>
      <c r="CH649" s="167" t="str">
        <f t="shared" si="265"/>
        <v xml:space="preserve"> </v>
      </c>
      <c r="CI649" s="168" t="str">
        <f t="shared" si="265"/>
        <v xml:space="preserve"> </v>
      </c>
      <c r="CJ649" s="101"/>
      <c r="CK649" s="165"/>
    </row>
    <row r="650" spans="1:89">
      <c r="A650" s="238" t="str">
        <f t="shared" si="262"/>
        <v xml:space="preserve"> </v>
      </c>
      <c r="B650" s="253"/>
      <c r="C650" s="247"/>
      <c r="D650" s="240" t="str">
        <f t="shared" si="263"/>
        <v xml:space="preserve"> </v>
      </c>
      <c r="E650" s="240" t="str">
        <f t="shared" si="263"/>
        <v xml:space="preserve"> </v>
      </c>
      <c r="F650" s="240" t="str">
        <f t="shared" si="263"/>
        <v xml:space="preserve"> </v>
      </c>
      <c r="G650" s="240" t="str">
        <f t="shared" si="263"/>
        <v xml:space="preserve"> </v>
      </c>
      <c r="H650" s="240" t="str">
        <f t="shared" si="263"/>
        <v xml:space="preserve"> </v>
      </c>
      <c r="I650" s="251" t="str">
        <f t="shared" si="263"/>
        <v xml:space="preserve"> </v>
      </c>
      <c r="J650" s="253"/>
      <c r="K650" s="254"/>
      <c r="CA650" s="238" t="str">
        <f t="shared" si="264"/>
        <v xml:space="preserve"> </v>
      </c>
      <c r="CB650" s="253"/>
      <c r="CC650" s="247"/>
      <c r="CD650" s="240" t="str">
        <f t="shared" si="265"/>
        <v xml:space="preserve"> </v>
      </c>
      <c r="CE650" s="240" t="str">
        <f t="shared" si="265"/>
        <v xml:space="preserve"> </v>
      </c>
      <c r="CF650" s="240" t="str">
        <f t="shared" si="265"/>
        <v xml:space="preserve"> </v>
      </c>
      <c r="CG650" s="240" t="str">
        <f t="shared" si="265"/>
        <v xml:space="preserve"> </v>
      </c>
      <c r="CH650" s="240" t="str">
        <f t="shared" si="265"/>
        <v xml:space="preserve"> </v>
      </c>
      <c r="CI650" s="251" t="str">
        <f t="shared" si="265"/>
        <v xml:space="preserve"> </v>
      </c>
      <c r="CJ650" s="253"/>
      <c r="CK650" s="254"/>
    </row>
    <row r="651" spans="1:89">
      <c r="A651" s="166" t="str">
        <f t="shared" si="262"/>
        <v xml:space="preserve"> </v>
      </c>
      <c r="B651" s="101"/>
      <c r="C651" s="100"/>
      <c r="D651" s="167" t="str">
        <f t="shared" si="263"/>
        <v xml:space="preserve"> </v>
      </c>
      <c r="E651" s="167" t="str">
        <f t="shared" si="263"/>
        <v xml:space="preserve"> </v>
      </c>
      <c r="F651" s="167" t="str">
        <f t="shared" si="263"/>
        <v xml:space="preserve"> </v>
      </c>
      <c r="G651" s="167" t="str">
        <f t="shared" si="263"/>
        <v xml:space="preserve"> </v>
      </c>
      <c r="H651" s="167" t="str">
        <f t="shared" si="263"/>
        <v xml:space="preserve"> </v>
      </c>
      <c r="I651" s="168" t="str">
        <f t="shared" si="263"/>
        <v xml:space="preserve"> </v>
      </c>
      <c r="J651" s="101"/>
      <c r="K651" s="165"/>
      <c r="CA651" s="166" t="str">
        <f t="shared" si="264"/>
        <v xml:space="preserve"> </v>
      </c>
      <c r="CB651" s="101"/>
      <c r="CC651" s="100"/>
      <c r="CD651" s="167" t="str">
        <f t="shared" si="265"/>
        <v xml:space="preserve"> </v>
      </c>
      <c r="CE651" s="167" t="str">
        <f t="shared" si="265"/>
        <v xml:space="preserve"> </v>
      </c>
      <c r="CF651" s="167" t="str">
        <f t="shared" si="265"/>
        <v xml:space="preserve"> </v>
      </c>
      <c r="CG651" s="167" t="str">
        <f t="shared" si="265"/>
        <v xml:space="preserve"> </v>
      </c>
      <c r="CH651" s="167" t="str">
        <f t="shared" si="265"/>
        <v xml:space="preserve"> </v>
      </c>
      <c r="CI651" s="168" t="str">
        <f t="shared" si="265"/>
        <v xml:space="preserve"> </v>
      </c>
      <c r="CJ651" s="101"/>
      <c r="CK651" s="165"/>
    </row>
    <row r="652" spans="1:89">
      <c r="A652" s="238" t="str">
        <f t="shared" si="262"/>
        <v xml:space="preserve"> </v>
      </c>
      <c r="B652" s="253"/>
      <c r="C652" s="247"/>
      <c r="D652" s="240" t="str">
        <f t="shared" si="263"/>
        <v xml:space="preserve"> </v>
      </c>
      <c r="E652" s="240" t="str">
        <f t="shared" si="263"/>
        <v xml:space="preserve"> </v>
      </c>
      <c r="F652" s="240" t="str">
        <f t="shared" si="263"/>
        <v xml:space="preserve"> </v>
      </c>
      <c r="G652" s="240" t="str">
        <f t="shared" si="263"/>
        <v xml:space="preserve"> </v>
      </c>
      <c r="H652" s="240" t="str">
        <f t="shared" si="263"/>
        <v xml:space="preserve"> </v>
      </c>
      <c r="I652" s="251" t="str">
        <f t="shared" si="263"/>
        <v xml:space="preserve"> </v>
      </c>
      <c r="J652" s="253"/>
      <c r="K652" s="254"/>
      <c r="CA652" s="238" t="str">
        <f t="shared" si="264"/>
        <v xml:space="preserve"> </v>
      </c>
      <c r="CB652" s="253"/>
      <c r="CC652" s="247"/>
      <c r="CD652" s="240" t="str">
        <f t="shared" si="265"/>
        <v xml:space="preserve"> </v>
      </c>
      <c r="CE652" s="240" t="str">
        <f t="shared" si="265"/>
        <v xml:space="preserve"> </v>
      </c>
      <c r="CF652" s="240" t="str">
        <f t="shared" si="265"/>
        <v xml:space="preserve"> </v>
      </c>
      <c r="CG652" s="240" t="str">
        <f t="shared" si="265"/>
        <v xml:space="preserve"> </v>
      </c>
      <c r="CH652" s="240" t="str">
        <f t="shared" si="265"/>
        <v xml:space="preserve"> </v>
      </c>
      <c r="CI652" s="251" t="str">
        <f t="shared" si="265"/>
        <v xml:space="preserve"> </v>
      </c>
      <c r="CJ652" s="253"/>
      <c r="CK652" s="254"/>
    </row>
    <row r="653" spans="1:89">
      <c r="A653" s="166" t="str">
        <f t="shared" si="262"/>
        <v xml:space="preserve"> </v>
      </c>
      <c r="B653" s="101"/>
      <c r="C653" s="100"/>
      <c r="D653" s="167" t="str">
        <f t="shared" si="263"/>
        <v xml:space="preserve"> </v>
      </c>
      <c r="E653" s="167" t="str">
        <f t="shared" si="263"/>
        <v xml:space="preserve"> </v>
      </c>
      <c r="F653" s="167" t="str">
        <f t="shared" si="263"/>
        <v xml:space="preserve"> </v>
      </c>
      <c r="G653" s="167" t="str">
        <f t="shared" si="263"/>
        <v xml:space="preserve"> </v>
      </c>
      <c r="H653" s="167" t="str">
        <f t="shared" si="263"/>
        <v xml:space="preserve"> </v>
      </c>
      <c r="I653" s="168" t="str">
        <f t="shared" si="263"/>
        <v xml:space="preserve"> </v>
      </c>
      <c r="J653" s="101"/>
      <c r="K653" s="165"/>
      <c r="CA653" s="166" t="str">
        <f t="shared" si="264"/>
        <v xml:space="preserve"> </v>
      </c>
      <c r="CB653" s="101"/>
      <c r="CC653" s="100"/>
      <c r="CD653" s="167" t="str">
        <f t="shared" si="265"/>
        <v xml:space="preserve"> </v>
      </c>
      <c r="CE653" s="167" t="str">
        <f t="shared" si="265"/>
        <v xml:space="preserve"> </v>
      </c>
      <c r="CF653" s="167" t="str">
        <f t="shared" si="265"/>
        <v xml:space="preserve"> </v>
      </c>
      <c r="CG653" s="167" t="str">
        <f t="shared" si="265"/>
        <v xml:space="preserve"> </v>
      </c>
      <c r="CH653" s="167" t="str">
        <f t="shared" si="265"/>
        <v xml:space="preserve"> </v>
      </c>
      <c r="CI653" s="168" t="str">
        <f t="shared" si="265"/>
        <v xml:space="preserve"> </v>
      </c>
      <c r="CJ653" s="101"/>
      <c r="CK653" s="165"/>
    </row>
    <row r="654" spans="1:89">
      <c r="A654" s="238" t="str">
        <f t="shared" si="262"/>
        <v xml:space="preserve"> </v>
      </c>
      <c r="B654" s="253"/>
      <c r="C654" s="247"/>
      <c r="D654" s="240" t="str">
        <f t="shared" si="263"/>
        <v xml:space="preserve"> </v>
      </c>
      <c r="E654" s="240" t="str">
        <f t="shared" si="263"/>
        <v xml:space="preserve"> </v>
      </c>
      <c r="F654" s="240" t="str">
        <f t="shared" si="263"/>
        <v xml:space="preserve"> </v>
      </c>
      <c r="G654" s="240" t="str">
        <f t="shared" si="263"/>
        <v xml:space="preserve"> </v>
      </c>
      <c r="H654" s="240" t="str">
        <f t="shared" si="263"/>
        <v xml:space="preserve"> </v>
      </c>
      <c r="I654" s="251" t="str">
        <f t="shared" si="263"/>
        <v xml:space="preserve"> </v>
      </c>
      <c r="J654" s="253"/>
      <c r="K654" s="254"/>
      <c r="CA654" s="238" t="str">
        <f t="shared" si="264"/>
        <v xml:space="preserve"> </v>
      </c>
      <c r="CB654" s="253"/>
      <c r="CC654" s="247"/>
      <c r="CD654" s="240" t="str">
        <f t="shared" si="265"/>
        <v xml:space="preserve"> </v>
      </c>
      <c r="CE654" s="240" t="str">
        <f t="shared" si="265"/>
        <v xml:space="preserve"> </v>
      </c>
      <c r="CF654" s="240" t="str">
        <f t="shared" si="265"/>
        <v xml:space="preserve"> </v>
      </c>
      <c r="CG654" s="240" t="str">
        <f t="shared" si="265"/>
        <v xml:space="preserve"> </v>
      </c>
      <c r="CH654" s="240" t="str">
        <f t="shared" si="265"/>
        <v xml:space="preserve"> </v>
      </c>
      <c r="CI654" s="251" t="str">
        <f t="shared" si="265"/>
        <v xml:space="preserve"> </v>
      </c>
      <c r="CJ654" s="253"/>
      <c r="CK654" s="254"/>
    </row>
    <row r="655" spans="1:89">
      <c r="A655" s="166" t="str">
        <f t="shared" si="262"/>
        <v xml:space="preserve"> </v>
      </c>
      <c r="B655" s="101"/>
      <c r="C655" s="100"/>
      <c r="D655" s="167" t="str">
        <f t="shared" si="263"/>
        <v xml:space="preserve"> </v>
      </c>
      <c r="E655" s="167" t="str">
        <f t="shared" si="263"/>
        <v xml:space="preserve"> </v>
      </c>
      <c r="F655" s="167" t="str">
        <f t="shared" si="263"/>
        <v xml:space="preserve"> </v>
      </c>
      <c r="G655" s="167" t="str">
        <f t="shared" si="263"/>
        <v xml:space="preserve"> </v>
      </c>
      <c r="H655" s="167" t="str">
        <f t="shared" si="263"/>
        <v xml:space="preserve"> </v>
      </c>
      <c r="I655" s="168" t="str">
        <f t="shared" si="263"/>
        <v xml:space="preserve"> </v>
      </c>
      <c r="J655" s="101"/>
      <c r="K655" s="165"/>
      <c r="CA655" s="166" t="str">
        <f t="shared" si="264"/>
        <v xml:space="preserve"> </v>
      </c>
      <c r="CB655" s="101"/>
      <c r="CC655" s="100"/>
      <c r="CD655" s="167" t="str">
        <f t="shared" si="265"/>
        <v xml:space="preserve"> </v>
      </c>
      <c r="CE655" s="167" t="str">
        <f t="shared" si="265"/>
        <v xml:space="preserve"> </v>
      </c>
      <c r="CF655" s="167" t="str">
        <f t="shared" si="265"/>
        <v xml:space="preserve"> </v>
      </c>
      <c r="CG655" s="167" t="str">
        <f t="shared" si="265"/>
        <v xml:space="preserve"> </v>
      </c>
      <c r="CH655" s="167" t="str">
        <f t="shared" si="265"/>
        <v xml:space="preserve"> </v>
      </c>
      <c r="CI655" s="168" t="str">
        <f t="shared" si="265"/>
        <v xml:space="preserve"> </v>
      </c>
      <c r="CJ655" s="101"/>
      <c r="CK655" s="165"/>
    </row>
    <row r="656" spans="1:89">
      <c r="A656" s="238" t="str">
        <f t="shared" si="262"/>
        <v xml:space="preserve"> </v>
      </c>
      <c r="B656" s="253"/>
      <c r="C656" s="247"/>
      <c r="D656" s="240" t="str">
        <f t="shared" si="263"/>
        <v xml:space="preserve"> </v>
      </c>
      <c r="E656" s="240" t="str">
        <f t="shared" si="263"/>
        <v xml:space="preserve"> </v>
      </c>
      <c r="F656" s="240" t="str">
        <f t="shared" si="263"/>
        <v xml:space="preserve"> </v>
      </c>
      <c r="G656" s="240" t="str">
        <f t="shared" si="263"/>
        <v xml:space="preserve"> </v>
      </c>
      <c r="H656" s="240" t="str">
        <f t="shared" si="263"/>
        <v xml:space="preserve"> </v>
      </c>
      <c r="I656" s="251" t="str">
        <f t="shared" si="263"/>
        <v xml:space="preserve"> </v>
      </c>
      <c r="J656" s="253"/>
      <c r="K656" s="254"/>
      <c r="CA656" s="238" t="str">
        <f t="shared" si="264"/>
        <v xml:space="preserve"> </v>
      </c>
      <c r="CB656" s="253"/>
      <c r="CC656" s="247"/>
      <c r="CD656" s="240" t="str">
        <f t="shared" si="265"/>
        <v xml:space="preserve"> </v>
      </c>
      <c r="CE656" s="240" t="str">
        <f t="shared" si="265"/>
        <v xml:space="preserve"> </v>
      </c>
      <c r="CF656" s="240" t="str">
        <f t="shared" si="265"/>
        <v xml:space="preserve"> </v>
      </c>
      <c r="CG656" s="240" t="str">
        <f t="shared" si="265"/>
        <v xml:space="preserve"> </v>
      </c>
      <c r="CH656" s="240" t="str">
        <f t="shared" si="265"/>
        <v xml:space="preserve"> </v>
      </c>
      <c r="CI656" s="251" t="str">
        <f t="shared" si="265"/>
        <v xml:space="preserve"> </v>
      </c>
      <c r="CJ656" s="253"/>
      <c r="CK656" s="254"/>
    </row>
    <row r="657" spans="1:89">
      <c r="A657" s="181" t="str">
        <f t="shared" si="262"/>
        <v xml:space="preserve"> </v>
      </c>
      <c r="B657" s="103"/>
      <c r="C657" s="100"/>
      <c r="D657" s="100" t="str">
        <f t="shared" si="263"/>
        <v xml:space="preserve"> </v>
      </c>
      <c r="E657" s="100" t="str">
        <f t="shared" si="263"/>
        <v xml:space="preserve"> </v>
      </c>
      <c r="F657" s="100" t="str">
        <f t="shared" si="263"/>
        <v xml:space="preserve"> </v>
      </c>
      <c r="G657" s="100" t="str">
        <f t="shared" si="263"/>
        <v xml:space="preserve"> </v>
      </c>
      <c r="H657" s="100" t="str">
        <f t="shared" si="263"/>
        <v xml:space="preserve"> </v>
      </c>
      <c r="I657" s="177" t="str">
        <f t="shared" si="263"/>
        <v xml:space="preserve"> </v>
      </c>
      <c r="J657" s="103"/>
      <c r="K657" s="182"/>
      <c r="CA657" s="181" t="str">
        <f t="shared" si="264"/>
        <v xml:space="preserve"> </v>
      </c>
      <c r="CB657" s="103"/>
      <c r="CC657" s="100"/>
      <c r="CD657" s="100" t="str">
        <f t="shared" si="265"/>
        <v xml:space="preserve"> </v>
      </c>
      <c r="CE657" s="100" t="str">
        <f t="shared" si="265"/>
        <v xml:space="preserve"> </v>
      </c>
      <c r="CF657" s="100" t="str">
        <f t="shared" si="265"/>
        <v xml:space="preserve"> </v>
      </c>
      <c r="CG657" s="100" t="str">
        <f t="shared" si="265"/>
        <v xml:space="preserve"> </v>
      </c>
      <c r="CH657" s="100" t="str">
        <f t="shared" si="265"/>
        <v xml:space="preserve"> </v>
      </c>
      <c r="CI657" s="177" t="str">
        <f t="shared" si="265"/>
        <v xml:space="preserve"> </v>
      </c>
      <c r="CJ657" s="103"/>
      <c r="CK657" s="182"/>
    </row>
    <row r="658" spans="1:89">
      <c r="A658" s="179" t="s">
        <v>5214</v>
      </c>
      <c r="B658" s="102"/>
      <c r="C658" s="175" t="s">
        <v>5018</v>
      </c>
      <c r="D658" s="175" t="s">
        <v>5701</v>
      </c>
      <c r="E658" s="175" t="s">
        <v>5019</v>
      </c>
      <c r="F658" s="175" t="s">
        <v>5020</v>
      </c>
      <c r="G658" s="175" t="s">
        <v>5021</v>
      </c>
      <c r="H658" s="175" t="s">
        <v>5022</v>
      </c>
      <c r="I658" s="221" t="s">
        <v>5316</v>
      </c>
      <c r="J658" s="176"/>
      <c r="K658" s="180"/>
      <c r="CA658" s="179" t="s">
        <v>5214</v>
      </c>
      <c r="CB658" s="102"/>
      <c r="CC658" s="175" t="s">
        <v>5018</v>
      </c>
      <c r="CD658" s="175" t="s">
        <v>5701</v>
      </c>
      <c r="CE658" s="175" t="s">
        <v>5019</v>
      </c>
      <c r="CF658" s="175" t="s">
        <v>5020</v>
      </c>
      <c r="CG658" s="175" t="s">
        <v>5021</v>
      </c>
      <c r="CH658" s="175" t="s">
        <v>5022</v>
      </c>
      <c r="CI658" s="221" t="s">
        <v>5316</v>
      </c>
      <c r="CJ658" s="176"/>
      <c r="CK658" s="180"/>
    </row>
    <row r="659" spans="1:89">
      <c r="A659" s="166" t="str">
        <f t="shared" ref="A659:A670" si="266">IF(AND(A1459&gt;0,$E$134&gt;9),A1459," ")</f>
        <v xml:space="preserve"> </v>
      </c>
      <c r="B659" s="101"/>
      <c r="C659" s="100"/>
      <c r="D659" s="167" t="str">
        <f t="shared" ref="D659:I670" si="267">IF(AND(D1459&gt;0,$E$134&gt;9),D1459," ")</f>
        <v xml:space="preserve"> </v>
      </c>
      <c r="E659" s="167" t="str">
        <f t="shared" si="267"/>
        <v xml:space="preserve"> </v>
      </c>
      <c r="F659" s="167" t="str">
        <f t="shared" si="267"/>
        <v xml:space="preserve"> </v>
      </c>
      <c r="G659" s="167" t="str">
        <f t="shared" si="267"/>
        <v xml:space="preserve"> </v>
      </c>
      <c r="H659" s="167" t="str">
        <f t="shared" si="267"/>
        <v xml:space="preserve"> </v>
      </c>
      <c r="I659" s="168" t="str">
        <f t="shared" si="267"/>
        <v xml:space="preserve"> </v>
      </c>
      <c r="J659" s="101"/>
      <c r="K659" s="165"/>
      <c r="CA659" s="166" t="str">
        <f t="shared" ref="CA659:CA670" si="268">IF(AND(CA1459&gt;0,$E$134&gt;9),CA1459," ")</f>
        <v xml:space="preserve"> </v>
      </c>
      <c r="CB659" s="101"/>
      <c r="CC659" s="100"/>
      <c r="CD659" s="167" t="str">
        <f t="shared" ref="CD659:CI670" si="269">IF(AND(CD1459&gt;0,$E$134&gt;9),CD1459," ")</f>
        <v xml:space="preserve"> </v>
      </c>
      <c r="CE659" s="167" t="str">
        <f t="shared" si="269"/>
        <v xml:space="preserve"> </v>
      </c>
      <c r="CF659" s="167" t="str">
        <f t="shared" si="269"/>
        <v xml:space="preserve"> </v>
      </c>
      <c r="CG659" s="167" t="str">
        <f t="shared" si="269"/>
        <v xml:space="preserve"> </v>
      </c>
      <c r="CH659" s="167" t="str">
        <f t="shared" si="269"/>
        <v xml:space="preserve"> </v>
      </c>
      <c r="CI659" s="168" t="str">
        <f t="shared" si="269"/>
        <v xml:space="preserve"> </v>
      </c>
      <c r="CJ659" s="101"/>
      <c r="CK659" s="165"/>
    </row>
    <row r="660" spans="1:89">
      <c r="A660" s="238" t="str">
        <f t="shared" si="266"/>
        <v xml:space="preserve"> </v>
      </c>
      <c r="B660" s="253"/>
      <c r="C660" s="247"/>
      <c r="D660" s="240" t="str">
        <f t="shared" si="267"/>
        <v xml:space="preserve"> </v>
      </c>
      <c r="E660" s="240" t="str">
        <f t="shared" si="267"/>
        <v xml:space="preserve"> </v>
      </c>
      <c r="F660" s="240" t="str">
        <f t="shared" si="267"/>
        <v xml:space="preserve"> </v>
      </c>
      <c r="G660" s="240" t="str">
        <f t="shared" si="267"/>
        <v xml:space="preserve"> </v>
      </c>
      <c r="H660" s="240" t="str">
        <f t="shared" si="267"/>
        <v xml:space="preserve"> </v>
      </c>
      <c r="I660" s="251" t="str">
        <f t="shared" si="267"/>
        <v xml:space="preserve"> </v>
      </c>
      <c r="J660" s="253"/>
      <c r="K660" s="254"/>
      <c r="CA660" s="238" t="str">
        <f t="shared" si="268"/>
        <v xml:space="preserve"> </v>
      </c>
      <c r="CB660" s="253"/>
      <c r="CC660" s="247"/>
      <c r="CD660" s="240" t="str">
        <f t="shared" si="269"/>
        <v xml:space="preserve"> </v>
      </c>
      <c r="CE660" s="240" t="str">
        <f t="shared" si="269"/>
        <v xml:space="preserve"> </v>
      </c>
      <c r="CF660" s="240" t="str">
        <f t="shared" si="269"/>
        <v xml:space="preserve"> </v>
      </c>
      <c r="CG660" s="240" t="str">
        <f t="shared" si="269"/>
        <v xml:space="preserve"> </v>
      </c>
      <c r="CH660" s="240" t="str">
        <f t="shared" si="269"/>
        <v xml:space="preserve"> </v>
      </c>
      <c r="CI660" s="251" t="str">
        <f t="shared" si="269"/>
        <v xml:space="preserve"> </v>
      </c>
      <c r="CJ660" s="253"/>
      <c r="CK660" s="254"/>
    </row>
    <row r="661" spans="1:89">
      <c r="A661" s="166" t="str">
        <f t="shared" si="266"/>
        <v xml:space="preserve"> </v>
      </c>
      <c r="B661" s="101"/>
      <c r="C661" s="100"/>
      <c r="D661" s="167" t="str">
        <f t="shared" si="267"/>
        <v xml:space="preserve"> </v>
      </c>
      <c r="E661" s="167" t="str">
        <f t="shared" si="267"/>
        <v xml:space="preserve"> </v>
      </c>
      <c r="F661" s="167" t="str">
        <f t="shared" si="267"/>
        <v xml:space="preserve"> </v>
      </c>
      <c r="G661" s="167" t="str">
        <f t="shared" si="267"/>
        <v xml:space="preserve"> </v>
      </c>
      <c r="H661" s="167" t="str">
        <f t="shared" si="267"/>
        <v xml:space="preserve"> </v>
      </c>
      <c r="I661" s="168" t="str">
        <f t="shared" si="267"/>
        <v xml:space="preserve"> </v>
      </c>
      <c r="J661" s="101"/>
      <c r="K661" s="165"/>
      <c r="CA661" s="166" t="str">
        <f t="shared" si="268"/>
        <v xml:space="preserve"> </v>
      </c>
      <c r="CB661" s="101"/>
      <c r="CC661" s="100"/>
      <c r="CD661" s="167" t="str">
        <f t="shared" si="269"/>
        <v xml:space="preserve"> </v>
      </c>
      <c r="CE661" s="167" t="str">
        <f t="shared" si="269"/>
        <v xml:space="preserve"> </v>
      </c>
      <c r="CF661" s="167" t="str">
        <f t="shared" si="269"/>
        <v xml:space="preserve"> </v>
      </c>
      <c r="CG661" s="167" t="str">
        <f t="shared" si="269"/>
        <v xml:space="preserve"> </v>
      </c>
      <c r="CH661" s="167" t="str">
        <f t="shared" si="269"/>
        <v xml:space="preserve"> </v>
      </c>
      <c r="CI661" s="168" t="str">
        <f t="shared" si="269"/>
        <v xml:space="preserve"> </v>
      </c>
      <c r="CJ661" s="101"/>
      <c r="CK661" s="165"/>
    </row>
    <row r="662" spans="1:89">
      <c r="A662" s="238" t="str">
        <f t="shared" si="266"/>
        <v xml:space="preserve"> </v>
      </c>
      <c r="B662" s="253"/>
      <c r="C662" s="247"/>
      <c r="D662" s="240" t="str">
        <f t="shared" si="267"/>
        <v xml:space="preserve"> </v>
      </c>
      <c r="E662" s="240" t="str">
        <f t="shared" si="267"/>
        <v xml:space="preserve"> </v>
      </c>
      <c r="F662" s="240" t="str">
        <f t="shared" si="267"/>
        <v xml:space="preserve"> </v>
      </c>
      <c r="G662" s="240" t="str">
        <f t="shared" si="267"/>
        <v xml:space="preserve"> </v>
      </c>
      <c r="H662" s="240" t="str">
        <f t="shared" si="267"/>
        <v xml:space="preserve"> </v>
      </c>
      <c r="I662" s="251" t="str">
        <f t="shared" si="267"/>
        <v xml:space="preserve"> </v>
      </c>
      <c r="J662" s="253"/>
      <c r="K662" s="254"/>
      <c r="CA662" s="238" t="str">
        <f t="shared" si="268"/>
        <v xml:space="preserve"> </v>
      </c>
      <c r="CB662" s="253"/>
      <c r="CC662" s="247"/>
      <c r="CD662" s="240" t="str">
        <f t="shared" si="269"/>
        <v xml:space="preserve"> </v>
      </c>
      <c r="CE662" s="240" t="str">
        <f t="shared" si="269"/>
        <v xml:space="preserve"> </v>
      </c>
      <c r="CF662" s="240" t="str">
        <f t="shared" si="269"/>
        <v xml:space="preserve"> </v>
      </c>
      <c r="CG662" s="240" t="str">
        <f t="shared" si="269"/>
        <v xml:space="preserve"> </v>
      </c>
      <c r="CH662" s="240" t="str">
        <f t="shared" si="269"/>
        <v xml:space="preserve"> </v>
      </c>
      <c r="CI662" s="251" t="str">
        <f t="shared" si="269"/>
        <v xml:space="preserve"> </v>
      </c>
      <c r="CJ662" s="253"/>
      <c r="CK662" s="254"/>
    </row>
    <row r="663" spans="1:89">
      <c r="A663" s="166" t="str">
        <f t="shared" si="266"/>
        <v xml:space="preserve"> </v>
      </c>
      <c r="B663" s="101"/>
      <c r="C663" s="100"/>
      <c r="D663" s="167" t="str">
        <f t="shared" si="267"/>
        <v xml:space="preserve"> </v>
      </c>
      <c r="E663" s="167" t="str">
        <f t="shared" si="267"/>
        <v xml:space="preserve"> </v>
      </c>
      <c r="F663" s="167" t="str">
        <f t="shared" si="267"/>
        <v xml:space="preserve"> </v>
      </c>
      <c r="G663" s="167" t="str">
        <f t="shared" si="267"/>
        <v xml:space="preserve"> </v>
      </c>
      <c r="H663" s="167" t="str">
        <f t="shared" si="267"/>
        <v xml:space="preserve"> </v>
      </c>
      <c r="I663" s="168" t="str">
        <f t="shared" si="267"/>
        <v xml:space="preserve"> </v>
      </c>
      <c r="J663" s="101"/>
      <c r="K663" s="165"/>
      <c r="CA663" s="166" t="str">
        <f t="shared" si="268"/>
        <v xml:space="preserve"> </v>
      </c>
      <c r="CB663" s="101"/>
      <c r="CC663" s="100"/>
      <c r="CD663" s="167" t="str">
        <f t="shared" si="269"/>
        <v xml:space="preserve"> </v>
      </c>
      <c r="CE663" s="167" t="str">
        <f t="shared" si="269"/>
        <v xml:space="preserve"> </v>
      </c>
      <c r="CF663" s="167" t="str">
        <f t="shared" si="269"/>
        <v xml:space="preserve"> </v>
      </c>
      <c r="CG663" s="167" t="str">
        <f t="shared" si="269"/>
        <v xml:space="preserve"> </v>
      </c>
      <c r="CH663" s="167" t="str">
        <f t="shared" si="269"/>
        <v xml:space="preserve"> </v>
      </c>
      <c r="CI663" s="168" t="str">
        <f t="shared" si="269"/>
        <v xml:space="preserve"> </v>
      </c>
      <c r="CJ663" s="101"/>
      <c r="CK663" s="165"/>
    </row>
    <row r="664" spans="1:89">
      <c r="A664" s="238" t="str">
        <f t="shared" si="266"/>
        <v xml:space="preserve"> </v>
      </c>
      <c r="B664" s="253"/>
      <c r="C664" s="247"/>
      <c r="D664" s="240" t="str">
        <f t="shared" si="267"/>
        <v xml:space="preserve"> </v>
      </c>
      <c r="E664" s="240" t="str">
        <f t="shared" si="267"/>
        <v xml:space="preserve"> </v>
      </c>
      <c r="F664" s="240" t="str">
        <f t="shared" si="267"/>
        <v xml:space="preserve"> </v>
      </c>
      <c r="G664" s="240" t="str">
        <f t="shared" si="267"/>
        <v xml:space="preserve"> </v>
      </c>
      <c r="H664" s="240" t="str">
        <f t="shared" si="267"/>
        <v xml:space="preserve"> </v>
      </c>
      <c r="I664" s="251" t="str">
        <f t="shared" si="267"/>
        <v xml:space="preserve"> </v>
      </c>
      <c r="J664" s="253"/>
      <c r="K664" s="254"/>
      <c r="CA664" s="238" t="str">
        <f t="shared" si="268"/>
        <v xml:space="preserve"> </v>
      </c>
      <c r="CB664" s="253"/>
      <c r="CC664" s="247"/>
      <c r="CD664" s="240" t="str">
        <f t="shared" si="269"/>
        <v xml:space="preserve"> </v>
      </c>
      <c r="CE664" s="240" t="str">
        <f t="shared" si="269"/>
        <v xml:space="preserve"> </v>
      </c>
      <c r="CF664" s="240" t="str">
        <f t="shared" si="269"/>
        <v xml:space="preserve"> </v>
      </c>
      <c r="CG664" s="240" t="str">
        <f t="shared" si="269"/>
        <v xml:space="preserve"> </v>
      </c>
      <c r="CH664" s="240" t="str">
        <f t="shared" si="269"/>
        <v xml:space="preserve"> </v>
      </c>
      <c r="CI664" s="251" t="str">
        <f t="shared" si="269"/>
        <v xml:space="preserve"> </v>
      </c>
      <c r="CJ664" s="253"/>
      <c r="CK664" s="254"/>
    </row>
    <row r="665" spans="1:89">
      <c r="A665" s="166" t="str">
        <f t="shared" si="266"/>
        <v xml:space="preserve"> </v>
      </c>
      <c r="B665" s="101"/>
      <c r="C665" s="100"/>
      <c r="D665" s="167" t="str">
        <f t="shared" si="267"/>
        <v xml:space="preserve"> </v>
      </c>
      <c r="E665" s="167" t="str">
        <f t="shared" si="267"/>
        <v xml:space="preserve"> </v>
      </c>
      <c r="F665" s="167" t="str">
        <f t="shared" si="267"/>
        <v xml:space="preserve"> </v>
      </c>
      <c r="G665" s="167" t="str">
        <f t="shared" si="267"/>
        <v xml:space="preserve"> </v>
      </c>
      <c r="H665" s="167" t="str">
        <f t="shared" si="267"/>
        <v xml:space="preserve"> </v>
      </c>
      <c r="I665" s="168" t="str">
        <f t="shared" si="267"/>
        <v xml:space="preserve"> </v>
      </c>
      <c r="J665" s="101"/>
      <c r="K665" s="165"/>
      <c r="CA665" s="166" t="str">
        <f t="shared" si="268"/>
        <v xml:space="preserve"> </v>
      </c>
      <c r="CB665" s="101"/>
      <c r="CC665" s="100"/>
      <c r="CD665" s="167" t="str">
        <f t="shared" si="269"/>
        <v xml:space="preserve"> </v>
      </c>
      <c r="CE665" s="167" t="str">
        <f t="shared" si="269"/>
        <v xml:space="preserve"> </v>
      </c>
      <c r="CF665" s="167" t="str">
        <f t="shared" si="269"/>
        <v xml:space="preserve"> </v>
      </c>
      <c r="CG665" s="167" t="str">
        <f t="shared" si="269"/>
        <v xml:space="preserve"> </v>
      </c>
      <c r="CH665" s="167" t="str">
        <f t="shared" si="269"/>
        <v xml:space="preserve"> </v>
      </c>
      <c r="CI665" s="168" t="str">
        <f t="shared" si="269"/>
        <v xml:space="preserve"> </v>
      </c>
      <c r="CJ665" s="101"/>
      <c r="CK665" s="165"/>
    </row>
    <row r="666" spans="1:89">
      <c r="A666" s="238" t="str">
        <f t="shared" si="266"/>
        <v xml:space="preserve"> </v>
      </c>
      <c r="B666" s="253"/>
      <c r="C666" s="247"/>
      <c r="D666" s="240" t="str">
        <f t="shared" si="267"/>
        <v xml:space="preserve"> </v>
      </c>
      <c r="E666" s="240" t="str">
        <f t="shared" si="267"/>
        <v xml:space="preserve"> </v>
      </c>
      <c r="F666" s="240" t="str">
        <f t="shared" si="267"/>
        <v xml:space="preserve"> </v>
      </c>
      <c r="G666" s="240" t="str">
        <f t="shared" si="267"/>
        <v xml:space="preserve"> </v>
      </c>
      <c r="H666" s="240" t="str">
        <f t="shared" si="267"/>
        <v xml:space="preserve"> </v>
      </c>
      <c r="I666" s="251" t="str">
        <f t="shared" si="267"/>
        <v xml:space="preserve"> </v>
      </c>
      <c r="J666" s="253"/>
      <c r="K666" s="254"/>
      <c r="CA666" s="238" t="str">
        <f t="shared" si="268"/>
        <v xml:space="preserve"> </v>
      </c>
      <c r="CB666" s="253"/>
      <c r="CC666" s="247"/>
      <c r="CD666" s="240" t="str">
        <f t="shared" si="269"/>
        <v xml:space="preserve"> </v>
      </c>
      <c r="CE666" s="240" t="str">
        <f t="shared" si="269"/>
        <v xml:space="preserve"> </v>
      </c>
      <c r="CF666" s="240" t="str">
        <f t="shared" si="269"/>
        <v xml:space="preserve"> </v>
      </c>
      <c r="CG666" s="240" t="str">
        <f t="shared" si="269"/>
        <v xml:space="preserve"> </v>
      </c>
      <c r="CH666" s="240" t="str">
        <f t="shared" si="269"/>
        <v xml:space="preserve"> </v>
      </c>
      <c r="CI666" s="251" t="str">
        <f t="shared" si="269"/>
        <v xml:space="preserve"> </v>
      </c>
      <c r="CJ666" s="253"/>
      <c r="CK666" s="254"/>
    </row>
    <row r="667" spans="1:89">
      <c r="A667" s="166" t="str">
        <f t="shared" si="266"/>
        <v xml:space="preserve"> </v>
      </c>
      <c r="B667" s="101"/>
      <c r="C667" s="100"/>
      <c r="D667" s="167" t="str">
        <f t="shared" si="267"/>
        <v xml:space="preserve"> </v>
      </c>
      <c r="E667" s="167" t="str">
        <f t="shared" si="267"/>
        <v xml:space="preserve"> </v>
      </c>
      <c r="F667" s="167" t="str">
        <f t="shared" si="267"/>
        <v xml:space="preserve"> </v>
      </c>
      <c r="G667" s="167" t="str">
        <f t="shared" si="267"/>
        <v xml:space="preserve"> </v>
      </c>
      <c r="H667" s="167" t="str">
        <f t="shared" si="267"/>
        <v xml:space="preserve"> </v>
      </c>
      <c r="I667" s="168" t="str">
        <f t="shared" si="267"/>
        <v xml:space="preserve"> </v>
      </c>
      <c r="J667" s="101"/>
      <c r="K667" s="165"/>
      <c r="CA667" s="166" t="str">
        <f t="shared" si="268"/>
        <v xml:space="preserve"> </v>
      </c>
      <c r="CB667" s="101"/>
      <c r="CC667" s="100"/>
      <c r="CD667" s="167" t="str">
        <f t="shared" si="269"/>
        <v xml:space="preserve"> </v>
      </c>
      <c r="CE667" s="167" t="str">
        <f t="shared" si="269"/>
        <v xml:space="preserve"> </v>
      </c>
      <c r="CF667" s="167" t="str">
        <f t="shared" si="269"/>
        <v xml:space="preserve"> </v>
      </c>
      <c r="CG667" s="167" t="str">
        <f t="shared" si="269"/>
        <v xml:space="preserve"> </v>
      </c>
      <c r="CH667" s="167" t="str">
        <f t="shared" si="269"/>
        <v xml:space="preserve"> </v>
      </c>
      <c r="CI667" s="168" t="str">
        <f t="shared" si="269"/>
        <v xml:space="preserve"> </v>
      </c>
      <c r="CJ667" s="101"/>
      <c r="CK667" s="165"/>
    </row>
    <row r="668" spans="1:89">
      <c r="A668" s="238" t="str">
        <f t="shared" si="266"/>
        <v xml:space="preserve"> </v>
      </c>
      <c r="B668" s="253"/>
      <c r="C668" s="247"/>
      <c r="D668" s="240" t="str">
        <f t="shared" si="267"/>
        <v xml:space="preserve"> </v>
      </c>
      <c r="E668" s="240" t="str">
        <f t="shared" si="267"/>
        <v xml:space="preserve"> </v>
      </c>
      <c r="F668" s="240" t="str">
        <f t="shared" si="267"/>
        <v xml:space="preserve"> </v>
      </c>
      <c r="G668" s="240" t="str">
        <f t="shared" si="267"/>
        <v xml:space="preserve"> </v>
      </c>
      <c r="H668" s="240" t="str">
        <f t="shared" si="267"/>
        <v xml:space="preserve"> </v>
      </c>
      <c r="I668" s="251" t="str">
        <f t="shared" si="267"/>
        <v xml:space="preserve"> </v>
      </c>
      <c r="J668" s="253"/>
      <c r="K668" s="254"/>
      <c r="CA668" s="238" t="str">
        <f t="shared" si="268"/>
        <v xml:space="preserve"> </v>
      </c>
      <c r="CB668" s="253"/>
      <c r="CC668" s="247"/>
      <c r="CD668" s="240" t="str">
        <f t="shared" si="269"/>
        <v xml:space="preserve"> </v>
      </c>
      <c r="CE668" s="240" t="str">
        <f t="shared" si="269"/>
        <v xml:space="preserve"> </v>
      </c>
      <c r="CF668" s="240" t="str">
        <f t="shared" si="269"/>
        <v xml:space="preserve"> </v>
      </c>
      <c r="CG668" s="240" t="str">
        <f t="shared" si="269"/>
        <v xml:space="preserve"> </v>
      </c>
      <c r="CH668" s="240" t="str">
        <f t="shared" si="269"/>
        <v xml:space="preserve"> </v>
      </c>
      <c r="CI668" s="251" t="str">
        <f t="shared" si="269"/>
        <v xml:space="preserve"> </v>
      </c>
      <c r="CJ668" s="253"/>
      <c r="CK668" s="254"/>
    </row>
    <row r="669" spans="1:89">
      <c r="A669" s="166" t="str">
        <f t="shared" si="266"/>
        <v xml:space="preserve"> </v>
      </c>
      <c r="B669" s="101"/>
      <c r="C669" s="100"/>
      <c r="D669" s="167" t="str">
        <f t="shared" si="267"/>
        <v xml:space="preserve"> </v>
      </c>
      <c r="E669" s="167" t="str">
        <f t="shared" si="267"/>
        <v xml:space="preserve"> </v>
      </c>
      <c r="F669" s="167" t="str">
        <f t="shared" si="267"/>
        <v xml:space="preserve"> </v>
      </c>
      <c r="G669" s="167" t="str">
        <f t="shared" si="267"/>
        <v xml:space="preserve"> </v>
      </c>
      <c r="H669" s="167" t="str">
        <f t="shared" si="267"/>
        <v xml:space="preserve"> </v>
      </c>
      <c r="I669" s="168" t="str">
        <f t="shared" si="267"/>
        <v xml:space="preserve"> </v>
      </c>
      <c r="J669" s="101"/>
      <c r="K669" s="165"/>
      <c r="CA669" s="166" t="str">
        <f t="shared" si="268"/>
        <v xml:space="preserve"> </v>
      </c>
      <c r="CB669" s="101"/>
      <c r="CC669" s="100"/>
      <c r="CD669" s="167" t="str">
        <f t="shared" si="269"/>
        <v xml:space="preserve"> </v>
      </c>
      <c r="CE669" s="167" t="str">
        <f t="shared" si="269"/>
        <v xml:space="preserve"> </v>
      </c>
      <c r="CF669" s="167" t="str">
        <f t="shared" si="269"/>
        <v xml:space="preserve"> </v>
      </c>
      <c r="CG669" s="167" t="str">
        <f t="shared" si="269"/>
        <v xml:space="preserve"> </v>
      </c>
      <c r="CH669" s="167" t="str">
        <f t="shared" si="269"/>
        <v xml:space="preserve"> </v>
      </c>
      <c r="CI669" s="168" t="str">
        <f t="shared" si="269"/>
        <v xml:space="preserve"> </v>
      </c>
      <c r="CJ669" s="101"/>
      <c r="CK669" s="165"/>
    </row>
    <row r="670" spans="1:89">
      <c r="A670" s="246" t="str">
        <f t="shared" si="266"/>
        <v xml:space="preserve"> </v>
      </c>
      <c r="B670" s="258"/>
      <c r="C670" s="247"/>
      <c r="D670" s="247" t="str">
        <f t="shared" si="267"/>
        <v xml:space="preserve"> </v>
      </c>
      <c r="E670" s="247" t="str">
        <f t="shared" si="267"/>
        <v xml:space="preserve"> </v>
      </c>
      <c r="F670" s="247" t="str">
        <f t="shared" si="267"/>
        <v xml:space="preserve"> </v>
      </c>
      <c r="G670" s="247" t="str">
        <f t="shared" si="267"/>
        <v xml:space="preserve"> </v>
      </c>
      <c r="H670" s="247" t="str">
        <f t="shared" si="267"/>
        <v xml:space="preserve"> </v>
      </c>
      <c r="I670" s="256" t="str">
        <f t="shared" si="267"/>
        <v xml:space="preserve"> </v>
      </c>
      <c r="J670" s="258"/>
      <c r="K670" s="259"/>
      <c r="CA670" s="246" t="str">
        <f t="shared" si="268"/>
        <v xml:space="preserve"> </v>
      </c>
      <c r="CB670" s="258"/>
      <c r="CC670" s="247"/>
      <c r="CD670" s="247" t="str">
        <f t="shared" si="269"/>
        <v xml:space="preserve"> </v>
      </c>
      <c r="CE670" s="247" t="str">
        <f t="shared" si="269"/>
        <v xml:space="preserve"> </v>
      </c>
      <c r="CF670" s="247" t="str">
        <f t="shared" si="269"/>
        <v xml:space="preserve"> </v>
      </c>
      <c r="CG670" s="247" t="str">
        <f t="shared" si="269"/>
        <v xml:space="preserve"> </v>
      </c>
      <c r="CH670" s="247" t="str">
        <f t="shared" si="269"/>
        <v xml:space="preserve"> </v>
      </c>
      <c r="CI670" s="256" t="str">
        <f t="shared" si="269"/>
        <v xml:space="preserve"> </v>
      </c>
      <c r="CJ670" s="258"/>
      <c r="CK670" s="259"/>
    </row>
    <row r="671" spans="1:89">
      <c r="A671" s="179" t="s">
        <v>5215</v>
      </c>
      <c r="B671" s="102"/>
      <c r="C671" s="175" t="s">
        <v>5018</v>
      </c>
      <c r="D671" s="175" t="s">
        <v>5701</v>
      </c>
      <c r="E671" s="175" t="s">
        <v>5019</v>
      </c>
      <c r="F671" s="175" t="s">
        <v>5020</v>
      </c>
      <c r="G671" s="175" t="s">
        <v>5021</v>
      </c>
      <c r="H671" s="175" t="s">
        <v>5022</v>
      </c>
      <c r="I671" s="221" t="s">
        <v>5316</v>
      </c>
      <c r="J671" s="176"/>
      <c r="K671" s="180"/>
      <c r="CA671" s="179" t="s">
        <v>5215</v>
      </c>
      <c r="CB671" s="102"/>
      <c r="CC671" s="175" t="s">
        <v>5018</v>
      </c>
      <c r="CD671" s="175" t="s">
        <v>5701</v>
      </c>
      <c r="CE671" s="175" t="s">
        <v>5019</v>
      </c>
      <c r="CF671" s="175" t="s">
        <v>5020</v>
      </c>
      <c r="CG671" s="175" t="s">
        <v>5021</v>
      </c>
      <c r="CH671" s="175" t="s">
        <v>5022</v>
      </c>
      <c r="CI671" s="221" t="s">
        <v>5316</v>
      </c>
      <c r="CJ671" s="176"/>
      <c r="CK671" s="180"/>
    </row>
    <row r="672" spans="1:89">
      <c r="A672" s="166" t="str">
        <f>IF(AND(A1472&gt;0,$E$134&gt;10),A1472," ")</f>
        <v xml:space="preserve"> </v>
      </c>
      <c r="B672" s="101"/>
      <c r="C672" s="100"/>
      <c r="D672" s="167" t="str">
        <f t="shared" ref="D672:I676" si="270">IF(AND(D1472&gt;0,$E$134&gt;10),D1472," ")</f>
        <v xml:space="preserve"> </v>
      </c>
      <c r="E672" s="167" t="str">
        <f t="shared" si="270"/>
        <v xml:space="preserve"> </v>
      </c>
      <c r="F672" s="167" t="str">
        <f t="shared" si="270"/>
        <v xml:space="preserve"> </v>
      </c>
      <c r="G672" s="167" t="str">
        <f t="shared" si="270"/>
        <v xml:space="preserve"> </v>
      </c>
      <c r="H672" s="167" t="str">
        <f t="shared" si="270"/>
        <v xml:space="preserve"> </v>
      </c>
      <c r="I672" s="168" t="str">
        <f t="shared" si="270"/>
        <v xml:space="preserve"> </v>
      </c>
      <c r="J672" s="101"/>
      <c r="K672" s="165"/>
      <c r="CA672" s="166" t="str">
        <f>IF(AND(CA1472&gt;0,$E$134&gt;10),CA1472," ")</f>
        <v xml:space="preserve"> </v>
      </c>
      <c r="CB672" s="101"/>
      <c r="CC672" s="100"/>
      <c r="CD672" s="167" t="str">
        <f t="shared" ref="CD672:CI676" si="271">IF(AND(CD1472&gt;0,$E$134&gt;10),CD1472," ")</f>
        <v xml:space="preserve"> </v>
      </c>
      <c r="CE672" s="167" t="str">
        <f t="shared" si="271"/>
        <v xml:space="preserve"> </v>
      </c>
      <c r="CF672" s="167" t="str">
        <f t="shared" si="271"/>
        <v xml:space="preserve"> </v>
      </c>
      <c r="CG672" s="167" t="str">
        <f t="shared" si="271"/>
        <v xml:space="preserve"> </v>
      </c>
      <c r="CH672" s="167" t="str">
        <f t="shared" si="271"/>
        <v xml:space="preserve"> </v>
      </c>
      <c r="CI672" s="168" t="str">
        <f t="shared" si="271"/>
        <v xml:space="preserve"> </v>
      </c>
      <c r="CJ672" s="101"/>
      <c r="CK672" s="165"/>
    </row>
    <row r="673" spans="1:89">
      <c r="A673" s="238" t="str">
        <f>IF(AND(A1473&gt;0,$E$134&gt;10),A1473," ")</f>
        <v xml:space="preserve"> </v>
      </c>
      <c r="B673" s="253"/>
      <c r="C673" s="247"/>
      <c r="D673" s="240" t="str">
        <f t="shared" si="270"/>
        <v xml:space="preserve"> </v>
      </c>
      <c r="E673" s="240" t="str">
        <f t="shared" si="270"/>
        <v xml:space="preserve"> </v>
      </c>
      <c r="F673" s="240" t="str">
        <f t="shared" si="270"/>
        <v xml:space="preserve"> </v>
      </c>
      <c r="G673" s="240" t="str">
        <f t="shared" si="270"/>
        <v xml:space="preserve"> </v>
      </c>
      <c r="H673" s="240" t="str">
        <f t="shared" si="270"/>
        <v xml:space="preserve"> </v>
      </c>
      <c r="I673" s="251" t="str">
        <f t="shared" si="270"/>
        <v xml:space="preserve"> </v>
      </c>
      <c r="J673" s="253"/>
      <c r="K673" s="254"/>
      <c r="CA673" s="238" t="str">
        <f>IF(AND(CA1473&gt;0,$E$134&gt;10),CA1473," ")</f>
        <v xml:space="preserve"> </v>
      </c>
      <c r="CB673" s="253"/>
      <c r="CC673" s="247"/>
      <c r="CD673" s="240" t="str">
        <f t="shared" si="271"/>
        <v xml:space="preserve"> </v>
      </c>
      <c r="CE673" s="240" t="str">
        <f t="shared" si="271"/>
        <v xml:space="preserve"> </v>
      </c>
      <c r="CF673" s="240" t="str">
        <f t="shared" si="271"/>
        <v xml:space="preserve"> </v>
      </c>
      <c r="CG673" s="240" t="str">
        <f t="shared" si="271"/>
        <v xml:space="preserve"> </v>
      </c>
      <c r="CH673" s="240" t="str">
        <f t="shared" si="271"/>
        <v xml:space="preserve"> </v>
      </c>
      <c r="CI673" s="251" t="str">
        <f t="shared" si="271"/>
        <v xml:space="preserve"> </v>
      </c>
      <c r="CJ673" s="253"/>
      <c r="CK673" s="254"/>
    </row>
    <row r="674" spans="1:89">
      <c r="A674" s="166" t="str">
        <f>IF(AND(A1474&gt;0,$E$134&gt;10),A1474," ")</f>
        <v xml:space="preserve"> </v>
      </c>
      <c r="B674" s="101"/>
      <c r="C674" s="100"/>
      <c r="D674" s="167" t="str">
        <f t="shared" si="270"/>
        <v xml:space="preserve"> </v>
      </c>
      <c r="E674" s="167" t="str">
        <f t="shared" si="270"/>
        <v xml:space="preserve"> </v>
      </c>
      <c r="F674" s="167" t="str">
        <f t="shared" si="270"/>
        <v xml:space="preserve"> </v>
      </c>
      <c r="G674" s="167" t="str">
        <f t="shared" si="270"/>
        <v xml:space="preserve"> </v>
      </c>
      <c r="H674" s="167" t="str">
        <f t="shared" si="270"/>
        <v xml:space="preserve"> </v>
      </c>
      <c r="I674" s="168" t="str">
        <f t="shared" si="270"/>
        <v xml:space="preserve"> </v>
      </c>
      <c r="J674" s="101"/>
      <c r="K674" s="165"/>
      <c r="CA674" s="166" t="str">
        <f>IF(AND(CA1474&gt;0,$E$134&gt;10),CA1474," ")</f>
        <v xml:space="preserve"> </v>
      </c>
      <c r="CB674" s="101"/>
      <c r="CC674" s="100"/>
      <c r="CD674" s="167" t="str">
        <f t="shared" si="271"/>
        <v xml:space="preserve"> </v>
      </c>
      <c r="CE674" s="167" t="str">
        <f t="shared" si="271"/>
        <v xml:space="preserve"> </v>
      </c>
      <c r="CF674" s="167" t="str">
        <f t="shared" si="271"/>
        <v xml:space="preserve"> </v>
      </c>
      <c r="CG674" s="167" t="str">
        <f t="shared" si="271"/>
        <v xml:space="preserve"> </v>
      </c>
      <c r="CH674" s="167" t="str">
        <f t="shared" si="271"/>
        <v xml:space="preserve"> </v>
      </c>
      <c r="CI674" s="168" t="str">
        <f t="shared" si="271"/>
        <v xml:space="preserve"> </v>
      </c>
      <c r="CJ674" s="101"/>
      <c r="CK674" s="165"/>
    </row>
    <row r="675" spans="1:89">
      <c r="A675" s="238" t="str">
        <f>IF(AND(A1475&gt;0,$E$134&gt;10),A1475," ")</f>
        <v xml:space="preserve"> </v>
      </c>
      <c r="B675" s="253"/>
      <c r="C675" s="247"/>
      <c r="D675" s="240" t="str">
        <f t="shared" si="270"/>
        <v xml:space="preserve"> </v>
      </c>
      <c r="E675" s="240" t="str">
        <f t="shared" si="270"/>
        <v xml:space="preserve"> </v>
      </c>
      <c r="F675" s="240" t="str">
        <f t="shared" si="270"/>
        <v xml:space="preserve"> </v>
      </c>
      <c r="G675" s="240" t="str">
        <f t="shared" si="270"/>
        <v xml:space="preserve"> </v>
      </c>
      <c r="H675" s="240" t="str">
        <f t="shared" si="270"/>
        <v xml:space="preserve"> </v>
      </c>
      <c r="I675" s="251" t="str">
        <f t="shared" si="270"/>
        <v xml:space="preserve"> </v>
      </c>
      <c r="J675" s="253"/>
      <c r="K675" s="254"/>
      <c r="CA675" s="238" t="str">
        <f>IF(AND(CA1475&gt;0,$E$134&gt;10),CA1475," ")</f>
        <v xml:space="preserve"> </v>
      </c>
      <c r="CB675" s="253"/>
      <c r="CC675" s="247"/>
      <c r="CD675" s="240" t="str">
        <f t="shared" si="271"/>
        <v xml:space="preserve"> </v>
      </c>
      <c r="CE675" s="240" t="str">
        <f t="shared" si="271"/>
        <v xml:space="preserve"> </v>
      </c>
      <c r="CF675" s="240" t="str">
        <f t="shared" si="271"/>
        <v xml:space="preserve"> </v>
      </c>
      <c r="CG675" s="240" t="str">
        <f t="shared" si="271"/>
        <v xml:space="preserve"> </v>
      </c>
      <c r="CH675" s="240" t="str">
        <f t="shared" si="271"/>
        <v xml:space="preserve"> </v>
      </c>
      <c r="CI675" s="251" t="str">
        <f t="shared" si="271"/>
        <v xml:space="preserve"> </v>
      </c>
      <c r="CJ675" s="253"/>
      <c r="CK675" s="254"/>
    </row>
    <row r="676" spans="1:89">
      <c r="A676" s="181" t="str">
        <f>IF(AND(A1476&gt;0,$E$134&gt;10),A1476," ")</f>
        <v xml:space="preserve"> </v>
      </c>
      <c r="B676" s="103"/>
      <c r="C676" s="100"/>
      <c r="D676" s="100" t="str">
        <f t="shared" si="270"/>
        <v xml:space="preserve"> </v>
      </c>
      <c r="E676" s="100" t="str">
        <f t="shared" si="270"/>
        <v xml:space="preserve"> </v>
      </c>
      <c r="F676" s="100" t="str">
        <f t="shared" si="270"/>
        <v xml:space="preserve"> </v>
      </c>
      <c r="G676" s="100" t="str">
        <f t="shared" si="270"/>
        <v xml:space="preserve"> </v>
      </c>
      <c r="H676" s="100" t="str">
        <f t="shared" si="270"/>
        <v xml:space="preserve"> </v>
      </c>
      <c r="I676" s="177" t="str">
        <f t="shared" si="270"/>
        <v xml:space="preserve"> </v>
      </c>
      <c r="J676" s="103"/>
      <c r="K676" s="182"/>
      <c r="CA676" s="181" t="str">
        <f>IF(AND(CA1476&gt;0,$E$134&gt;10),CA1476," ")</f>
        <v xml:space="preserve"> </v>
      </c>
      <c r="CB676" s="103"/>
      <c r="CC676" s="100"/>
      <c r="CD676" s="100" t="str">
        <f t="shared" si="271"/>
        <v xml:space="preserve"> </v>
      </c>
      <c r="CE676" s="100" t="str">
        <f t="shared" si="271"/>
        <v xml:space="preserve"> </v>
      </c>
      <c r="CF676" s="100" t="str">
        <f t="shared" si="271"/>
        <v xml:space="preserve"> </v>
      </c>
      <c r="CG676" s="100" t="str">
        <f t="shared" si="271"/>
        <v xml:space="preserve"> </v>
      </c>
      <c r="CH676" s="100" t="str">
        <f t="shared" si="271"/>
        <v xml:space="preserve"> </v>
      </c>
      <c r="CI676" s="177" t="str">
        <f t="shared" si="271"/>
        <v xml:space="preserve"> </v>
      </c>
      <c r="CJ676" s="103"/>
      <c r="CK676" s="182"/>
    </row>
    <row r="677" spans="1:89">
      <c r="A677" s="179" t="s">
        <v>5216</v>
      </c>
      <c r="B677" s="102"/>
      <c r="C677" s="175" t="s">
        <v>5018</v>
      </c>
      <c r="D677" s="175" t="s">
        <v>5701</v>
      </c>
      <c r="E677" s="175" t="s">
        <v>5019</v>
      </c>
      <c r="F677" s="175" t="s">
        <v>5020</v>
      </c>
      <c r="G677" s="175" t="s">
        <v>5021</v>
      </c>
      <c r="H677" s="175" t="s">
        <v>5022</v>
      </c>
      <c r="I677" s="221" t="s">
        <v>5316</v>
      </c>
      <c r="J677" s="176"/>
      <c r="K677" s="180"/>
      <c r="CA677" s="179" t="s">
        <v>5216</v>
      </c>
      <c r="CB677" s="102"/>
      <c r="CC677" s="175" t="s">
        <v>5018</v>
      </c>
      <c r="CD677" s="175" t="s">
        <v>5701</v>
      </c>
      <c r="CE677" s="175" t="s">
        <v>5019</v>
      </c>
      <c r="CF677" s="175" t="s">
        <v>5020</v>
      </c>
      <c r="CG677" s="175" t="s">
        <v>5021</v>
      </c>
      <c r="CH677" s="175" t="s">
        <v>5022</v>
      </c>
      <c r="CI677" s="221" t="s">
        <v>5316</v>
      </c>
      <c r="CJ677" s="176"/>
      <c r="CK677" s="180"/>
    </row>
    <row r="678" spans="1:89">
      <c r="A678" s="166" t="str">
        <f>IF(AND(A1478&gt;0,$E$134&gt;11),A1478," ")</f>
        <v xml:space="preserve"> </v>
      </c>
      <c r="B678" s="101"/>
      <c r="C678" s="100"/>
      <c r="D678" s="167" t="str">
        <f t="shared" ref="D678:I682" si="272">IF(AND(D1478&gt;0,$E$134&gt;11),D1478," ")</f>
        <v xml:space="preserve"> </v>
      </c>
      <c r="E678" s="167" t="str">
        <f t="shared" si="272"/>
        <v xml:space="preserve"> </v>
      </c>
      <c r="F678" s="167" t="str">
        <f t="shared" si="272"/>
        <v xml:space="preserve"> </v>
      </c>
      <c r="G678" s="167" t="str">
        <f t="shared" si="272"/>
        <v xml:space="preserve"> </v>
      </c>
      <c r="H678" s="167" t="str">
        <f t="shared" si="272"/>
        <v xml:space="preserve"> </v>
      </c>
      <c r="I678" s="168" t="str">
        <f t="shared" si="272"/>
        <v xml:space="preserve"> </v>
      </c>
      <c r="J678" s="101"/>
      <c r="K678" s="165"/>
      <c r="CA678" s="166" t="str">
        <f>IF(AND(CA1478&gt;0,$E$134&gt;11),CA1478," ")</f>
        <v xml:space="preserve"> </v>
      </c>
      <c r="CB678" s="101"/>
      <c r="CC678" s="100"/>
      <c r="CD678" s="167" t="str">
        <f t="shared" ref="CD678:CI682" si="273">IF(AND(CD1478&gt;0,$E$134&gt;11),CD1478," ")</f>
        <v xml:space="preserve"> </v>
      </c>
      <c r="CE678" s="167" t="str">
        <f t="shared" si="273"/>
        <v xml:space="preserve"> </v>
      </c>
      <c r="CF678" s="167" t="str">
        <f t="shared" si="273"/>
        <v xml:space="preserve"> </v>
      </c>
      <c r="CG678" s="167" t="str">
        <f t="shared" si="273"/>
        <v xml:space="preserve"> </v>
      </c>
      <c r="CH678" s="167" t="str">
        <f t="shared" si="273"/>
        <v xml:space="preserve"> </v>
      </c>
      <c r="CI678" s="168" t="str">
        <f t="shared" si="273"/>
        <v xml:space="preserve"> </v>
      </c>
      <c r="CJ678" s="101"/>
      <c r="CK678" s="165"/>
    </row>
    <row r="679" spans="1:89">
      <c r="A679" s="238" t="str">
        <f>IF(AND(A1479&gt;0,$E$134&gt;11),A1479," ")</f>
        <v xml:space="preserve"> </v>
      </c>
      <c r="B679" s="253"/>
      <c r="C679" s="247"/>
      <c r="D679" s="240" t="str">
        <f t="shared" si="272"/>
        <v xml:space="preserve"> </v>
      </c>
      <c r="E679" s="240" t="str">
        <f t="shared" si="272"/>
        <v xml:space="preserve"> </v>
      </c>
      <c r="F679" s="240" t="str">
        <f t="shared" si="272"/>
        <v xml:space="preserve"> </v>
      </c>
      <c r="G679" s="240" t="str">
        <f t="shared" si="272"/>
        <v xml:space="preserve"> </v>
      </c>
      <c r="H679" s="240" t="str">
        <f t="shared" si="272"/>
        <v xml:space="preserve"> </v>
      </c>
      <c r="I679" s="251" t="str">
        <f t="shared" si="272"/>
        <v xml:space="preserve"> </v>
      </c>
      <c r="J679" s="253"/>
      <c r="K679" s="254"/>
      <c r="CA679" s="238" t="str">
        <f>IF(AND(CA1479&gt;0,$E$134&gt;11),CA1479," ")</f>
        <v xml:space="preserve"> </v>
      </c>
      <c r="CB679" s="253"/>
      <c r="CC679" s="247"/>
      <c r="CD679" s="240" t="str">
        <f t="shared" si="273"/>
        <v xml:space="preserve"> </v>
      </c>
      <c r="CE679" s="240" t="str">
        <f t="shared" si="273"/>
        <v xml:space="preserve"> </v>
      </c>
      <c r="CF679" s="240" t="str">
        <f t="shared" si="273"/>
        <v xml:space="preserve"> </v>
      </c>
      <c r="CG679" s="240" t="str">
        <f t="shared" si="273"/>
        <v xml:space="preserve"> </v>
      </c>
      <c r="CH679" s="240" t="str">
        <f t="shared" si="273"/>
        <v xml:space="preserve"> </v>
      </c>
      <c r="CI679" s="251" t="str">
        <f t="shared" si="273"/>
        <v xml:space="preserve"> </v>
      </c>
      <c r="CJ679" s="253"/>
      <c r="CK679" s="254"/>
    </row>
    <row r="680" spans="1:89">
      <c r="A680" s="166" t="str">
        <f>IF(AND(A1480&gt;0,$E$134&gt;11),A1480," ")</f>
        <v xml:space="preserve"> </v>
      </c>
      <c r="B680" s="101"/>
      <c r="C680" s="100"/>
      <c r="D680" s="167" t="str">
        <f t="shared" si="272"/>
        <v xml:space="preserve"> </v>
      </c>
      <c r="E680" s="167" t="str">
        <f t="shared" si="272"/>
        <v xml:space="preserve"> </v>
      </c>
      <c r="F680" s="167" t="str">
        <f t="shared" si="272"/>
        <v xml:space="preserve"> </v>
      </c>
      <c r="G680" s="167" t="str">
        <f t="shared" si="272"/>
        <v xml:space="preserve"> </v>
      </c>
      <c r="H680" s="167" t="str">
        <f t="shared" si="272"/>
        <v xml:space="preserve"> </v>
      </c>
      <c r="I680" s="168" t="str">
        <f t="shared" si="272"/>
        <v xml:space="preserve"> </v>
      </c>
      <c r="J680" s="101"/>
      <c r="K680" s="165"/>
      <c r="CA680" s="166" t="str">
        <f>IF(AND(CA1480&gt;0,$E$134&gt;11),CA1480," ")</f>
        <v xml:space="preserve"> </v>
      </c>
      <c r="CB680" s="101"/>
      <c r="CC680" s="100"/>
      <c r="CD680" s="167" t="str">
        <f t="shared" si="273"/>
        <v xml:space="preserve"> </v>
      </c>
      <c r="CE680" s="167" t="str">
        <f t="shared" si="273"/>
        <v xml:space="preserve"> </v>
      </c>
      <c r="CF680" s="167" t="str">
        <f t="shared" si="273"/>
        <v xml:space="preserve"> </v>
      </c>
      <c r="CG680" s="167" t="str">
        <f t="shared" si="273"/>
        <v xml:space="preserve"> </v>
      </c>
      <c r="CH680" s="167" t="str">
        <f t="shared" si="273"/>
        <v xml:space="preserve"> </v>
      </c>
      <c r="CI680" s="168" t="str">
        <f t="shared" si="273"/>
        <v xml:space="preserve"> </v>
      </c>
      <c r="CJ680" s="101"/>
      <c r="CK680" s="165"/>
    </row>
    <row r="681" spans="1:89">
      <c r="A681" s="238" t="str">
        <f>IF(AND(A1481&gt;0,$E$134&gt;11),A1481," ")</f>
        <v xml:space="preserve"> </v>
      </c>
      <c r="B681" s="253"/>
      <c r="C681" s="247"/>
      <c r="D681" s="240" t="str">
        <f t="shared" si="272"/>
        <v xml:space="preserve"> </v>
      </c>
      <c r="E681" s="240" t="str">
        <f t="shared" si="272"/>
        <v xml:space="preserve"> </v>
      </c>
      <c r="F681" s="240" t="str">
        <f t="shared" si="272"/>
        <v xml:space="preserve"> </v>
      </c>
      <c r="G681" s="240" t="str">
        <f t="shared" si="272"/>
        <v xml:space="preserve"> </v>
      </c>
      <c r="H681" s="240" t="str">
        <f t="shared" si="272"/>
        <v xml:space="preserve"> </v>
      </c>
      <c r="I681" s="251" t="str">
        <f t="shared" si="272"/>
        <v xml:space="preserve"> </v>
      </c>
      <c r="J681" s="253"/>
      <c r="K681" s="254"/>
      <c r="CA681" s="238" t="str">
        <f>IF(AND(CA1481&gt;0,$E$134&gt;11),CA1481," ")</f>
        <v xml:space="preserve"> </v>
      </c>
      <c r="CB681" s="253"/>
      <c r="CC681" s="247"/>
      <c r="CD681" s="240" t="str">
        <f t="shared" si="273"/>
        <v xml:space="preserve"> </v>
      </c>
      <c r="CE681" s="240" t="str">
        <f t="shared" si="273"/>
        <v xml:space="preserve"> </v>
      </c>
      <c r="CF681" s="240" t="str">
        <f t="shared" si="273"/>
        <v xml:space="preserve"> </v>
      </c>
      <c r="CG681" s="240" t="str">
        <f t="shared" si="273"/>
        <v xml:space="preserve"> </v>
      </c>
      <c r="CH681" s="240" t="str">
        <f t="shared" si="273"/>
        <v xml:space="preserve"> </v>
      </c>
      <c r="CI681" s="251" t="str">
        <f t="shared" si="273"/>
        <v xml:space="preserve"> </v>
      </c>
      <c r="CJ681" s="253"/>
      <c r="CK681" s="254"/>
    </row>
    <row r="682" spans="1:89">
      <c r="A682" s="181" t="str">
        <f>IF(AND(A1482&gt;0,$E$134&gt;11),A1482," ")</f>
        <v xml:space="preserve"> </v>
      </c>
      <c r="B682" s="103"/>
      <c r="C682" s="100"/>
      <c r="D682" s="100" t="str">
        <f t="shared" si="272"/>
        <v xml:space="preserve"> </v>
      </c>
      <c r="E682" s="100" t="str">
        <f t="shared" si="272"/>
        <v xml:space="preserve"> </v>
      </c>
      <c r="F682" s="100" t="str">
        <f t="shared" si="272"/>
        <v xml:space="preserve"> </v>
      </c>
      <c r="G682" s="100" t="str">
        <f t="shared" si="272"/>
        <v xml:space="preserve"> </v>
      </c>
      <c r="H682" s="100" t="str">
        <f t="shared" si="272"/>
        <v xml:space="preserve"> </v>
      </c>
      <c r="I682" s="177" t="str">
        <f t="shared" si="272"/>
        <v xml:space="preserve"> </v>
      </c>
      <c r="J682" s="103"/>
      <c r="K682" s="182"/>
      <c r="CA682" s="181" t="str">
        <f>IF(AND(CA1482&gt;0,$E$134&gt;11),CA1482," ")</f>
        <v xml:space="preserve"> </v>
      </c>
      <c r="CB682" s="103"/>
      <c r="CC682" s="100"/>
      <c r="CD682" s="100" t="str">
        <f t="shared" si="273"/>
        <v xml:space="preserve"> </v>
      </c>
      <c r="CE682" s="100" t="str">
        <f t="shared" si="273"/>
        <v xml:space="preserve"> </v>
      </c>
      <c r="CF682" s="100" t="str">
        <f t="shared" si="273"/>
        <v xml:space="preserve"> </v>
      </c>
      <c r="CG682" s="100" t="str">
        <f t="shared" si="273"/>
        <v xml:space="preserve"> </v>
      </c>
      <c r="CH682" s="100" t="str">
        <f t="shared" si="273"/>
        <v xml:space="preserve"> </v>
      </c>
      <c r="CI682" s="177" t="str">
        <f t="shared" si="273"/>
        <v xml:space="preserve"> </v>
      </c>
      <c r="CJ682" s="103"/>
      <c r="CK682" s="182"/>
    </row>
    <row r="683" spans="1:89">
      <c r="A683" s="179" t="s">
        <v>5418</v>
      </c>
      <c r="B683" s="102"/>
      <c r="C683" s="175" t="s">
        <v>5018</v>
      </c>
      <c r="D683" s="175" t="s">
        <v>5701</v>
      </c>
      <c r="E683" s="175" t="s">
        <v>5019</v>
      </c>
      <c r="F683" s="175" t="s">
        <v>5020</v>
      </c>
      <c r="G683" s="175" t="s">
        <v>5021</v>
      </c>
      <c r="H683" s="175" t="s">
        <v>5022</v>
      </c>
      <c r="I683" s="221" t="s">
        <v>5316</v>
      </c>
      <c r="J683" s="176"/>
      <c r="K683" s="180"/>
      <c r="CA683" s="179" t="s">
        <v>5418</v>
      </c>
      <c r="CB683" s="102"/>
      <c r="CC683" s="175" t="s">
        <v>5018</v>
      </c>
      <c r="CD683" s="175" t="s">
        <v>5701</v>
      </c>
      <c r="CE683" s="175" t="s">
        <v>5019</v>
      </c>
      <c r="CF683" s="175" t="s">
        <v>5020</v>
      </c>
      <c r="CG683" s="175" t="s">
        <v>5021</v>
      </c>
      <c r="CH683" s="175" t="s">
        <v>5022</v>
      </c>
      <c r="CI683" s="221" t="s">
        <v>5316</v>
      </c>
      <c r="CJ683" s="176"/>
      <c r="CK683" s="180"/>
    </row>
    <row r="684" spans="1:89">
      <c r="A684" s="166" t="str">
        <f>IF(AND(A1484&gt;0,$E$134&gt;12),A1484," ")</f>
        <v xml:space="preserve"> </v>
      </c>
      <c r="B684" s="101"/>
      <c r="C684" s="100"/>
      <c r="D684" s="167" t="str">
        <f t="shared" ref="D684:I688" si="274">IF(AND(D1484&gt;0,$E$134&gt;12),D1484," ")</f>
        <v xml:space="preserve"> </v>
      </c>
      <c r="E684" s="167" t="str">
        <f t="shared" si="274"/>
        <v xml:space="preserve"> </v>
      </c>
      <c r="F684" s="167" t="str">
        <f t="shared" si="274"/>
        <v xml:space="preserve"> </v>
      </c>
      <c r="G684" s="167" t="str">
        <f t="shared" si="274"/>
        <v xml:space="preserve"> </v>
      </c>
      <c r="H684" s="167" t="str">
        <f t="shared" si="274"/>
        <v xml:space="preserve"> </v>
      </c>
      <c r="I684" s="168" t="str">
        <f t="shared" si="274"/>
        <v xml:space="preserve"> </v>
      </c>
      <c r="J684" s="101"/>
      <c r="K684" s="165"/>
      <c r="CA684" s="166" t="str">
        <f>IF(AND(CA1484&gt;0,$E$134&gt;12),CA1484," ")</f>
        <v xml:space="preserve"> </v>
      </c>
      <c r="CB684" s="101"/>
      <c r="CC684" s="100"/>
      <c r="CD684" s="167" t="str">
        <f t="shared" ref="CD684:CI688" si="275">IF(AND(CD1484&gt;0,$E$134&gt;12),CD1484," ")</f>
        <v xml:space="preserve"> </v>
      </c>
      <c r="CE684" s="167" t="str">
        <f t="shared" si="275"/>
        <v xml:space="preserve"> </v>
      </c>
      <c r="CF684" s="167" t="str">
        <f t="shared" si="275"/>
        <v xml:space="preserve"> </v>
      </c>
      <c r="CG684" s="167" t="str">
        <f t="shared" si="275"/>
        <v xml:space="preserve"> </v>
      </c>
      <c r="CH684" s="167" t="str">
        <f t="shared" si="275"/>
        <v xml:space="preserve"> </v>
      </c>
      <c r="CI684" s="168" t="str">
        <f t="shared" si="275"/>
        <v xml:space="preserve"> </v>
      </c>
      <c r="CJ684" s="101"/>
      <c r="CK684" s="165"/>
    </row>
    <row r="685" spans="1:89">
      <c r="A685" s="238" t="str">
        <f>IF(AND(A1485&gt;0,$E$134&gt;12),A1485," ")</f>
        <v xml:space="preserve"> </v>
      </c>
      <c r="B685" s="253"/>
      <c r="C685" s="247"/>
      <c r="D685" s="240" t="str">
        <f t="shared" si="274"/>
        <v xml:space="preserve"> </v>
      </c>
      <c r="E685" s="240" t="str">
        <f t="shared" si="274"/>
        <v xml:space="preserve"> </v>
      </c>
      <c r="F685" s="240" t="str">
        <f t="shared" si="274"/>
        <v xml:space="preserve"> </v>
      </c>
      <c r="G685" s="240" t="str">
        <f t="shared" si="274"/>
        <v xml:space="preserve"> </v>
      </c>
      <c r="H685" s="240" t="str">
        <f t="shared" si="274"/>
        <v xml:space="preserve"> </v>
      </c>
      <c r="I685" s="251" t="str">
        <f t="shared" si="274"/>
        <v xml:space="preserve"> </v>
      </c>
      <c r="J685" s="253"/>
      <c r="K685" s="254"/>
      <c r="CA685" s="238" t="str">
        <f>IF(AND(CA1485&gt;0,$E$134&gt;12),CA1485," ")</f>
        <v xml:space="preserve"> </v>
      </c>
      <c r="CB685" s="253"/>
      <c r="CC685" s="247"/>
      <c r="CD685" s="240" t="str">
        <f t="shared" si="275"/>
        <v xml:space="preserve"> </v>
      </c>
      <c r="CE685" s="240" t="str">
        <f t="shared" si="275"/>
        <v xml:space="preserve"> </v>
      </c>
      <c r="CF685" s="240" t="str">
        <f t="shared" si="275"/>
        <v xml:space="preserve"> </v>
      </c>
      <c r="CG685" s="240" t="str">
        <f t="shared" si="275"/>
        <v xml:space="preserve"> </v>
      </c>
      <c r="CH685" s="240" t="str">
        <f t="shared" si="275"/>
        <v xml:space="preserve"> </v>
      </c>
      <c r="CI685" s="251" t="str">
        <f t="shared" si="275"/>
        <v xml:space="preserve"> </v>
      </c>
      <c r="CJ685" s="253"/>
      <c r="CK685" s="254"/>
    </row>
    <row r="686" spans="1:89">
      <c r="A686" s="166" t="str">
        <f>IF(AND(A1486&gt;0,$E$134&gt;12),A1486," ")</f>
        <v xml:space="preserve"> </v>
      </c>
      <c r="B686" s="101"/>
      <c r="C686" s="100"/>
      <c r="D686" s="167" t="str">
        <f t="shared" si="274"/>
        <v xml:space="preserve"> </v>
      </c>
      <c r="E686" s="167" t="str">
        <f t="shared" si="274"/>
        <v xml:space="preserve"> </v>
      </c>
      <c r="F686" s="167" t="str">
        <f t="shared" si="274"/>
        <v xml:space="preserve"> </v>
      </c>
      <c r="G686" s="167" t="str">
        <f t="shared" si="274"/>
        <v xml:space="preserve"> </v>
      </c>
      <c r="H686" s="167" t="str">
        <f t="shared" si="274"/>
        <v xml:space="preserve"> </v>
      </c>
      <c r="I686" s="168" t="str">
        <f t="shared" si="274"/>
        <v xml:space="preserve"> </v>
      </c>
      <c r="J686" s="101"/>
      <c r="K686" s="165"/>
      <c r="CA686" s="166" t="str">
        <f>IF(AND(CA1486&gt;0,$E$134&gt;12),CA1486," ")</f>
        <v xml:space="preserve"> </v>
      </c>
      <c r="CB686" s="101"/>
      <c r="CC686" s="100"/>
      <c r="CD686" s="167" t="str">
        <f t="shared" si="275"/>
        <v xml:space="preserve"> </v>
      </c>
      <c r="CE686" s="167" t="str">
        <f t="shared" si="275"/>
        <v xml:space="preserve"> </v>
      </c>
      <c r="CF686" s="167" t="str">
        <f t="shared" si="275"/>
        <v xml:space="preserve"> </v>
      </c>
      <c r="CG686" s="167" t="str">
        <f t="shared" si="275"/>
        <v xml:space="preserve"> </v>
      </c>
      <c r="CH686" s="167" t="str">
        <f t="shared" si="275"/>
        <v xml:space="preserve"> </v>
      </c>
      <c r="CI686" s="168" t="str">
        <f t="shared" si="275"/>
        <v xml:space="preserve"> </v>
      </c>
      <c r="CJ686" s="101"/>
      <c r="CK686" s="165"/>
    </row>
    <row r="687" spans="1:89">
      <c r="A687" s="238" t="str">
        <f>IF(AND(A1487&gt;0,$E$134&gt;12),A1487," ")</f>
        <v xml:space="preserve"> </v>
      </c>
      <c r="B687" s="253"/>
      <c r="C687" s="247"/>
      <c r="D687" s="240" t="str">
        <f t="shared" si="274"/>
        <v xml:space="preserve"> </v>
      </c>
      <c r="E687" s="240" t="str">
        <f t="shared" si="274"/>
        <v xml:space="preserve"> </v>
      </c>
      <c r="F687" s="240" t="str">
        <f t="shared" si="274"/>
        <v xml:space="preserve"> </v>
      </c>
      <c r="G687" s="240" t="str">
        <f t="shared" si="274"/>
        <v xml:space="preserve"> </v>
      </c>
      <c r="H687" s="240" t="str">
        <f t="shared" si="274"/>
        <v xml:space="preserve"> </v>
      </c>
      <c r="I687" s="251" t="str">
        <f t="shared" si="274"/>
        <v xml:space="preserve"> </v>
      </c>
      <c r="J687" s="253"/>
      <c r="K687" s="254"/>
      <c r="CA687" s="238" t="str">
        <f>IF(AND(CA1487&gt;0,$E$134&gt;12),CA1487," ")</f>
        <v xml:space="preserve"> </v>
      </c>
      <c r="CB687" s="253"/>
      <c r="CC687" s="247"/>
      <c r="CD687" s="240" t="str">
        <f t="shared" si="275"/>
        <v xml:space="preserve"> </v>
      </c>
      <c r="CE687" s="240" t="str">
        <f t="shared" si="275"/>
        <v xml:space="preserve"> </v>
      </c>
      <c r="CF687" s="240" t="str">
        <f t="shared" si="275"/>
        <v xml:space="preserve"> </v>
      </c>
      <c r="CG687" s="240" t="str">
        <f t="shared" si="275"/>
        <v xml:space="preserve"> </v>
      </c>
      <c r="CH687" s="240" t="str">
        <f t="shared" si="275"/>
        <v xml:space="preserve"> </v>
      </c>
      <c r="CI687" s="251" t="str">
        <f t="shared" si="275"/>
        <v xml:space="preserve"> </v>
      </c>
      <c r="CJ687" s="253"/>
      <c r="CK687" s="254"/>
    </row>
    <row r="688" spans="1:89">
      <c r="A688" s="181" t="str">
        <f>IF(AND(A1488&gt;0,$E$134&gt;12),A1488," ")</f>
        <v xml:space="preserve"> </v>
      </c>
      <c r="B688" s="103"/>
      <c r="C688" s="100"/>
      <c r="D688" s="100" t="str">
        <f t="shared" si="274"/>
        <v xml:space="preserve"> </v>
      </c>
      <c r="E688" s="100" t="str">
        <f t="shared" si="274"/>
        <v xml:space="preserve"> </v>
      </c>
      <c r="F688" s="100" t="str">
        <f t="shared" si="274"/>
        <v xml:space="preserve"> </v>
      </c>
      <c r="G688" s="100" t="str">
        <f t="shared" si="274"/>
        <v xml:space="preserve"> </v>
      </c>
      <c r="H688" s="100" t="str">
        <f t="shared" si="274"/>
        <v xml:space="preserve"> </v>
      </c>
      <c r="I688" s="177" t="str">
        <f t="shared" si="274"/>
        <v xml:space="preserve"> </v>
      </c>
      <c r="J688" s="178"/>
      <c r="K688" s="182"/>
      <c r="CA688" s="181" t="str">
        <f>IF(AND(CA1488&gt;0,$E$134&gt;12),CA1488," ")</f>
        <v xml:space="preserve"> </v>
      </c>
      <c r="CB688" s="103"/>
      <c r="CC688" s="100"/>
      <c r="CD688" s="100" t="str">
        <f t="shared" si="275"/>
        <v xml:space="preserve"> </v>
      </c>
      <c r="CE688" s="100" t="str">
        <f t="shared" si="275"/>
        <v xml:space="preserve"> </v>
      </c>
      <c r="CF688" s="100" t="str">
        <f t="shared" si="275"/>
        <v xml:space="preserve"> </v>
      </c>
      <c r="CG688" s="100" t="str">
        <f t="shared" si="275"/>
        <v xml:space="preserve"> </v>
      </c>
      <c r="CH688" s="100" t="str">
        <f t="shared" si="275"/>
        <v xml:space="preserve"> </v>
      </c>
      <c r="CI688" s="177" t="str">
        <f t="shared" si="275"/>
        <v xml:space="preserve"> </v>
      </c>
      <c r="CJ688" s="178"/>
      <c r="CK688" s="182"/>
    </row>
    <row r="689" spans="1:89">
      <c r="A689" s="179" t="s">
        <v>5419</v>
      </c>
      <c r="B689" s="102"/>
      <c r="C689" s="175" t="s">
        <v>5018</v>
      </c>
      <c r="D689" s="175" t="s">
        <v>5701</v>
      </c>
      <c r="E689" s="175" t="s">
        <v>5019</v>
      </c>
      <c r="F689" s="175" t="s">
        <v>5020</v>
      </c>
      <c r="G689" s="175" t="s">
        <v>5021</v>
      </c>
      <c r="H689" s="175" t="s">
        <v>5022</v>
      </c>
      <c r="I689" s="221" t="s">
        <v>5316</v>
      </c>
      <c r="J689" s="176"/>
      <c r="K689" s="180"/>
      <c r="CA689" s="179" t="s">
        <v>5419</v>
      </c>
      <c r="CB689" s="102"/>
      <c r="CC689" s="175" t="s">
        <v>5018</v>
      </c>
      <c r="CD689" s="175" t="s">
        <v>5701</v>
      </c>
      <c r="CE689" s="175" t="s">
        <v>5019</v>
      </c>
      <c r="CF689" s="175" t="s">
        <v>5020</v>
      </c>
      <c r="CG689" s="175" t="s">
        <v>5021</v>
      </c>
      <c r="CH689" s="175" t="s">
        <v>5022</v>
      </c>
      <c r="CI689" s="221" t="s">
        <v>5316</v>
      </c>
      <c r="CJ689" s="176"/>
      <c r="CK689" s="180"/>
    </row>
    <row r="690" spans="1:89">
      <c r="A690" s="166" t="str">
        <f>IF(AND(A1490&gt;0,$E$134&gt;13),A1490," ")</f>
        <v xml:space="preserve"> </v>
      </c>
      <c r="B690" s="101"/>
      <c r="C690" s="100"/>
      <c r="D690" s="167" t="str">
        <f t="shared" ref="D690:I694" si="276">IF(AND(D1490&gt;0,$E$134&gt;13),D1490," ")</f>
        <v xml:space="preserve"> </v>
      </c>
      <c r="E690" s="167" t="str">
        <f t="shared" si="276"/>
        <v xml:space="preserve"> </v>
      </c>
      <c r="F690" s="167" t="str">
        <f t="shared" si="276"/>
        <v xml:space="preserve"> </v>
      </c>
      <c r="G690" s="167" t="str">
        <f t="shared" si="276"/>
        <v xml:space="preserve"> </v>
      </c>
      <c r="H690" s="167" t="str">
        <f t="shared" si="276"/>
        <v xml:space="preserve"> </v>
      </c>
      <c r="I690" s="168" t="str">
        <f t="shared" si="276"/>
        <v xml:space="preserve"> </v>
      </c>
      <c r="J690" s="101"/>
      <c r="K690" s="165"/>
      <c r="CA690" s="166" t="str">
        <f>IF(AND(CA1490&gt;0,$E$134&gt;13),CA1490," ")</f>
        <v xml:space="preserve"> </v>
      </c>
      <c r="CB690" s="101"/>
      <c r="CC690" s="100"/>
      <c r="CD690" s="167" t="str">
        <f t="shared" ref="CD690:CI694" si="277">IF(AND(CD1490&gt;0,$E$134&gt;13),CD1490," ")</f>
        <v xml:space="preserve"> </v>
      </c>
      <c r="CE690" s="167" t="str">
        <f t="shared" si="277"/>
        <v xml:space="preserve"> </v>
      </c>
      <c r="CF690" s="167" t="str">
        <f t="shared" si="277"/>
        <v xml:space="preserve"> </v>
      </c>
      <c r="CG690" s="167" t="str">
        <f t="shared" si="277"/>
        <v xml:space="preserve"> </v>
      </c>
      <c r="CH690" s="167" t="str">
        <f t="shared" si="277"/>
        <v xml:space="preserve"> </v>
      </c>
      <c r="CI690" s="168" t="str">
        <f t="shared" si="277"/>
        <v xml:space="preserve"> </v>
      </c>
      <c r="CJ690" s="101"/>
      <c r="CK690" s="165"/>
    </row>
    <row r="691" spans="1:89">
      <c r="A691" s="238" t="str">
        <f>IF(AND(A1491&gt;0,$E$134&gt;13),A1491," ")</f>
        <v xml:space="preserve"> </v>
      </c>
      <c r="B691" s="253"/>
      <c r="C691" s="247"/>
      <c r="D691" s="240" t="str">
        <f t="shared" si="276"/>
        <v xml:space="preserve"> </v>
      </c>
      <c r="E691" s="240" t="str">
        <f t="shared" si="276"/>
        <v xml:space="preserve"> </v>
      </c>
      <c r="F691" s="240" t="str">
        <f t="shared" si="276"/>
        <v xml:space="preserve"> </v>
      </c>
      <c r="G691" s="240" t="str">
        <f t="shared" si="276"/>
        <v xml:space="preserve"> </v>
      </c>
      <c r="H691" s="240" t="str">
        <f t="shared" si="276"/>
        <v xml:space="preserve"> </v>
      </c>
      <c r="I691" s="251" t="str">
        <f t="shared" si="276"/>
        <v xml:space="preserve"> </v>
      </c>
      <c r="J691" s="253"/>
      <c r="K691" s="254"/>
      <c r="CA691" s="238" t="str">
        <f>IF(AND(CA1491&gt;0,$E$134&gt;13),CA1491," ")</f>
        <v xml:space="preserve"> </v>
      </c>
      <c r="CB691" s="253"/>
      <c r="CC691" s="247"/>
      <c r="CD691" s="240" t="str">
        <f t="shared" si="277"/>
        <v xml:space="preserve"> </v>
      </c>
      <c r="CE691" s="240" t="str">
        <f t="shared" si="277"/>
        <v xml:space="preserve"> </v>
      </c>
      <c r="CF691" s="240" t="str">
        <f t="shared" si="277"/>
        <v xml:space="preserve"> </v>
      </c>
      <c r="CG691" s="240" t="str">
        <f t="shared" si="277"/>
        <v xml:space="preserve"> </v>
      </c>
      <c r="CH691" s="240" t="str">
        <f t="shared" si="277"/>
        <v xml:space="preserve"> </v>
      </c>
      <c r="CI691" s="251" t="str">
        <f t="shared" si="277"/>
        <v xml:space="preserve"> </v>
      </c>
      <c r="CJ691" s="253"/>
      <c r="CK691" s="254"/>
    </row>
    <row r="692" spans="1:89">
      <c r="A692" s="166" t="str">
        <f>IF(AND(A1492&gt;0,$E$134&gt;13),A1492," ")</f>
        <v xml:space="preserve"> </v>
      </c>
      <c r="B692" s="101"/>
      <c r="C692" s="100"/>
      <c r="D692" s="167" t="str">
        <f t="shared" si="276"/>
        <v xml:space="preserve"> </v>
      </c>
      <c r="E692" s="167" t="str">
        <f t="shared" si="276"/>
        <v xml:space="preserve"> </v>
      </c>
      <c r="F692" s="167" t="str">
        <f t="shared" si="276"/>
        <v xml:space="preserve"> </v>
      </c>
      <c r="G692" s="167" t="str">
        <f t="shared" si="276"/>
        <v xml:space="preserve"> </v>
      </c>
      <c r="H692" s="167" t="str">
        <f t="shared" si="276"/>
        <v xml:space="preserve"> </v>
      </c>
      <c r="I692" s="168" t="str">
        <f t="shared" si="276"/>
        <v xml:space="preserve"> </v>
      </c>
      <c r="J692" s="101"/>
      <c r="K692" s="165"/>
      <c r="CA692" s="166" t="str">
        <f>IF(AND(CA1492&gt;0,$E$134&gt;13),CA1492," ")</f>
        <v xml:space="preserve"> </v>
      </c>
      <c r="CB692" s="101"/>
      <c r="CC692" s="100"/>
      <c r="CD692" s="167" t="str">
        <f t="shared" si="277"/>
        <v xml:space="preserve"> </v>
      </c>
      <c r="CE692" s="167" t="str">
        <f t="shared" si="277"/>
        <v xml:space="preserve"> </v>
      </c>
      <c r="CF692" s="167" t="str">
        <f t="shared" si="277"/>
        <v xml:space="preserve"> </v>
      </c>
      <c r="CG692" s="167" t="str">
        <f t="shared" si="277"/>
        <v xml:space="preserve"> </v>
      </c>
      <c r="CH692" s="167" t="str">
        <f t="shared" si="277"/>
        <v xml:space="preserve"> </v>
      </c>
      <c r="CI692" s="168" t="str">
        <f t="shared" si="277"/>
        <v xml:space="preserve"> </v>
      </c>
      <c r="CJ692" s="101"/>
      <c r="CK692" s="165"/>
    </row>
    <row r="693" spans="1:89">
      <c r="A693" s="238" t="str">
        <f>IF(AND(A1493&gt;0,$E$134&gt;13),A1493," ")</f>
        <v xml:space="preserve"> </v>
      </c>
      <c r="B693" s="253"/>
      <c r="C693" s="247"/>
      <c r="D693" s="240" t="str">
        <f t="shared" si="276"/>
        <v xml:space="preserve"> </v>
      </c>
      <c r="E693" s="240" t="str">
        <f t="shared" si="276"/>
        <v xml:space="preserve"> </v>
      </c>
      <c r="F693" s="240" t="str">
        <f t="shared" si="276"/>
        <v xml:space="preserve"> </v>
      </c>
      <c r="G693" s="240" t="str">
        <f t="shared" si="276"/>
        <v xml:space="preserve"> </v>
      </c>
      <c r="H693" s="240" t="str">
        <f t="shared" si="276"/>
        <v xml:space="preserve"> </v>
      </c>
      <c r="I693" s="251" t="str">
        <f t="shared" si="276"/>
        <v xml:space="preserve"> </v>
      </c>
      <c r="J693" s="253"/>
      <c r="K693" s="254"/>
      <c r="CA693" s="238" t="str">
        <f>IF(AND(CA1493&gt;0,$E$134&gt;13),CA1493," ")</f>
        <v xml:space="preserve"> </v>
      </c>
      <c r="CB693" s="253"/>
      <c r="CC693" s="247"/>
      <c r="CD693" s="240" t="str">
        <f t="shared" si="277"/>
        <v xml:space="preserve"> </v>
      </c>
      <c r="CE693" s="240" t="str">
        <f t="shared" si="277"/>
        <v xml:space="preserve"> </v>
      </c>
      <c r="CF693" s="240" t="str">
        <f t="shared" si="277"/>
        <v xml:space="preserve"> </v>
      </c>
      <c r="CG693" s="240" t="str">
        <f t="shared" si="277"/>
        <v xml:space="preserve"> </v>
      </c>
      <c r="CH693" s="240" t="str">
        <f t="shared" si="277"/>
        <v xml:space="preserve"> </v>
      </c>
      <c r="CI693" s="251" t="str">
        <f t="shared" si="277"/>
        <v xml:space="preserve"> </v>
      </c>
      <c r="CJ693" s="253"/>
      <c r="CK693" s="254"/>
    </row>
    <row r="694" spans="1:89">
      <c r="A694" s="181" t="str">
        <f>IF(AND(A1494&gt;0,$E$134&gt;13),A1494," ")</f>
        <v xml:space="preserve"> </v>
      </c>
      <c r="B694" s="103"/>
      <c r="C694" s="100"/>
      <c r="D694" s="100" t="str">
        <f t="shared" si="276"/>
        <v xml:space="preserve"> </v>
      </c>
      <c r="E694" s="100" t="str">
        <f t="shared" si="276"/>
        <v xml:space="preserve"> </v>
      </c>
      <c r="F694" s="100" t="str">
        <f t="shared" si="276"/>
        <v xml:space="preserve"> </v>
      </c>
      <c r="G694" s="100" t="str">
        <f t="shared" si="276"/>
        <v xml:space="preserve"> </v>
      </c>
      <c r="H694" s="100" t="str">
        <f t="shared" si="276"/>
        <v xml:space="preserve"> </v>
      </c>
      <c r="I694" s="177" t="str">
        <f t="shared" si="276"/>
        <v xml:space="preserve"> </v>
      </c>
      <c r="J694" s="178"/>
      <c r="K694" s="182"/>
      <c r="CA694" s="181" t="str">
        <f>IF(AND(CA1494&gt;0,$E$134&gt;13),CA1494," ")</f>
        <v xml:space="preserve"> </v>
      </c>
      <c r="CB694" s="103"/>
      <c r="CC694" s="100"/>
      <c r="CD694" s="100" t="str">
        <f t="shared" si="277"/>
        <v xml:space="preserve"> </v>
      </c>
      <c r="CE694" s="100" t="str">
        <f t="shared" si="277"/>
        <v xml:space="preserve"> </v>
      </c>
      <c r="CF694" s="100" t="str">
        <f t="shared" si="277"/>
        <v xml:space="preserve"> </v>
      </c>
      <c r="CG694" s="100" t="str">
        <f t="shared" si="277"/>
        <v xml:space="preserve"> </v>
      </c>
      <c r="CH694" s="100" t="str">
        <f t="shared" si="277"/>
        <v xml:space="preserve"> </v>
      </c>
      <c r="CI694" s="177" t="str">
        <f t="shared" si="277"/>
        <v xml:space="preserve"> </v>
      </c>
      <c r="CJ694" s="178"/>
      <c r="CK694" s="182"/>
    </row>
    <row r="695" spans="1:89">
      <c r="A695" s="179" t="s">
        <v>5420</v>
      </c>
      <c r="B695" s="102"/>
      <c r="C695" s="175" t="s">
        <v>5018</v>
      </c>
      <c r="D695" s="175" t="s">
        <v>5701</v>
      </c>
      <c r="E695" s="175" t="s">
        <v>5019</v>
      </c>
      <c r="F695" s="175" t="s">
        <v>5020</v>
      </c>
      <c r="G695" s="175" t="s">
        <v>5021</v>
      </c>
      <c r="H695" s="175" t="s">
        <v>5022</v>
      </c>
      <c r="I695" s="221" t="s">
        <v>5316</v>
      </c>
      <c r="J695" s="176"/>
      <c r="K695" s="180"/>
      <c r="CA695" s="179" t="s">
        <v>5420</v>
      </c>
      <c r="CB695" s="102"/>
      <c r="CC695" s="175" t="s">
        <v>5018</v>
      </c>
      <c r="CD695" s="175" t="s">
        <v>5701</v>
      </c>
      <c r="CE695" s="175" t="s">
        <v>5019</v>
      </c>
      <c r="CF695" s="175" t="s">
        <v>5020</v>
      </c>
      <c r="CG695" s="175" t="s">
        <v>5021</v>
      </c>
      <c r="CH695" s="175" t="s">
        <v>5022</v>
      </c>
      <c r="CI695" s="221" t="s">
        <v>5316</v>
      </c>
      <c r="CJ695" s="176"/>
      <c r="CK695" s="180"/>
    </row>
    <row r="696" spans="1:89">
      <c r="A696" s="166" t="str">
        <f>IF(AND(A1496&gt;0,$E$134&gt;14),A1496," ")</f>
        <v xml:space="preserve"> </v>
      </c>
      <c r="B696" s="101"/>
      <c r="C696" s="100"/>
      <c r="D696" s="167" t="str">
        <f t="shared" ref="D696:I700" si="278">IF(AND(D1496&gt;0,$E$134&gt;14),D1496," ")</f>
        <v xml:space="preserve"> </v>
      </c>
      <c r="E696" s="167" t="str">
        <f t="shared" si="278"/>
        <v xml:space="preserve"> </v>
      </c>
      <c r="F696" s="167" t="str">
        <f t="shared" si="278"/>
        <v xml:space="preserve"> </v>
      </c>
      <c r="G696" s="167" t="str">
        <f t="shared" si="278"/>
        <v xml:space="preserve"> </v>
      </c>
      <c r="H696" s="167" t="str">
        <f t="shared" si="278"/>
        <v xml:space="preserve"> </v>
      </c>
      <c r="I696" s="168" t="str">
        <f t="shared" si="278"/>
        <v xml:space="preserve"> </v>
      </c>
      <c r="J696" s="101"/>
      <c r="K696" s="165"/>
      <c r="CA696" s="166" t="str">
        <f>IF(AND(CA1496&gt;0,$E$134&gt;14),CA1496," ")</f>
        <v xml:space="preserve"> </v>
      </c>
      <c r="CB696" s="101"/>
      <c r="CC696" s="100"/>
      <c r="CD696" s="167" t="str">
        <f t="shared" ref="CD696:CI700" si="279">IF(AND(CD1496&gt;0,$E$134&gt;14),CD1496," ")</f>
        <v xml:space="preserve"> </v>
      </c>
      <c r="CE696" s="167" t="str">
        <f t="shared" si="279"/>
        <v xml:space="preserve"> </v>
      </c>
      <c r="CF696" s="167" t="str">
        <f t="shared" si="279"/>
        <v xml:space="preserve"> </v>
      </c>
      <c r="CG696" s="167" t="str">
        <f t="shared" si="279"/>
        <v xml:space="preserve"> </v>
      </c>
      <c r="CH696" s="167" t="str">
        <f t="shared" si="279"/>
        <v xml:space="preserve"> </v>
      </c>
      <c r="CI696" s="168" t="str">
        <f t="shared" si="279"/>
        <v xml:space="preserve"> </v>
      </c>
      <c r="CJ696" s="101"/>
      <c r="CK696" s="165"/>
    </row>
    <row r="697" spans="1:89">
      <c r="A697" s="238" t="str">
        <f>IF(AND(A1497&gt;0,$E$134&gt;14),A1497," ")</f>
        <v xml:space="preserve"> </v>
      </c>
      <c r="B697" s="253"/>
      <c r="C697" s="247"/>
      <c r="D697" s="240" t="str">
        <f t="shared" si="278"/>
        <v xml:space="preserve"> </v>
      </c>
      <c r="E697" s="240" t="str">
        <f t="shared" si="278"/>
        <v xml:space="preserve"> </v>
      </c>
      <c r="F697" s="240" t="str">
        <f t="shared" si="278"/>
        <v xml:space="preserve"> </v>
      </c>
      <c r="G697" s="240" t="str">
        <f t="shared" si="278"/>
        <v xml:space="preserve"> </v>
      </c>
      <c r="H697" s="240" t="str">
        <f t="shared" si="278"/>
        <v xml:space="preserve"> </v>
      </c>
      <c r="I697" s="251" t="str">
        <f t="shared" si="278"/>
        <v xml:space="preserve"> </v>
      </c>
      <c r="J697" s="253"/>
      <c r="K697" s="254"/>
      <c r="CA697" s="238" t="str">
        <f>IF(AND(CA1497&gt;0,$E$134&gt;14),CA1497," ")</f>
        <v xml:space="preserve"> </v>
      </c>
      <c r="CB697" s="253"/>
      <c r="CC697" s="247"/>
      <c r="CD697" s="240" t="str">
        <f t="shared" si="279"/>
        <v xml:space="preserve"> </v>
      </c>
      <c r="CE697" s="240" t="str">
        <f t="shared" si="279"/>
        <v xml:space="preserve"> </v>
      </c>
      <c r="CF697" s="240" t="str">
        <f t="shared" si="279"/>
        <v xml:space="preserve"> </v>
      </c>
      <c r="CG697" s="240" t="str">
        <f t="shared" si="279"/>
        <v xml:space="preserve"> </v>
      </c>
      <c r="CH697" s="240" t="str">
        <f t="shared" si="279"/>
        <v xml:space="preserve"> </v>
      </c>
      <c r="CI697" s="251" t="str">
        <f t="shared" si="279"/>
        <v xml:space="preserve"> </v>
      </c>
      <c r="CJ697" s="253"/>
      <c r="CK697" s="254"/>
    </row>
    <row r="698" spans="1:89">
      <c r="A698" s="166" t="str">
        <f>IF(AND(A1498&gt;0,$E$134&gt;14),A1498," ")</f>
        <v xml:space="preserve"> </v>
      </c>
      <c r="B698" s="101"/>
      <c r="C698" s="100"/>
      <c r="D698" s="167" t="str">
        <f t="shared" si="278"/>
        <v xml:space="preserve"> </v>
      </c>
      <c r="E698" s="167" t="str">
        <f t="shared" si="278"/>
        <v xml:space="preserve"> </v>
      </c>
      <c r="F698" s="167" t="str">
        <f t="shared" si="278"/>
        <v xml:space="preserve"> </v>
      </c>
      <c r="G698" s="167" t="str">
        <f t="shared" si="278"/>
        <v xml:space="preserve"> </v>
      </c>
      <c r="H698" s="167" t="str">
        <f t="shared" si="278"/>
        <v xml:space="preserve"> </v>
      </c>
      <c r="I698" s="168" t="str">
        <f t="shared" si="278"/>
        <v xml:space="preserve"> </v>
      </c>
      <c r="J698" s="101"/>
      <c r="K698" s="165"/>
      <c r="CA698" s="166" t="str">
        <f>IF(AND(CA1498&gt;0,$E$134&gt;14),CA1498," ")</f>
        <v xml:space="preserve"> </v>
      </c>
      <c r="CB698" s="101"/>
      <c r="CC698" s="100"/>
      <c r="CD698" s="167" t="str">
        <f t="shared" si="279"/>
        <v xml:space="preserve"> </v>
      </c>
      <c r="CE698" s="167" t="str">
        <f t="shared" si="279"/>
        <v xml:space="preserve"> </v>
      </c>
      <c r="CF698" s="167" t="str">
        <f t="shared" si="279"/>
        <v xml:space="preserve"> </v>
      </c>
      <c r="CG698" s="167" t="str">
        <f t="shared" si="279"/>
        <v xml:space="preserve"> </v>
      </c>
      <c r="CH698" s="167" t="str">
        <f t="shared" si="279"/>
        <v xml:space="preserve"> </v>
      </c>
      <c r="CI698" s="168" t="str">
        <f t="shared" si="279"/>
        <v xml:space="preserve"> </v>
      </c>
      <c r="CJ698" s="101"/>
      <c r="CK698" s="165"/>
    </row>
    <row r="699" spans="1:89">
      <c r="A699" s="238" t="str">
        <f>IF(AND(A1499&gt;0,$E$134&gt;14),A1499," ")</f>
        <v xml:space="preserve"> </v>
      </c>
      <c r="B699" s="253"/>
      <c r="C699" s="247"/>
      <c r="D699" s="240" t="str">
        <f t="shared" si="278"/>
        <v xml:space="preserve"> </v>
      </c>
      <c r="E699" s="240" t="str">
        <f t="shared" si="278"/>
        <v xml:space="preserve"> </v>
      </c>
      <c r="F699" s="240" t="str">
        <f t="shared" si="278"/>
        <v xml:space="preserve"> </v>
      </c>
      <c r="G699" s="240" t="str">
        <f t="shared" si="278"/>
        <v xml:space="preserve"> </v>
      </c>
      <c r="H699" s="240" t="str">
        <f t="shared" si="278"/>
        <v xml:space="preserve"> </v>
      </c>
      <c r="I699" s="251" t="str">
        <f t="shared" si="278"/>
        <v xml:space="preserve"> </v>
      </c>
      <c r="J699" s="253"/>
      <c r="K699" s="254"/>
      <c r="CA699" s="238" t="str">
        <f>IF(AND(CA1499&gt;0,$E$134&gt;14),CA1499," ")</f>
        <v xml:space="preserve"> </v>
      </c>
      <c r="CB699" s="253"/>
      <c r="CC699" s="247"/>
      <c r="CD699" s="240" t="str">
        <f t="shared" si="279"/>
        <v xml:space="preserve"> </v>
      </c>
      <c r="CE699" s="240" t="str">
        <f t="shared" si="279"/>
        <v xml:space="preserve"> </v>
      </c>
      <c r="CF699" s="240" t="str">
        <f t="shared" si="279"/>
        <v xml:space="preserve"> </v>
      </c>
      <c r="CG699" s="240" t="str">
        <f t="shared" si="279"/>
        <v xml:space="preserve"> </v>
      </c>
      <c r="CH699" s="240" t="str">
        <f t="shared" si="279"/>
        <v xml:space="preserve"> </v>
      </c>
      <c r="CI699" s="251" t="str">
        <f t="shared" si="279"/>
        <v xml:space="preserve"> </v>
      </c>
      <c r="CJ699" s="253"/>
      <c r="CK699" s="254"/>
    </row>
    <row r="700" spans="1:89" ht="14" thickBot="1">
      <c r="A700" s="170" t="str">
        <f>IF(AND(A1500&gt;0,$E$134&gt;14),A1500," ")</f>
        <v xml:space="preserve"> </v>
      </c>
      <c r="B700" s="171"/>
      <c r="C700" s="172"/>
      <c r="D700" s="172" t="str">
        <f t="shared" si="278"/>
        <v xml:space="preserve"> </v>
      </c>
      <c r="E700" s="172" t="str">
        <f t="shared" si="278"/>
        <v xml:space="preserve"> </v>
      </c>
      <c r="F700" s="172" t="str">
        <f t="shared" si="278"/>
        <v xml:space="preserve"> </v>
      </c>
      <c r="G700" s="172" t="str">
        <f t="shared" si="278"/>
        <v xml:space="preserve"> </v>
      </c>
      <c r="H700" s="172" t="str">
        <f t="shared" si="278"/>
        <v xml:space="preserve"> </v>
      </c>
      <c r="I700" s="173" t="str">
        <f t="shared" si="278"/>
        <v xml:space="preserve"> </v>
      </c>
      <c r="J700" s="171"/>
      <c r="K700" s="174"/>
      <c r="Z700" s="53"/>
      <c r="AA700" s="1"/>
      <c r="CA700" s="181" t="str">
        <f>IF(AND(CA1500&gt;0,$E$134&gt;14),CA1500," ")</f>
        <v xml:space="preserve"> </v>
      </c>
      <c r="CB700" s="103"/>
      <c r="CC700" s="100"/>
      <c r="CD700" s="100" t="str">
        <f t="shared" si="279"/>
        <v xml:space="preserve"> </v>
      </c>
      <c r="CE700" s="100" t="str">
        <f t="shared" si="279"/>
        <v xml:space="preserve"> </v>
      </c>
      <c r="CF700" s="100" t="str">
        <f t="shared" si="279"/>
        <v xml:space="preserve"> </v>
      </c>
      <c r="CG700" s="100" t="str">
        <f t="shared" si="279"/>
        <v xml:space="preserve"> </v>
      </c>
      <c r="CH700" s="100" t="str">
        <f t="shared" si="279"/>
        <v xml:space="preserve"> </v>
      </c>
      <c r="CI700" s="177" t="str">
        <f t="shared" si="279"/>
        <v xml:space="preserve"> </v>
      </c>
      <c r="CJ700" s="103"/>
      <c r="CK700" s="182"/>
    </row>
    <row r="701" spans="1:89">
      <c r="A701" s="152" t="s">
        <v>5422</v>
      </c>
      <c r="B701" s="121"/>
      <c r="C701" s="121"/>
      <c r="D701" s="121"/>
      <c r="E701" s="121"/>
      <c r="F701" s="121"/>
      <c r="G701" s="121"/>
      <c r="H701" s="121"/>
      <c r="I701" s="121"/>
      <c r="J701" s="121"/>
      <c r="K701" s="162"/>
      <c r="Z701" s="54"/>
      <c r="CA701" s="152" t="s">
        <v>5422</v>
      </c>
      <c r="CB701" s="121"/>
      <c r="CC701" s="121"/>
      <c r="CD701" s="121"/>
      <c r="CE701" s="121"/>
      <c r="CF701" s="121"/>
      <c r="CG701" s="121"/>
      <c r="CH701" s="121"/>
      <c r="CI701" s="121"/>
      <c r="CJ701" s="121"/>
      <c r="CK701" s="162"/>
    </row>
    <row r="702" spans="1:89">
      <c r="A702" s="126"/>
      <c r="B702" s="21"/>
      <c r="C702" s="21"/>
      <c r="D702" s="21"/>
      <c r="E702" s="21"/>
      <c r="F702" s="21"/>
      <c r="G702" s="21"/>
      <c r="H702" s="21"/>
      <c r="I702" s="21"/>
      <c r="J702" s="21"/>
      <c r="K702" s="135"/>
      <c r="Z702" s="54"/>
      <c r="CA702" s="126"/>
      <c r="CB702" s="21"/>
      <c r="CC702" s="21"/>
      <c r="CD702" s="21"/>
      <c r="CE702" s="21"/>
      <c r="CF702" s="21"/>
      <c r="CG702" s="21"/>
      <c r="CH702" s="21"/>
      <c r="CI702" s="21"/>
      <c r="CJ702" s="21"/>
      <c r="CK702" s="135"/>
    </row>
    <row r="703" spans="1:89">
      <c r="A703" s="129" t="s">
        <v>5222</v>
      </c>
      <c r="B703" s="21"/>
      <c r="C703" s="21"/>
      <c r="D703" s="21"/>
      <c r="E703" s="21"/>
      <c r="F703" s="21"/>
      <c r="G703" s="21"/>
      <c r="H703" s="21"/>
      <c r="I703" s="21"/>
      <c r="J703" s="21"/>
      <c r="K703" s="135"/>
      <c r="Z703" s="54"/>
      <c r="CA703" s="129" t="s">
        <v>5222</v>
      </c>
      <c r="CB703" s="21"/>
      <c r="CC703" s="21"/>
      <c r="CD703" s="21"/>
      <c r="CE703" s="21"/>
      <c r="CF703" s="21"/>
      <c r="CG703" s="21"/>
      <c r="CH703" s="21"/>
      <c r="CI703" s="21"/>
      <c r="CJ703" s="21"/>
      <c r="CK703" s="135"/>
    </row>
    <row r="704" spans="1:89">
      <c r="A704" s="126"/>
      <c r="B704" s="21"/>
      <c r="C704" s="21"/>
      <c r="D704" s="21"/>
      <c r="E704" s="21"/>
      <c r="F704" s="21"/>
      <c r="G704" s="21"/>
      <c r="H704" s="21"/>
      <c r="I704" s="21"/>
      <c r="J704" s="21"/>
      <c r="K704" s="135"/>
      <c r="Z704" s="54"/>
      <c r="CA704" s="126"/>
      <c r="CB704" s="21"/>
      <c r="CC704" s="21"/>
      <c r="CD704" s="21"/>
      <c r="CE704" s="21"/>
      <c r="CF704" s="21"/>
      <c r="CG704" s="21"/>
      <c r="CH704" s="21"/>
      <c r="CI704" s="21"/>
      <c r="CJ704" s="21"/>
      <c r="CK704" s="135"/>
    </row>
    <row r="705" spans="1:89">
      <c r="A705" s="141"/>
      <c r="B705" s="29"/>
      <c r="C705" s="29"/>
      <c r="D705" s="29"/>
      <c r="E705" s="29"/>
      <c r="F705" s="29"/>
      <c r="G705" s="29"/>
      <c r="H705" s="29"/>
      <c r="I705" s="29"/>
      <c r="J705" s="29"/>
      <c r="K705" s="155"/>
      <c r="Z705" s="54"/>
      <c r="CA705" s="141"/>
      <c r="CB705" s="29"/>
      <c r="CC705" s="29"/>
      <c r="CD705" s="29"/>
      <c r="CE705" s="29"/>
      <c r="CF705" s="29"/>
      <c r="CG705" s="29"/>
      <c r="CH705" s="29"/>
      <c r="CI705" s="29"/>
      <c r="CJ705" s="29"/>
      <c r="CK705" s="155"/>
    </row>
    <row r="706" spans="1:89">
      <c r="A706" s="179" t="s">
        <v>5199</v>
      </c>
      <c r="B706" s="102"/>
      <c r="C706" s="175" t="s">
        <v>5018</v>
      </c>
      <c r="D706" s="175" t="s">
        <v>5701</v>
      </c>
      <c r="E706" s="175" t="s">
        <v>5019</v>
      </c>
      <c r="F706" s="175" t="s">
        <v>5020</v>
      </c>
      <c r="G706" s="175" t="s">
        <v>5021</v>
      </c>
      <c r="H706" s="175" t="s">
        <v>5022</v>
      </c>
      <c r="I706" s="221" t="s">
        <v>5316</v>
      </c>
      <c r="J706" s="176"/>
      <c r="K706" s="180"/>
      <c r="Z706" s="54"/>
      <c r="CA706" s="179" t="s">
        <v>5199</v>
      </c>
      <c r="CB706" s="102"/>
      <c r="CC706" s="175" t="s">
        <v>5018</v>
      </c>
      <c r="CD706" s="175" t="s">
        <v>5701</v>
      </c>
      <c r="CE706" s="175" t="s">
        <v>5019</v>
      </c>
      <c r="CF706" s="175" t="s">
        <v>5020</v>
      </c>
      <c r="CG706" s="175" t="s">
        <v>5021</v>
      </c>
      <c r="CH706" s="175" t="s">
        <v>5022</v>
      </c>
      <c r="CI706" s="221" t="s">
        <v>5316</v>
      </c>
      <c r="CJ706" s="176"/>
      <c r="CK706" s="180"/>
    </row>
    <row r="707" spans="1:89">
      <c r="A707" s="166" t="str">
        <f t="shared" ref="A707:A724" si="280">IF(AND(A1507&gt;0,$E$134&gt;0),A1507," ")</f>
        <v xml:space="preserve"> </v>
      </c>
      <c r="B707" s="101"/>
      <c r="C707" s="100"/>
      <c r="D707" s="167" t="str">
        <f t="shared" ref="D707:I722" si="281">IF(AND(D1507&gt;0,$E$134&gt;0),D1507," ")</f>
        <v xml:space="preserve"> </v>
      </c>
      <c r="E707" s="167" t="str">
        <f t="shared" si="281"/>
        <v xml:space="preserve"> </v>
      </c>
      <c r="F707" s="167" t="str">
        <f t="shared" si="281"/>
        <v xml:space="preserve"> </v>
      </c>
      <c r="G707" s="167" t="str">
        <f t="shared" si="281"/>
        <v xml:space="preserve"> </v>
      </c>
      <c r="H707" s="167" t="str">
        <f t="shared" si="281"/>
        <v xml:space="preserve"> </v>
      </c>
      <c r="I707" s="168" t="str">
        <f t="shared" si="281"/>
        <v xml:space="preserve"> </v>
      </c>
      <c r="J707" s="167"/>
      <c r="K707" s="165"/>
      <c r="Z707" s="54"/>
      <c r="CA707" s="166" t="str">
        <f t="shared" ref="CA707:CA724" si="282">IF(AND(CA1507&gt;0,$E$134&gt;0),CA1507," ")</f>
        <v xml:space="preserve"> </v>
      </c>
      <c r="CB707" s="101"/>
      <c r="CC707" s="100"/>
      <c r="CD707" s="167" t="str">
        <f t="shared" ref="CD707:CI722" si="283">IF(AND(CD1507&gt;0,$E$134&gt;0),CD1507," ")</f>
        <v xml:space="preserve"> </v>
      </c>
      <c r="CE707" s="167" t="str">
        <f t="shared" si="283"/>
        <v xml:space="preserve"> </v>
      </c>
      <c r="CF707" s="167" t="str">
        <f t="shared" si="283"/>
        <v xml:space="preserve"> </v>
      </c>
      <c r="CG707" s="167" t="str">
        <f t="shared" si="283"/>
        <v xml:space="preserve"> </v>
      </c>
      <c r="CH707" s="167" t="str">
        <f t="shared" si="283"/>
        <v xml:space="preserve"> </v>
      </c>
      <c r="CI707" s="168" t="str">
        <f t="shared" si="283"/>
        <v xml:space="preserve"> </v>
      </c>
      <c r="CJ707" s="167"/>
      <c r="CK707" s="165"/>
    </row>
    <row r="708" spans="1:89">
      <c r="A708" s="238" t="str">
        <f t="shared" si="280"/>
        <v xml:space="preserve"> </v>
      </c>
      <c r="B708" s="253"/>
      <c r="C708" s="247"/>
      <c r="D708" s="240" t="str">
        <f t="shared" si="281"/>
        <v xml:space="preserve"> </v>
      </c>
      <c r="E708" s="240" t="str">
        <f t="shared" si="281"/>
        <v xml:space="preserve"> </v>
      </c>
      <c r="F708" s="240" t="str">
        <f t="shared" si="281"/>
        <v xml:space="preserve"> </v>
      </c>
      <c r="G708" s="240" t="str">
        <f t="shared" si="281"/>
        <v xml:space="preserve"> </v>
      </c>
      <c r="H708" s="240" t="str">
        <f t="shared" si="281"/>
        <v xml:space="preserve"> </v>
      </c>
      <c r="I708" s="251" t="str">
        <f t="shared" si="281"/>
        <v xml:space="preserve"> </v>
      </c>
      <c r="J708" s="240"/>
      <c r="K708" s="254"/>
      <c r="Z708" s="54"/>
      <c r="CA708" s="238" t="str">
        <f t="shared" si="282"/>
        <v xml:space="preserve"> </v>
      </c>
      <c r="CB708" s="253"/>
      <c r="CC708" s="247"/>
      <c r="CD708" s="240" t="str">
        <f t="shared" si="283"/>
        <v xml:space="preserve"> </v>
      </c>
      <c r="CE708" s="240" t="str">
        <f t="shared" si="283"/>
        <v xml:space="preserve"> </v>
      </c>
      <c r="CF708" s="240" t="str">
        <f t="shared" si="283"/>
        <v xml:space="preserve"> </v>
      </c>
      <c r="CG708" s="240" t="str">
        <f t="shared" si="283"/>
        <v xml:space="preserve"> </v>
      </c>
      <c r="CH708" s="240" t="str">
        <f t="shared" si="283"/>
        <v xml:space="preserve"> </v>
      </c>
      <c r="CI708" s="251" t="str">
        <f t="shared" si="283"/>
        <v xml:space="preserve"> </v>
      </c>
      <c r="CJ708" s="240"/>
      <c r="CK708" s="254"/>
    </row>
    <row r="709" spans="1:89">
      <c r="A709" s="166" t="str">
        <f t="shared" si="280"/>
        <v xml:space="preserve"> </v>
      </c>
      <c r="B709" s="101"/>
      <c r="C709" s="100"/>
      <c r="D709" s="167" t="str">
        <f t="shared" si="281"/>
        <v xml:space="preserve"> </v>
      </c>
      <c r="E709" s="167" t="str">
        <f t="shared" si="281"/>
        <v xml:space="preserve"> </v>
      </c>
      <c r="F709" s="167" t="str">
        <f t="shared" si="281"/>
        <v xml:space="preserve"> </v>
      </c>
      <c r="G709" s="167" t="str">
        <f t="shared" si="281"/>
        <v xml:space="preserve"> </v>
      </c>
      <c r="H709" s="167" t="str">
        <f t="shared" si="281"/>
        <v xml:space="preserve"> </v>
      </c>
      <c r="I709" s="168" t="str">
        <f t="shared" si="281"/>
        <v xml:space="preserve"> </v>
      </c>
      <c r="J709" s="167"/>
      <c r="K709" s="165"/>
      <c r="Z709" s="54"/>
      <c r="CA709" s="166" t="str">
        <f t="shared" si="282"/>
        <v xml:space="preserve"> </v>
      </c>
      <c r="CB709" s="101"/>
      <c r="CC709" s="100"/>
      <c r="CD709" s="167" t="str">
        <f t="shared" si="283"/>
        <v xml:space="preserve"> </v>
      </c>
      <c r="CE709" s="167" t="str">
        <f t="shared" si="283"/>
        <v xml:space="preserve"> </v>
      </c>
      <c r="CF709" s="167" t="str">
        <f t="shared" si="283"/>
        <v xml:space="preserve"> </v>
      </c>
      <c r="CG709" s="167" t="str">
        <f t="shared" si="283"/>
        <v xml:space="preserve"> </v>
      </c>
      <c r="CH709" s="167" t="str">
        <f t="shared" si="283"/>
        <v xml:space="preserve"> </v>
      </c>
      <c r="CI709" s="168" t="str">
        <f t="shared" si="283"/>
        <v xml:space="preserve"> </v>
      </c>
      <c r="CJ709" s="167"/>
      <c r="CK709" s="165"/>
    </row>
    <row r="710" spans="1:89">
      <c r="A710" s="238" t="str">
        <f t="shared" si="280"/>
        <v xml:space="preserve"> </v>
      </c>
      <c r="B710" s="253"/>
      <c r="C710" s="247"/>
      <c r="D710" s="240" t="str">
        <f t="shared" si="281"/>
        <v xml:space="preserve"> </v>
      </c>
      <c r="E710" s="240" t="str">
        <f t="shared" si="281"/>
        <v xml:space="preserve"> </v>
      </c>
      <c r="F710" s="240" t="str">
        <f t="shared" si="281"/>
        <v xml:space="preserve"> </v>
      </c>
      <c r="G710" s="240" t="str">
        <f t="shared" si="281"/>
        <v xml:space="preserve"> </v>
      </c>
      <c r="H710" s="240" t="str">
        <f t="shared" si="281"/>
        <v xml:space="preserve"> </v>
      </c>
      <c r="I710" s="251" t="str">
        <f t="shared" si="281"/>
        <v xml:space="preserve"> </v>
      </c>
      <c r="J710" s="240"/>
      <c r="K710" s="254"/>
      <c r="Z710" s="54"/>
      <c r="CA710" s="238" t="str">
        <f t="shared" si="282"/>
        <v xml:space="preserve"> </v>
      </c>
      <c r="CB710" s="253"/>
      <c r="CC710" s="247"/>
      <c r="CD710" s="240" t="str">
        <f t="shared" si="283"/>
        <v xml:space="preserve"> </v>
      </c>
      <c r="CE710" s="240" t="str">
        <f t="shared" si="283"/>
        <v xml:space="preserve"> </v>
      </c>
      <c r="CF710" s="240" t="str">
        <f t="shared" si="283"/>
        <v xml:space="preserve"> </v>
      </c>
      <c r="CG710" s="240" t="str">
        <f t="shared" si="283"/>
        <v xml:space="preserve"> </v>
      </c>
      <c r="CH710" s="240" t="str">
        <f t="shared" si="283"/>
        <v xml:space="preserve"> </v>
      </c>
      <c r="CI710" s="251" t="str">
        <f t="shared" si="283"/>
        <v xml:space="preserve"> </v>
      </c>
      <c r="CJ710" s="240"/>
      <c r="CK710" s="254"/>
    </row>
    <row r="711" spans="1:89">
      <c r="A711" s="166" t="str">
        <f t="shared" si="280"/>
        <v xml:space="preserve"> </v>
      </c>
      <c r="B711" s="101"/>
      <c r="C711" s="100"/>
      <c r="D711" s="167" t="str">
        <f t="shared" si="281"/>
        <v xml:space="preserve"> </v>
      </c>
      <c r="E711" s="167" t="str">
        <f t="shared" si="281"/>
        <v xml:space="preserve"> </v>
      </c>
      <c r="F711" s="167" t="str">
        <f t="shared" si="281"/>
        <v xml:space="preserve"> </v>
      </c>
      <c r="G711" s="167" t="str">
        <f t="shared" si="281"/>
        <v xml:space="preserve"> </v>
      </c>
      <c r="H711" s="167" t="str">
        <f t="shared" si="281"/>
        <v xml:space="preserve"> </v>
      </c>
      <c r="I711" s="168" t="str">
        <f t="shared" si="281"/>
        <v xml:space="preserve"> </v>
      </c>
      <c r="J711" s="167"/>
      <c r="K711" s="165"/>
      <c r="Z711" s="54"/>
      <c r="CA711" s="166" t="str">
        <f t="shared" si="282"/>
        <v xml:space="preserve"> </v>
      </c>
      <c r="CB711" s="101"/>
      <c r="CC711" s="100"/>
      <c r="CD711" s="167" t="str">
        <f t="shared" si="283"/>
        <v xml:space="preserve"> </v>
      </c>
      <c r="CE711" s="167" t="str">
        <f t="shared" si="283"/>
        <v xml:space="preserve"> </v>
      </c>
      <c r="CF711" s="167" t="str">
        <f t="shared" si="283"/>
        <v xml:space="preserve"> </v>
      </c>
      <c r="CG711" s="167" t="str">
        <f t="shared" si="283"/>
        <v xml:space="preserve"> </v>
      </c>
      <c r="CH711" s="167" t="str">
        <f t="shared" si="283"/>
        <v xml:space="preserve"> </v>
      </c>
      <c r="CI711" s="168" t="str">
        <f t="shared" si="283"/>
        <v xml:space="preserve"> </v>
      </c>
      <c r="CJ711" s="167"/>
      <c r="CK711" s="165"/>
    </row>
    <row r="712" spans="1:89">
      <c r="A712" s="238" t="str">
        <f t="shared" si="280"/>
        <v xml:space="preserve"> </v>
      </c>
      <c r="B712" s="253"/>
      <c r="C712" s="247"/>
      <c r="D712" s="240" t="str">
        <f t="shared" si="281"/>
        <v xml:space="preserve"> </v>
      </c>
      <c r="E712" s="240" t="str">
        <f t="shared" si="281"/>
        <v xml:space="preserve"> </v>
      </c>
      <c r="F712" s="240" t="str">
        <f t="shared" si="281"/>
        <v xml:space="preserve"> </v>
      </c>
      <c r="G712" s="240" t="str">
        <f t="shared" si="281"/>
        <v xml:space="preserve"> </v>
      </c>
      <c r="H712" s="240" t="str">
        <f t="shared" si="281"/>
        <v xml:space="preserve"> </v>
      </c>
      <c r="I712" s="251" t="str">
        <f t="shared" si="281"/>
        <v xml:space="preserve"> </v>
      </c>
      <c r="J712" s="240"/>
      <c r="K712" s="254"/>
      <c r="Z712" s="54"/>
      <c r="CA712" s="238" t="str">
        <f t="shared" si="282"/>
        <v xml:space="preserve"> </v>
      </c>
      <c r="CB712" s="253"/>
      <c r="CC712" s="247"/>
      <c r="CD712" s="240" t="str">
        <f t="shared" si="283"/>
        <v xml:space="preserve"> </v>
      </c>
      <c r="CE712" s="240" t="str">
        <f t="shared" si="283"/>
        <v xml:space="preserve"> </v>
      </c>
      <c r="CF712" s="240" t="str">
        <f t="shared" si="283"/>
        <v xml:space="preserve"> </v>
      </c>
      <c r="CG712" s="240" t="str">
        <f t="shared" si="283"/>
        <v xml:space="preserve"> </v>
      </c>
      <c r="CH712" s="240" t="str">
        <f t="shared" si="283"/>
        <v xml:space="preserve"> </v>
      </c>
      <c r="CI712" s="251" t="str">
        <f t="shared" si="283"/>
        <v xml:space="preserve"> </v>
      </c>
      <c r="CJ712" s="240"/>
      <c r="CK712" s="254"/>
    </row>
    <row r="713" spans="1:89">
      <c r="A713" s="166" t="str">
        <f t="shared" si="280"/>
        <v xml:space="preserve"> </v>
      </c>
      <c r="B713" s="101"/>
      <c r="C713" s="100"/>
      <c r="D713" s="167" t="str">
        <f t="shared" si="281"/>
        <v xml:space="preserve"> </v>
      </c>
      <c r="E713" s="167" t="str">
        <f t="shared" si="281"/>
        <v xml:space="preserve"> </v>
      </c>
      <c r="F713" s="167" t="str">
        <f t="shared" si="281"/>
        <v xml:space="preserve"> </v>
      </c>
      <c r="G713" s="167" t="str">
        <f t="shared" si="281"/>
        <v xml:space="preserve"> </v>
      </c>
      <c r="H713" s="167" t="str">
        <f t="shared" si="281"/>
        <v xml:space="preserve"> </v>
      </c>
      <c r="I713" s="168" t="str">
        <f t="shared" si="281"/>
        <v xml:space="preserve"> </v>
      </c>
      <c r="J713" s="167"/>
      <c r="K713" s="165"/>
      <c r="Z713" s="54"/>
      <c r="CA713" s="166" t="str">
        <f t="shared" si="282"/>
        <v xml:space="preserve"> </v>
      </c>
      <c r="CB713" s="101"/>
      <c r="CC713" s="100"/>
      <c r="CD713" s="167" t="str">
        <f t="shared" si="283"/>
        <v xml:space="preserve"> </v>
      </c>
      <c r="CE713" s="167" t="str">
        <f t="shared" si="283"/>
        <v xml:space="preserve"> </v>
      </c>
      <c r="CF713" s="167" t="str">
        <f t="shared" si="283"/>
        <v xml:space="preserve"> </v>
      </c>
      <c r="CG713" s="167" t="str">
        <f t="shared" si="283"/>
        <v xml:space="preserve"> </v>
      </c>
      <c r="CH713" s="167" t="str">
        <f t="shared" si="283"/>
        <v xml:space="preserve"> </v>
      </c>
      <c r="CI713" s="168" t="str">
        <f t="shared" si="283"/>
        <v xml:space="preserve"> </v>
      </c>
      <c r="CJ713" s="167"/>
      <c r="CK713" s="165"/>
    </row>
    <row r="714" spans="1:89">
      <c r="A714" s="238" t="str">
        <f t="shared" si="280"/>
        <v xml:space="preserve"> </v>
      </c>
      <c r="B714" s="253"/>
      <c r="C714" s="247"/>
      <c r="D714" s="240" t="str">
        <f t="shared" si="281"/>
        <v xml:space="preserve"> </v>
      </c>
      <c r="E714" s="240" t="str">
        <f t="shared" si="281"/>
        <v xml:space="preserve"> </v>
      </c>
      <c r="F714" s="240" t="str">
        <f t="shared" si="281"/>
        <v xml:space="preserve"> </v>
      </c>
      <c r="G714" s="240" t="str">
        <f t="shared" si="281"/>
        <v xml:space="preserve"> </v>
      </c>
      <c r="H714" s="240" t="str">
        <f t="shared" si="281"/>
        <v xml:space="preserve"> </v>
      </c>
      <c r="I714" s="251" t="str">
        <f t="shared" si="281"/>
        <v xml:space="preserve"> </v>
      </c>
      <c r="J714" s="240"/>
      <c r="K714" s="254"/>
      <c r="Z714" s="54"/>
      <c r="CA714" s="238" t="str">
        <f t="shared" si="282"/>
        <v xml:space="preserve"> </v>
      </c>
      <c r="CB714" s="253"/>
      <c r="CC714" s="247"/>
      <c r="CD714" s="240" t="str">
        <f t="shared" si="283"/>
        <v xml:space="preserve"> </v>
      </c>
      <c r="CE714" s="240" t="str">
        <f t="shared" si="283"/>
        <v xml:space="preserve"> </v>
      </c>
      <c r="CF714" s="240" t="str">
        <f t="shared" si="283"/>
        <v xml:space="preserve"> </v>
      </c>
      <c r="CG714" s="240" t="str">
        <f t="shared" si="283"/>
        <v xml:space="preserve"> </v>
      </c>
      <c r="CH714" s="240" t="str">
        <f t="shared" si="283"/>
        <v xml:space="preserve"> </v>
      </c>
      <c r="CI714" s="251" t="str">
        <f t="shared" si="283"/>
        <v xml:space="preserve"> </v>
      </c>
      <c r="CJ714" s="240"/>
      <c r="CK714" s="254"/>
    </row>
    <row r="715" spans="1:89">
      <c r="A715" s="166" t="str">
        <f t="shared" si="280"/>
        <v xml:space="preserve"> </v>
      </c>
      <c r="B715" s="101"/>
      <c r="C715" s="100"/>
      <c r="D715" s="167" t="str">
        <f t="shared" si="281"/>
        <v xml:space="preserve"> </v>
      </c>
      <c r="E715" s="167" t="str">
        <f t="shared" si="281"/>
        <v xml:space="preserve"> </v>
      </c>
      <c r="F715" s="167" t="str">
        <f t="shared" si="281"/>
        <v xml:space="preserve"> </v>
      </c>
      <c r="G715" s="167" t="str">
        <f t="shared" si="281"/>
        <v xml:space="preserve"> </v>
      </c>
      <c r="H715" s="167" t="str">
        <f t="shared" si="281"/>
        <v xml:space="preserve"> </v>
      </c>
      <c r="I715" s="168" t="str">
        <f t="shared" si="281"/>
        <v xml:space="preserve"> </v>
      </c>
      <c r="J715" s="167"/>
      <c r="K715" s="165"/>
      <c r="Z715" s="54"/>
      <c r="CA715" s="166" t="str">
        <f t="shared" si="282"/>
        <v xml:space="preserve"> </v>
      </c>
      <c r="CB715" s="101"/>
      <c r="CC715" s="100"/>
      <c r="CD715" s="167" t="str">
        <f t="shared" si="283"/>
        <v xml:space="preserve"> </v>
      </c>
      <c r="CE715" s="167" t="str">
        <f t="shared" si="283"/>
        <v xml:space="preserve"> </v>
      </c>
      <c r="CF715" s="167" t="str">
        <f t="shared" si="283"/>
        <v xml:space="preserve"> </v>
      </c>
      <c r="CG715" s="167" t="str">
        <f t="shared" si="283"/>
        <v xml:space="preserve"> </v>
      </c>
      <c r="CH715" s="167" t="str">
        <f t="shared" si="283"/>
        <v xml:space="preserve"> </v>
      </c>
      <c r="CI715" s="168" t="str">
        <f t="shared" si="283"/>
        <v xml:space="preserve"> </v>
      </c>
      <c r="CJ715" s="167"/>
      <c r="CK715" s="165"/>
    </row>
    <row r="716" spans="1:89">
      <c r="A716" s="238" t="str">
        <f t="shared" si="280"/>
        <v xml:space="preserve"> </v>
      </c>
      <c r="B716" s="253"/>
      <c r="C716" s="247"/>
      <c r="D716" s="240" t="str">
        <f t="shared" si="281"/>
        <v xml:space="preserve"> </v>
      </c>
      <c r="E716" s="240" t="str">
        <f t="shared" si="281"/>
        <v xml:space="preserve"> </v>
      </c>
      <c r="F716" s="240" t="str">
        <f t="shared" si="281"/>
        <v xml:space="preserve"> </v>
      </c>
      <c r="G716" s="240" t="str">
        <f t="shared" si="281"/>
        <v xml:space="preserve"> </v>
      </c>
      <c r="H716" s="240" t="str">
        <f t="shared" si="281"/>
        <v xml:space="preserve"> </v>
      </c>
      <c r="I716" s="251" t="str">
        <f t="shared" si="281"/>
        <v xml:space="preserve"> </v>
      </c>
      <c r="J716" s="240"/>
      <c r="K716" s="254"/>
      <c r="Z716" s="54"/>
      <c r="CA716" s="238" t="str">
        <f t="shared" si="282"/>
        <v xml:space="preserve"> </v>
      </c>
      <c r="CB716" s="253"/>
      <c r="CC716" s="247"/>
      <c r="CD716" s="240" t="str">
        <f t="shared" si="283"/>
        <v xml:space="preserve"> </v>
      </c>
      <c r="CE716" s="240" t="str">
        <f t="shared" si="283"/>
        <v xml:space="preserve"> </v>
      </c>
      <c r="CF716" s="240" t="str">
        <f t="shared" si="283"/>
        <v xml:space="preserve"> </v>
      </c>
      <c r="CG716" s="240" t="str">
        <f t="shared" si="283"/>
        <v xml:space="preserve"> </v>
      </c>
      <c r="CH716" s="240" t="str">
        <f t="shared" si="283"/>
        <v xml:space="preserve"> </v>
      </c>
      <c r="CI716" s="251" t="str">
        <f t="shared" si="283"/>
        <v xml:space="preserve"> </v>
      </c>
      <c r="CJ716" s="240"/>
      <c r="CK716" s="254"/>
    </row>
    <row r="717" spans="1:89">
      <c r="A717" s="166" t="str">
        <f t="shared" si="280"/>
        <v xml:space="preserve"> </v>
      </c>
      <c r="B717" s="101"/>
      <c r="C717" s="100"/>
      <c r="D717" s="167" t="str">
        <f t="shared" si="281"/>
        <v xml:space="preserve"> </v>
      </c>
      <c r="E717" s="167" t="str">
        <f t="shared" si="281"/>
        <v xml:space="preserve"> </v>
      </c>
      <c r="F717" s="167" t="str">
        <f t="shared" si="281"/>
        <v xml:space="preserve"> </v>
      </c>
      <c r="G717" s="167" t="str">
        <f t="shared" si="281"/>
        <v xml:space="preserve"> </v>
      </c>
      <c r="H717" s="167" t="str">
        <f t="shared" si="281"/>
        <v xml:space="preserve"> </v>
      </c>
      <c r="I717" s="168" t="str">
        <f t="shared" si="281"/>
        <v xml:space="preserve"> </v>
      </c>
      <c r="J717" s="167"/>
      <c r="K717" s="165"/>
      <c r="Z717" s="54"/>
      <c r="CA717" s="166" t="str">
        <f t="shared" si="282"/>
        <v xml:space="preserve"> </v>
      </c>
      <c r="CB717" s="101"/>
      <c r="CC717" s="100"/>
      <c r="CD717" s="167" t="str">
        <f t="shared" si="283"/>
        <v xml:space="preserve"> </v>
      </c>
      <c r="CE717" s="167" t="str">
        <f t="shared" si="283"/>
        <v xml:space="preserve"> </v>
      </c>
      <c r="CF717" s="167" t="str">
        <f t="shared" si="283"/>
        <v xml:space="preserve"> </v>
      </c>
      <c r="CG717" s="167" t="str">
        <f t="shared" si="283"/>
        <v xml:space="preserve"> </v>
      </c>
      <c r="CH717" s="167" t="str">
        <f t="shared" si="283"/>
        <v xml:space="preserve"> </v>
      </c>
      <c r="CI717" s="168" t="str">
        <f t="shared" si="283"/>
        <v xml:space="preserve"> </v>
      </c>
      <c r="CJ717" s="167"/>
      <c r="CK717" s="165"/>
    </row>
    <row r="718" spans="1:89">
      <c r="A718" s="238" t="str">
        <f t="shared" si="280"/>
        <v xml:space="preserve"> </v>
      </c>
      <c r="B718" s="253"/>
      <c r="C718" s="247"/>
      <c r="D718" s="240" t="str">
        <f t="shared" si="281"/>
        <v xml:space="preserve"> </v>
      </c>
      <c r="E718" s="240" t="str">
        <f t="shared" si="281"/>
        <v xml:space="preserve"> </v>
      </c>
      <c r="F718" s="240" t="str">
        <f t="shared" si="281"/>
        <v xml:space="preserve"> </v>
      </c>
      <c r="G718" s="240" t="str">
        <f t="shared" si="281"/>
        <v xml:space="preserve"> </v>
      </c>
      <c r="H718" s="240" t="str">
        <f t="shared" si="281"/>
        <v xml:space="preserve"> </v>
      </c>
      <c r="I718" s="251" t="str">
        <f t="shared" si="281"/>
        <v xml:space="preserve"> </v>
      </c>
      <c r="J718" s="240"/>
      <c r="K718" s="254"/>
      <c r="Z718" s="54"/>
      <c r="CA718" s="238" t="str">
        <f t="shared" si="282"/>
        <v xml:space="preserve"> </v>
      </c>
      <c r="CB718" s="253"/>
      <c r="CC718" s="247"/>
      <c r="CD718" s="240" t="str">
        <f t="shared" si="283"/>
        <v xml:space="preserve"> </v>
      </c>
      <c r="CE718" s="240" t="str">
        <f t="shared" si="283"/>
        <v xml:space="preserve"> </v>
      </c>
      <c r="CF718" s="240" t="str">
        <f t="shared" si="283"/>
        <v xml:space="preserve"> </v>
      </c>
      <c r="CG718" s="240" t="str">
        <f t="shared" si="283"/>
        <v xml:space="preserve"> </v>
      </c>
      <c r="CH718" s="240" t="str">
        <f t="shared" si="283"/>
        <v xml:space="preserve"> </v>
      </c>
      <c r="CI718" s="251" t="str">
        <f t="shared" si="283"/>
        <v xml:space="preserve"> </v>
      </c>
      <c r="CJ718" s="240"/>
      <c r="CK718" s="254"/>
    </row>
    <row r="719" spans="1:89">
      <c r="A719" s="166" t="str">
        <f t="shared" si="280"/>
        <v xml:space="preserve"> </v>
      </c>
      <c r="B719" s="101"/>
      <c r="C719" s="100"/>
      <c r="D719" s="167" t="str">
        <f t="shared" si="281"/>
        <v xml:space="preserve"> </v>
      </c>
      <c r="E719" s="167" t="str">
        <f t="shared" si="281"/>
        <v xml:space="preserve"> </v>
      </c>
      <c r="F719" s="167" t="str">
        <f t="shared" si="281"/>
        <v xml:space="preserve"> </v>
      </c>
      <c r="G719" s="167" t="str">
        <f t="shared" si="281"/>
        <v xml:space="preserve"> </v>
      </c>
      <c r="H719" s="167" t="str">
        <f t="shared" si="281"/>
        <v xml:space="preserve"> </v>
      </c>
      <c r="I719" s="168" t="str">
        <f t="shared" si="281"/>
        <v xml:space="preserve"> </v>
      </c>
      <c r="J719" s="167"/>
      <c r="K719" s="165"/>
      <c r="Z719" s="54"/>
      <c r="CA719" s="166" t="str">
        <f t="shared" si="282"/>
        <v xml:space="preserve"> </v>
      </c>
      <c r="CB719" s="101"/>
      <c r="CC719" s="100"/>
      <c r="CD719" s="167" t="str">
        <f t="shared" si="283"/>
        <v xml:space="preserve"> </v>
      </c>
      <c r="CE719" s="167" t="str">
        <f t="shared" si="283"/>
        <v xml:space="preserve"> </v>
      </c>
      <c r="CF719" s="167" t="str">
        <f t="shared" si="283"/>
        <v xml:space="preserve"> </v>
      </c>
      <c r="CG719" s="167" t="str">
        <f t="shared" si="283"/>
        <v xml:space="preserve"> </v>
      </c>
      <c r="CH719" s="167" t="str">
        <f t="shared" si="283"/>
        <v xml:space="preserve"> </v>
      </c>
      <c r="CI719" s="168" t="str">
        <f t="shared" si="283"/>
        <v xml:space="preserve"> </v>
      </c>
      <c r="CJ719" s="167"/>
      <c r="CK719" s="165"/>
    </row>
    <row r="720" spans="1:89">
      <c r="A720" s="238" t="str">
        <f t="shared" si="280"/>
        <v xml:space="preserve"> </v>
      </c>
      <c r="B720" s="253"/>
      <c r="C720" s="247"/>
      <c r="D720" s="240" t="str">
        <f t="shared" si="281"/>
        <v xml:space="preserve"> </v>
      </c>
      <c r="E720" s="240" t="str">
        <f t="shared" si="281"/>
        <v xml:space="preserve"> </v>
      </c>
      <c r="F720" s="240" t="str">
        <f t="shared" si="281"/>
        <v xml:space="preserve"> </v>
      </c>
      <c r="G720" s="240" t="str">
        <f t="shared" si="281"/>
        <v xml:space="preserve"> </v>
      </c>
      <c r="H720" s="240" t="str">
        <f t="shared" si="281"/>
        <v xml:space="preserve"> </v>
      </c>
      <c r="I720" s="251" t="str">
        <f t="shared" si="281"/>
        <v xml:space="preserve"> </v>
      </c>
      <c r="J720" s="240"/>
      <c r="K720" s="254"/>
      <c r="Z720" s="54"/>
      <c r="CA720" s="238" t="str">
        <f t="shared" si="282"/>
        <v xml:space="preserve"> </v>
      </c>
      <c r="CB720" s="253"/>
      <c r="CC720" s="247"/>
      <c r="CD720" s="240" t="str">
        <f t="shared" si="283"/>
        <v xml:space="preserve"> </v>
      </c>
      <c r="CE720" s="240" t="str">
        <f t="shared" si="283"/>
        <v xml:space="preserve"> </v>
      </c>
      <c r="CF720" s="240" t="str">
        <f t="shared" si="283"/>
        <v xml:space="preserve"> </v>
      </c>
      <c r="CG720" s="240" t="str">
        <f t="shared" si="283"/>
        <v xml:space="preserve"> </v>
      </c>
      <c r="CH720" s="240" t="str">
        <f t="shared" si="283"/>
        <v xml:space="preserve"> </v>
      </c>
      <c r="CI720" s="251" t="str">
        <f t="shared" si="283"/>
        <v xml:space="preserve"> </v>
      </c>
      <c r="CJ720" s="240"/>
      <c r="CK720" s="254"/>
    </row>
    <row r="721" spans="1:89">
      <c r="A721" s="166" t="str">
        <f t="shared" si="280"/>
        <v xml:space="preserve"> </v>
      </c>
      <c r="B721" s="101"/>
      <c r="C721" s="100"/>
      <c r="D721" s="167" t="str">
        <f t="shared" si="281"/>
        <v xml:space="preserve"> </v>
      </c>
      <c r="E721" s="167" t="str">
        <f t="shared" si="281"/>
        <v xml:space="preserve"> </v>
      </c>
      <c r="F721" s="167" t="str">
        <f t="shared" si="281"/>
        <v xml:space="preserve"> </v>
      </c>
      <c r="G721" s="167" t="str">
        <f t="shared" si="281"/>
        <v xml:space="preserve"> </v>
      </c>
      <c r="H721" s="167" t="str">
        <f t="shared" si="281"/>
        <v xml:space="preserve"> </v>
      </c>
      <c r="I721" s="168" t="str">
        <f t="shared" si="281"/>
        <v xml:space="preserve"> </v>
      </c>
      <c r="J721" s="167"/>
      <c r="K721" s="169"/>
      <c r="Z721" s="54"/>
      <c r="CA721" s="166" t="str">
        <f t="shared" si="282"/>
        <v xml:space="preserve"> </v>
      </c>
      <c r="CB721" s="101"/>
      <c r="CC721" s="100"/>
      <c r="CD721" s="167" t="str">
        <f t="shared" si="283"/>
        <v xml:space="preserve"> </v>
      </c>
      <c r="CE721" s="167" t="str">
        <f t="shared" si="283"/>
        <v xml:space="preserve"> </v>
      </c>
      <c r="CF721" s="167" t="str">
        <f t="shared" si="283"/>
        <v xml:space="preserve"> </v>
      </c>
      <c r="CG721" s="167" t="str">
        <f t="shared" si="283"/>
        <v xml:space="preserve"> </v>
      </c>
      <c r="CH721" s="167" t="str">
        <f t="shared" si="283"/>
        <v xml:space="preserve"> </v>
      </c>
      <c r="CI721" s="168" t="str">
        <f t="shared" si="283"/>
        <v xml:space="preserve"> </v>
      </c>
      <c r="CJ721" s="167"/>
      <c r="CK721" s="169"/>
    </row>
    <row r="722" spans="1:89">
      <c r="A722" s="238" t="str">
        <f t="shared" si="280"/>
        <v xml:space="preserve"> </v>
      </c>
      <c r="B722" s="253"/>
      <c r="C722" s="247"/>
      <c r="D722" s="240" t="str">
        <f t="shared" si="281"/>
        <v xml:space="preserve"> </v>
      </c>
      <c r="E722" s="240" t="str">
        <f t="shared" si="281"/>
        <v xml:space="preserve"> </v>
      </c>
      <c r="F722" s="240" t="str">
        <f t="shared" si="281"/>
        <v xml:space="preserve"> </v>
      </c>
      <c r="G722" s="240" t="str">
        <f t="shared" si="281"/>
        <v xml:space="preserve"> </v>
      </c>
      <c r="H722" s="240" t="str">
        <f t="shared" si="281"/>
        <v xml:space="preserve"> </v>
      </c>
      <c r="I722" s="251" t="str">
        <f t="shared" si="281"/>
        <v xml:space="preserve"> </v>
      </c>
      <c r="J722" s="240"/>
      <c r="K722" s="254"/>
      <c r="Z722" s="54"/>
      <c r="CA722" s="238" t="str">
        <f t="shared" si="282"/>
        <v xml:space="preserve"> </v>
      </c>
      <c r="CB722" s="253"/>
      <c r="CC722" s="247"/>
      <c r="CD722" s="240" t="str">
        <f t="shared" si="283"/>
        <v xml:space="preserve"> </v>
      </c>
      <c r="CE722" s="240" t="str">
        <f t="shared" si="283"/>
        <v xml:space="preserve"> </v>
      </c>
      <c r="CF722" s="240" t="str">
        <f t="shared" si="283"/>
        <v xml:space="preserve"> </v>
      </c>
      <c r="CG722" s="240" t="str">
        <f t="shared" si="283"/>
        <v xml:space="preserve"> </v>
      </c>
      <c r="CH722" s="240" t="str">
        <f t="shared" si="283"/>
        <v xml:space="preserve"> </v>
      </c>
      <c r="CI722" s="251" t="str">
        <f t="shared" si="283"/>
        <v xml:space="preserve"> </v>
      </c>
      <c r="CJ722" s="240"/>
      <c r="CK722" s="254"/>
    </row>
    <row r="723" spans="1:89">
      <c r="A723" s="166" t="str">
        <f t="shared" si="280"/>
        <v xml:space="preserve"> </v>
      </c>
      <c r="B723" s="101"/>
      <c r="C723" s="100"/>
      <c r="D723" s="167" t="str">
        <f t="shared" ref="D723:I724" si="284">IF(AND(D1523&gt;0,$E$134&gt;0),D1523," ")</f>
        <v xml:space="preserve"> </v>
      </c>
      <c r="E723" s="167" t="str">
        <f t="shared" si="284"/>
        <v xml:space="preserve"> </v>
      </c>
      <c r="F723" s="167" t="str">
        <f t="shared" si="284"/>
        <v xml:space="preserve"> </v>
      </c>
      <c r="G723" s="167" t="str">
        <f t="shared" si="284"/>
        <v xml:space="preserve"> </v>
      </c>
      <c r="H723" s="167" t="str">
        <f t="shared" si="284"/>
        <v xml:space="preserve"> </v>
      </c>
      <c r="I723" s="168" t="str">
        <f t="shared" si="284"/>
        <v xml:space="preserve"> </v>
      </c>
      <c r="J723" s="167"/>
      <c r="K723" s="165"/>
      <c r="Z723" s="54"/>
      <c r="CA723" s="166" t="str">
        <f t="shared" si="282"/>
        <v xml:space="preserve"> </v>
      </c>
      <c r="CB723" s="101"/>
      <c r="CC723" s="100"/>
      <c r="CD723" s="167" t="str">
        <f t="shared" ref="CD723:CI724" si="285">IF(AND(CD1523&gt;0,$E$134&gt;0),CD1523," ")</f>
        <v xml:space="preserve"> </v>
      </c>
      <c r="CE723" s="167" t="str">
        <f t="shared" si="285"/>
        <v xml:space="preserve"> </v>
      </c>
      <c r="CF723" s="167" t="str">
        <f t="shared" si="285"/>
        <v xml:space="preserve"> </v>
      </c>
      <c r="CG723" s="167" t="str">
        <f t="shared" si="285"/>
        <v xml:space="preserve"> </v>
      </c>
      <c r="CH723" s="167" t="str">
        <f t="shared" si="285"/>
        <v xml:space="preserve"> </v>
      </c>
      <c r="CI723" s="168" t="str">
        <f t="shared" si="285"/>
        <v xml:space="preserve"> </v>
      </c>
      <c r="CJ723" s="167"/>
      <c r="CK723" s="165"/>
    </row>
    <row r="724" spans="1:89">
      <c r="A724" s="246" t="str">
        <f t="shared" si="280"/>
        <v xml:space="preserve"> </v>
      </c>
      <c r="B724" s="258"/>
      <c r="C724" s="247"/>
      <c r="D724" s="247" t="str">
        <f t="shared" si="284"/>
        <v xml:space="preserve"> </v>
      </c>
      <c r="E724" s="247" t="str">
        <f t="shared" si="284"/>
        <v xml:space="preserve"> </v>
      </c>
      <c r="F724" s="247" t="str">
        <f t="shared" si="284"/>
        <v xml:space="preserve"> </v>
      </c>
      <c r="G724" s="247" t="str">
        <f t="shared" si="284"/>
        <v xml:space="preserve"> </v>
      </c>
      <c r="H724" s="247" t="str">
        <f t="shared" si="284"/>
        <v xml:space="preserve"> </v>
      </c>
      <c r="I724" s="256" t="str">
        <f t="shared" si="284"/>
        <v xml:space="preserve"> </v>
      </c>
      <c r="J724" s="247"/>
      <c r="K724" s="259"/>
      <c r="Z724" s="54"/>
      <c r="CA724" s="246" t="str">
        <f t="shared" si="282"/>
        <v xml:space="preserve"> </v>
      </c>
      <c r="CB724" s="258"/>
      <c r="CC724" s="247"/>
      <c r="CD724" s="247" t="str">
        <f t="shared" si="285"/>
        <v xml:space="preserve"> </v>
      </c>
      <c r="CE724" s="247" t="str">
        <f t="shared" si="285"/>
        <v xml:space="preserve"> </v>
      </c>
      <c r="CF724" s="247" t="str">
        <f t="shared" si="285"/>
        <v xml:space="preserve"> </v>
      </c>
      <c r="CG724" s="247" t="str">
        <f t="shared" si="285"/>
        <v xml:space="preserve"> </v>
      </c>
      <c r="CH724" s="247" t="str">
        <f t="shared" si="285"/>
        <v xml:space="preserve"> </v>
      </c>
      <c r="CI724" s="256" t="str">
        <f t="shared" si="285"/>
        <v xml:space="preserve"> </v>
      </c>
      <c r="CJ724" s="247"/>
      <c r="CK724" s="259"/>
    </row>
    <row r="725" spans="1:89">
      <c r="A725" s="179" t="s">
        <v>5023</v>
      </c>
      <c r="B725" s="102"/>
      <c r="C725" s="175" t="s">
        <v>5018</v>
      </c>
      <c r="D725" s="175" t="s">
        <v>5701</v>
      </c>
      <c r="E725" s="175" t="s">
        <v>5019</v>
      </c>
      <c r="F725" s="175" t="s">
        <v>5020</v>
      </c>
      <c r="G725" s="175" t="s">
        <v>5021</v>
      </c>
      <c r="H725" s="175" t="s">
        <v>5022</v>
      </c>
      <c r="I725" s="221" t="s">
        <v>5316</v>
      </c>
      <c r="J725" s="176"/>
      <c r="K725" s="180"/>
      <c r="Z725" s="54"/>
      <c r="CA725" s="179" t="s">
        <v>5023</v>
      </c>
      <c r="CB725" s="102"/>
      <c r="CC725" s="175" t="s">
        <v>5018</v>
      </c>
      <c r="CD725" s="175" t="s">
        <v>5701</v>
      </c>
      <c r="CE725" s="175" t="s">
        <v>5019</v>
      </c>
      <c r="CF725" s="175" t="s">
        <v>5020</v>
      </c>
      <c r="CG725" s="175" t="s">
        <v>5021</v>
      </c>
      <c r="CH725" s="175" t="s">
        <v>5022</v>
      </c>
      <c r="CI725" s="221" t="s">
        <v>5316</v>
      </c>
      <c r="CJ725" s="176"/>
      <c r="CK725" s="180"/>
    </row>
    <row r="726" spans="1:89">
      <c r="A726" s="166" t="str">
        <f t="shared" ref="A726:A741" si="286">IF(AND(A1526&gt;0,$E$134&gt;1),A1526," ")</f>
        <v xml:space="preserve"> </v>
      </c>
      <c r="B726" s="101"/>
      <c r="C726" s="100"/>
      <c r="D726" s="167" t="str">
        <f t="shared" ref="D726:I741" si="287">IF(AND(D1526&gt;0,$E$134&gt;1),D1526," ")</f>
        <v xml:space="preserve"> </v>
      </c>
      <c r="E726" s="167" t="str">
        <f t="shared" si="287"/>
        <v xml:space="preserve"> </v>
      </c>
      <c r="F726" s="167" t="str">
        <f t="shared" si="287"/>
        <v xml:space="preserve"> </v>
      </c>
      <c r="G726" s="167" t="str">
        <f t="shared" si="287"/>
        <v xml:space="preserve"> </v>
      </c>
      <c r="H726" s="167" t="str">
        <f t="shared" si="287"/>
        <v xml:space="preserve"> </v>
      </c>
      <c r="I726" s="168" t="str">
        <f t="shared" si="287"/>
        <v xml:space="preserve"> </v>
      </c>
      <c r="J726" s="101"/>
      <c r="K726" s="165"/>
      <c r="Z726" s="54"/>
      <c r="CA726" s="166" t="str">
        <f t="shared" ref="CA726:CA741" si="288">IF(AND(CA1526&gt;0,$E$134&gt;1),CA1526," ")</f>
        <v xml:space="preserve"> </v>
      </c>
      <c r="CB726" s="101"/>
      <c r="CC726" s="100"/>
      <c r="CD726" s="167" t="str">
        <f t="shared" ref="CD726:CI741" si="289">IF(AND(CD1526&gt;0,$E$134&gt;1),CD1526," ")</f>
        <v xml:space="preserve"> </v>
      </c>
      <c r="CE726" s="167" t="str">
        <f t="shared" si="289"/>
        <v xml:space="preserve"> </v>
      </c>
      <c r="CF726" s="167" t="str">
        <f t="shared" si="289"/>
        <v xml:space="preserve"> </v>
      </c>
      <c r="CG726" s="167" t="str">
        <f t="shared" si="289"/>
        <v xml:space="preserve"> </v>
      </c>
      <c r="CH726" s="167" t="str">
        <f t="shared" si="289"/>
        <v xml:space="preserve"> </v>
      </c>
      <c r="CI726" s="168" t="str">
        <f t="shared" si="289"/>
        <v xml:space="preserve"> </v>
      </c>
      <c r="CJ726" s="101"/>
      <c r="CK726" s="165"/>
    </row>
    <row r="727" spans="1:89">
      <c r="A727" s="238" t="str">
        <f t="shared" si="286"/>
        <v xml:space="preserve"> </v>
      </c>
      <c r="B727" s="253"/>
      <c r="C727" s="247"/>
      <c r="D727" s="240" t="str">
        <f t="shared" si="287"/>
        <v xml:space="preserve"> </v>
      </c>
      <c r="E727" s="240" t="str">
        <f t="shared" si="287"/>
        <v xml:space="preserve"> </v>
      </c>
      <c r="F727" s="240" t="str">
        <f t="shared" si="287"/>
        <v xml:space="preserve"> </v>
      </c>
      <c r="G727" s="240" t="str">
        <f t="shared" si="287"/>
        <v xml:space="preserve"> </v>
      </c>
      <c r="H727" s="240" t="str">
        <f t="shared" si="287"/>
        <v xml:space="preserve"> </v>
      </c>
      <c r="I727" s="251" t="str">
        <f t="shared" si="287"/>
        <v xml:space="preserve"> </v>
      </c>
      <c r="J727" s="253"/>
      <c r="K727" s="254"/>
      <c r="Z727" s="54"/>
      <c r="CA727" s="238" t="str">
        <f t="shared" si="288"/>
        <v xml:space="preserve"> </v>
      </c>
      <c r="CB727" s="253"/>
      <c r="CC727" s="247"/>
      <c r="CD727" s="240" t="str">
        <f t="shared" si="289"/>
        <v xml:space="preserve"> </v>
      </c>
      <c r="CE727" s="240" t="str">
        <f t="shared" si="289"/>
        <v xml:space="preserve"> </v>
      </c>
      <c r="CF727" s="240" t="str">
        <f t="shared" si="289"/>
        <v xml:space="preserve"> </v>
      </c>
      <c r="CG727" s="240" t="str">
        <f t="shared" si="289"/>
        <v xml:space="preserve"> </v>
      </c>
      <c r="CH727" s="240" t="str">
        <f t="shared" si="289"/>
        <v xml:space="preserve"> </v>
      </c>
      <c r="CI727" s="251" t="str">
        <f t="shared" si="289"/>
        <v xml:space="preserve"> </v>
      </c>
      <c r="CJ727" s="253"/>
      <c r="CK727" s="254"/>
    </row>
    <row r="728" spans="1:89">
      <c r="A728" s="166" t="str">
        <f t="shared" si="286"/>
        <v xml:space="preserve"> </v>
      </c>
      <c r="B728" s="101"/>
      <c r="C728" s="100"/>
      <c r="D728" s="167" t="str">
        <f t="shared" si="287"/>
        <v xml:space="preserve"> </v>
      </c>
      <c r="E728" s="167" t="str">
        <f t="shared" si="287"/>
        <v xml:space="preserve"> </v>
      </c>
      <c r="F728" s="167" t="str">
        <f t="shared" si="287"/>
        <v xml:space="preserve"> </v>
      </c>
      <c r="G728" s="167" t="str">
        <f t="shared" si="287"/>
        <v xml:space="preserve"> </v>
      </c>
      <c r="H728" s="167" t="str">
        <f t="shared" si="287"/>
        <v xml:space="preserve"> </v>
      </c>
      <c r="I728" s="168" t="str">
        <f t="shared" si="287"/>
        <v xml:space="preserve"> </v>
      </c>
      <c r="J728" s="101"/>
      <c r="K728" s="165"/>
      <c r="Z728" s="54"/>
      <c r="CA728" s="166" t="str">
        <f t="shared" si="288"/>
        <v xml:space="preserve"> </v>
      </c>
      <c r="CB728" s="101"/>
      <c r="CC728" s="100"/>
      <c r="CD728" s="167" t="str">
        <f t="shared" si="289"/>
        <v xml:space="preserve"> </v>
      </c>
      <c r="CE728" s="167" t="str">
        <f t="shared" si="289"/>
        <v xml:space="preserve"> </v>
      </c>
      <c r="CF728" s="167" t="str">
        <f t="shared" si="289"/>
        <v xml:space="preserve"> </v>
      </c>
      <c r="CG728" s="167" t="str">
        <f t="shared" si="289"/>
        <v xml:space="preserve"> </v>
      </c>
      <c r="CH728" s="167" t="str">
        <f t="shared" si="289"/>
        <v xml:space="preserve"> </v>
      </c>
      <c r="CI728" s="168" t="str">
        <f t="shared" si="289"/>
        <v xml:space="preserve"> </v>
      </c>
      <c r="CJ728" s="101"/>
      <c r="CK728" s="165"/>
    </row>
    <row r="729" spans="1:89">
      <c r="A729" s="238" t="str">
        <f t="shared" si="286"/>
        <v xml:space="preserve"> </v>
      </c>
      <c r="B729" s="253"/>
      <c r="C729" s="247"/>
      <c r="D729" s="240" t="str">
        <f t="shared" si="287"/>
        <v xml:space="preserve"> </v>
      </c>
      <c r="E729" s="240" t="str">
        <f t="shared" si="287"/>
        <v xml:space="preserve"> </v>
      </c>
      <c r="F729" s="240" t="str">
        <f t="shared" si="287"/>
        <v xml:space="preserve"> </v>
      </c>
      <c r="G729" s="240" t="str">
        <f t="shared" si="287"/>
        <v xml:space="preserve"> </v>
      </c>
      <c r="H729" s="240" t="str">
        <f t="shared" si="287"/>
        <v xml:space="preserve"> </v>
      </c>
      <c r="I729" s="251" t="str">
        <f t="shared" si="287"/>
        <v xml:space="preserve"> </v>
      </c>
      <c r="J729" s="253"/>
      <c r="K729" s="254"/>
      <c r="Z729" s="54"/>
      <c r="CA729" s="238" t="str">
        <f t="shared" si="288"/>
        <v xml:space="preserve"> </v>
      </c>
      <c r="CB729" s="253"/>
      <c r="CC729" s="247"/>
      <c r="CD729" s="240" t="str">
        <f t="shared" si="289"/>
        <v xml:space="preserve"> </v>
      </c>
      <c r="CE729" s="240" t="str">
        <f t="shared" si="289"/>
        <v xml:space="preserve"> </v>
      </c>
      <c r="CF729" s="240" t="str">
        <f t="shared" si="289"/>
        <v xml:space="preserve"> </v>
      </c>
      <c r="CG729" s="240" t="str">
        <f t="shared" si="289"/>
        <v xml:space="preserve"> </v>
      </c>
      <c r="CH729" s="240" t="str">
        <f t="shared" si="289"/>
        <v xml:space="preserve"> </v>
      </c>
      <c r="CI729" s="251" t="str">
        <f t="shared" si="289"/>
        <v xml:space="preserve"> </v>
      </c>
      <c r="CJ729" s="253"/>
      <c r="CK729" s="254"/>
    </row>
    <row r="730" spans="1:89">
      <c r="A730" s="166" t="str">
        <f t="shared" si="286"/>
        <v xml:space="preserve"> </v>
      </c>
      <c r="B730" s="101"/>
      <c r="C730" s="100"/>
      <c r="D730" s="167" t="str">
        <f t="shared" si="287"/>
        <v xml:space="preserve"> </v>
      </c>
      <c r="E730" s="167" t="str">
        <f t="shared" si="287"/>
        <v xml:space="preserve"> </v>
      </c>
      <c r="F730" s="167" t="str">
        <f t="shared" si="287"/>
        <v xml:space="preserve"> </v>
      </c>
      <c r="G730" s="167" t="str">
        <f t="shared" si="287"/>
        <v xml:space="preserve"> </v>
      </c>
      <c r="H730" s="167" t="str">
        <f t="shared" si="287"/>
        <v xml:space="preserve"> </v>
      </c>
      <c r="I730" s="168" t="str">
        <f t="shared" si="287"/>
        <v xml:space="preserve"> </v>
      </c>
      <c r="J730" s="101"/>
      <c r="K730" s="165"/>
      <c r="Z730" s="54"/>
      <c r="CA730" s="166" t="str">
        <f t="shared" si="288"/>
        <v xml:space="preserve"> </v>
      </c>
      <c r="CB730" s="101"/>
      <c r="CC730" s="100"/>
      <c r="CD730" s="167" t="str">
        <f t="shared" si="289"/>
        <v xml:space="preserve"> </v>
      </c>
      <c r="CE730" s="167" t="str">
        <f t="shared" si="289"/>
        <v xml:space="preserve"> </v>
      </c>
      <c r="CF730" s="167" t="str">
        <f t="shared" si="289"/>
        <v xml:space="preserve"> </v>
      </c>
      <c r="CG730" s="167" t="str">
        <f t="shared" si="289"/>
        <v xml:space="preserve"> </v>
      </c>
      <c r="CH730" s="167" t="str">
        <f t="shared" si="289"/>
        <v xml:space="preserve"> </v>
      </c>
      <c r="CI730" s="168" t="str">
        <f t="shared" si="289"/>
        <v xml:space="preserve"> </v>
      </c>
      <c r="CJ730" s="101"/>
      <c r="CK730" s="165"/>
    </row>
    <row r="731" spans="1:89">
      <c r="A731" s="238" t="str">
        <f t="shared" si="286"/>
        <v xml:space="preserve"> </v>
      </c>
      <c r="B731" s="253"/>
      <c r="C731" s="247"/>
      <c r="D731" s="240" t="str">
        <f t="shared" si="287"/>
        <v xml:space="preserve"> </v>
      </c>
      <c r="E731" s="240" t="str">
        <f t="shared" si="287"/>
        <v xml:space="preserve"> </v>
      </c>
      <c r="F731" s="240" t="str">
        <f t="shared" si="287"/>
        <v xml:space="preserve"> </v>
      </c>
      <c r="G731" s="240" t="str">
        <f t="shared" si="287"/>
        <v xml:space="preserve"> </v>
      </c>
      <c r="H731" s="240" t="str">
        <f t="shared" si="287"/>
        <v xml:space="preserve"> </v>
      </c>
      <c r="I731" s="251" t="str">
        <f t="shared" si="287"/>
        <v xml:space="preserve"> </v>
      </c>
      <c r="J731" s="253"/>
      <c r="K731" s="254"/>
      <c r="Z731" s="54"/>
      <c r="CA731" s="238" t="str">
        <f t="shared" si="288"/>
        <v xml:space="preserve"> </v>
      </c>
      <c r="CB731" s="253"/>
      <c r="CC731" s="247"/>
      <c r="CD731" s="240" t="str">
        <f t="shared" si="289"/>
        <v xml:space="preserve"> </v>
      </c>
      <c r="CE731" s="240" t="str">
        <f t="shared" si="289"/>
        <v xml:space="preserve"> </v>
      </c>
      <c r="CF731" s="240" t="str">
        <f t="shared" si="289"/>
        <v xml:space="preserve"> </v>
      </c>
      <c r="CG731" s="240" t="str">
        <f t="shared" si="289"/>
        <v xml:space="preserve"> </v>
      </c>
      <c r="CH731" s="240" t="str">
        <f t="shared" si="289"/>
        <v xml:space="preserve"> </v>
      </c>
      <c r="CI731" s="251" t="str">
        <f t="shared" si="289"/>
        <v xml:space="preserve"> </v>
      </c>
      <c r="CJ731" s="253"/>
      <c r="CK731" s="254"/>
    </row>
    <row r="732" spans="1:89">
      <c r="A732" s="166" t="str">
        <f t="shared" si="286"/>
        <v xml:space="preserve"> </v>
      </c>
      <c r="B732" s="101"/>
      <c r="C732" s="100"/>
      <c r="D732" s="167" t="str">
        <f t="shared" si="287"/>
        <v xml:space="preserve"> </v>
      </c>
      <c r="E732" s="167" t="str">
        <f t="shared" si="287"/>
        <v xml:space="preserve"> </v>
      </c>
      <c r="F732" s="167" t="str">
        <f t="shared" si="287"/>
        <v xml:space="preserve"> </v>
      </c>
      <c r="G732" s="167" t="str">
        <f t="shared" si="287"/>
        <v xml:space="preserve"> </v>
      </c>
      <c r="H732" s="167" t="str">
        <f t="shared" si="287"/>
        <v xml:space="preserve"> </v>
      </c>
      <c r="I732" s="168" t="str">
        <f t="shared" si="287"/>
        <v xml:space="preserve"> </v>
      </c>
      <c r="J732" s="101"/>
      <c r="K732" s="165"/>
      <c r="Z732" s="54"/>
      <c r="CA732" s="166" t="str">
        <f t="shared" si="288"/>
        <v xml:space="preserve"> </v>
      </c>
      <c r="CB732" s="101"/>
      <c r="CC732" s="100"/>
      <c r="CD732" s="167" t="str">
        <f t="shared" si="289"/>
        <v xml:space="preserve"> </v>
      </c>
      <c r="CE732" s="167" t="str">
        <f t="shared" si="289"/>
        <v xml:space="preserve"> </v>
      </c>
      <c r="CF732" s="167" t="str">
        <f t="shared" si="289"/>
        <v xml:space="preserve"> </v>
      </c>
      <c r="CG732" s="167" t="str">
        <f t="shared" si="289"/>
        <v xml:space="preserve"> </v>
      </c>
      <c r="CH732" s="167" t="str">
        <f t="shared" si="289"/>
        <v xml:space="preserve"> </v>
      </c>
      <c r="CI732" s="168" t="str">
        <f t="shared" si="289"/>
        <v xml:space="preserve"> </v>
      </c>
      <c r="CJ732" s="101"/>
      <c r="CK732" s="165"/>
    </row>
    <row r="733" spans="1:89">
      <c r="A733" s="238" t="str">
        <f t="shared" si="286"/>
        <v xml:space="preserve"> </v>
      </c>
      <c r="B733" s="253"/>
      <c r="C733" s="247"/>
      <c r="D733" s="240" t="str">
        <f t="shared" si="287"/>
        <v xml:space="preserve"> </v>
      </c>
      <c r="E733" s="240" t="str">
        <f t="shared" si="287"/>
        <v xml:space="preserve"> </v>
      </c>
      <c r="F733" s="240" t="str">
        <f t="shared" si="287"/>
        <v xml:space="preserve"> </v>
      </c>
      <c r="G733" s="240" t="str">
        <f t="shared" si="287"/>
        <v xml:space="preserve"> </v>
      </c>
      <c r="H733" s="240" t="str">
        <f t="shared" si="287"/>
        <v xml:space="preserve"> </v>
      </c>
      <c r="I733" s="251" t="str">
        <f t="shared" si="287"/>
        <v xml:space="preserve"> </v>
      </c>
      <c r="J733" s="253"/>
      <c r="K733" s="254"/>
      <c r="Z733" s="54"/>
      <c r="CA733" s="238" t="str">
        <f t="shared" si="288"/>
        <v xml:space="preserve"> </v>
      </c>
      <c r="CB733" s="253"/>
      <c r="CC733" s="247"/>
      <c r="CD733" s="240" t="str">
        <f t="shared" si="289"/>
        <v xml:space="preserve"> </v>
      </c>
      <c r="CE733" s="240" t="str">
        <f t="shared" si="289"/>
        <v xml:space="preserve"> </v>
      </c>
      <c r="CF733" s="240" t="str">
        <f t="shared" si="289"/>
        <v xml:space="preserve"> </v>
      </c>
      <c r="CG733" s="240" t="str">
        <f t="shared" si="289"/>
        <v xml:space="preserve"> </v>
      </c>
      <c r="CH733" s="240" t="str">
        <f t="shared" si="289"/>
        <v xml:space="preserve"> </v>
      </c>
      <c r="CI733" s="251" t="str">
        <f t="shared" si="289"/>
        <v xml:space="preserve"> </v>
      </c>
      <c r="CJ733" s="253"/>
      <c r="CK733" s="254"/>
    </row>
    <row r="734" spans="1:89">
      <c r="A734" s="166" t="str">
        <f t="shared" si="286"/>
        <v xml:space="preserve"> </v>
      </c>
      <c r="B734" s="101"/>
      <c r="C734" s="100"/>
      <c r="D734" s="167" t="str">
        <f t="shared" si="287"/>
        <v xml:space="preserve"> </v>
      </c>
      <c r="E734" s="167" t="str">
        <f t="shared" si="287"/>
        <v xml:space="preserve"> </v>
      </c>
      <c r="F734" s="167" t="str">
        <f t="shared" si="287"/>
        <v xml:space="preserve"> </v>
      </c>
      <c r="G734" s="167" t="str">
        <f t="shared" si="287"/>
        <v xml:space="preserve"> </v>
      </c>
      <c r="H734" s="167" t="str">
        <f t="shared" si="287"/>
        <v xml:space="preserve"> </v>
      </c>
      <c r="I734" s="168" t="str">
        <f t="shared" si="287"/>
        <v xml:space="preserve"> </v>
      </c>
      <c r="J734" s="101"/>
      <c r="K734" s="165"/>
      <c r="Z734" s="54"/>
      <c r="CA734" s="166" t="str">
        <f t="shared" si="288"/>
        <v xml:space="preserve"> </v>
      </c>
      <c r="CB734" s="101"/>
      <c r="CC734" s="100"/>
      <c r="CD734" s="167" t="str">
        <f t="shared" si="289"/>
        <v xml:space="preserve"> </v>
      </c>
      <c r="CE734" s="167" t="str">
        <f t="shared" si="289"/>
        <v xml:space="preserve"> </v>
      </c>
      <c r="CF734" s="167" t="str">
        <f t="shared" si="289"/>
        <v xml:space="preserve"> </v>
      </c>
      <c r="CG734" s="167" t="str">
        <f t="shared" si="289"/>
        <v xml:space="preserve"> </v>
      </c>
      <c r="CH734" s="167" t="str">
        <f t="shared" si="289"/>
        <v xml:space="preserve"> </v>
      </c>
      <c r="CI734" s="168" t="str">
        <f t="shared" si="289"/>
        <v xml:space="preserve"> </v>
      </c>
      <c r="CJ734" s="101"/>
      <c r="CK734" s="165"/>
    </row>
    <row r="735" spans="1:89">
      <c r="A735" s="238" t="str">
        <f t="shared" si="286"/>
        <v xml:space="preserve"> </v>
      </c>
      <c r="B735" s="253"/>
      <c r="C735" s="247"/>
      <c r="D735" s="240" t="str">
        <f t="shared" si="287"/>
        <v xml:space="preserve"> </v>
      </c>
      <c r="E735" s="240" t="str">
        <f t="shared" si="287"/>
        <v xml:space="preserve"> </v>
      </c>
      <c r="F735" s="240" t="str">
        <f t="shared" si="287"/>
        <v xml:space="preserve"> </v>
      </c>
      <c r="G735" s="240" t="str">
        <f t="shared" si="287"/>
        <v xml:space="preserve"> </v>
      </c>
      <c r="H735" s="240" t="str">
        <f t="shared" si="287"/>
        <v xml:space="preserve"> </v>
      </c>
      <c r="I735" s="251" t="str">
        <f t="shared" si="287"/>
        <v xml:space="preserve"> </v>
      </c>
      <c r="J735" s="253"/>
      <c r="K735" s="254"/>
      <c r="Z735" s="54"/>
      <c r="CA735" s="238" t="str">
        <f t="shared" si="288"/>
        <v xml:space="preserve"> </v>
      </c>
      <c r="CB735" s="253"/>
      <c r="CC735" s="247"/>
      <c r="CD735" s="240" t="str">
        <f t="shared" si="289"/>
        <v xml:space="preserve"> </v>
      </c>
      <c r="CE735" s="240" t="str">
        <f t="shared" si="289"/>
        <v xml:space="preserve"> </v>
      </c>
      <c r="CF735" s="240" t="str">
        <f t="shared" si="289"/>
        <v xml:space="preserve"> </v>
      </c>
      <c r="CG735" s="240" t="str">
        <f t="shared" si="289"/>
        <v xml:space="preserve"> </v>
      </c>
      <c r="CH735" s="240" t="str">
        <f t="shared" si="289"/>
        <v xml:space="preserve"> </v>
      </c>
      <c r="CI735" s="251" t="str">
        <f t="shared" si="289"/>
        <v xml:space="preserve"> </v>
      </c>
      <c r="CJ735" s="253"/>
      <c r="CK735" s="254"/>
    </row>
    <row r="736" spans="1:89">
      <c r="A736" s="166" t="str">
        <f t="shared" si="286"/>
        <v xml:space="preserve"> </v>
      </c>
      <c r="B736" s="101"/>
      <c r="C736" s="100"/>
      <c r="D736" s="167" t="str">
        <f t="shared" si="287"/>
        <v xml:space="preserve"> </v>
      </c>
      <c r="E736" s="167" t="str">
        <f t="shared" si="287"/>
        <v xml:space="preserve"> </v>
      </c>
      <c r="F736" s="167" t="str">
        <f t="shared" si="287"/>
        <v xml:space="preserve"> </v>
      </c>
      <c r="G736" s="167" t="str">
        <f t="shared" si="287"/>
        <v xml:space="preserve"> </v>
      </c>
      <c r="H736" s="167" t="str">
        <f t="shared" si="287"/>
        <v xml:space="preserve"> </v>
      </c>
      <c r="I736" s="168" t="str">
        <f t="shared" si="287"/>
        <v xml:space="preserve"> </v>
      </c>
      <c r="J736" s="101"/>
      <c r="K736" s="165"/>
      <c r="Z736" s="54"/>
      <c r="CA736" s="166" t="str">
        <f t="shared" si="288"/>
        <v xml:space="preserve"> </v>
      </c>
      <c r="CB736" s="101"/>
      <c r="CC736" s="100"/>
      <c r="CD736" s="167" t="str">
        <f t="shared" si="289"/>
        <v xml:space="preserve"> </v>
      </c>
      <c r="CE736" s="167" t="str">
        <f t="shared" si="289"/>
        <v xml:space="preserve"> </v>
      </c>
      <c r="CF736" s="167" t="str">
        <f t="shared" si="289"/>
        <v xml:space="preserve"> </v>
      </c>
      <c r="CG736" s="167" t="str">
        <f t="shared" si="289"/>
        <v xml:space="preserve"> </v>
      </c>
      <c r="CH736" s="167" t="str">
        <f t="shared" si="289"/>
        <v xml:space="preserve"> </v>
      </c>
      <c r="CI736" s="168" t="str">
        <f t="shared" si="289"/>
        <v xml:space="preserve"> </v>
      </c>
      <c r="CJ736" s="101"/>
      <c r="CK736" s="165"/>
    </row>
    <row r="737" spans="1:89">
      <c r="A737" s="238" t="str">
        <f t="shared" si="286"/>
        <v xml:space="preserve"> </v>
      </c>
      <c r="B737" s="253"/>
      <c r="C737" s="247"/>
      <c r="D737" s="240" t="str">
        <f t="shared" si="287"/>
        <v xml:space="preserve"> </v>
      </c>
      <c r="E737" s="240" t="str">
        <f t="shared" si="287"/>
        <v xml:space="preserve"> </v>
      </c>
      <c r="F737" s="240" t="str">
        <f t="shared" si="287"/>
        <v xml:space="preserve"> </v>
      </c>
      <c r="G737" s="240" t="str">
        <f t="shared" si="287"/>
        <v xml:space="preserve"> </v>
      </c>
      <c r="H737" s="240" t="str">
        <f t="shared" si="287"/>
        <v xml:space="preserve"> </v>
      </c>
      <c r="I737" s="251" t="str">
        <f t="shared" si="287"/>
        <v xml:space="preserve"> </v>
      </c>
      <c r="J737" s="253"/>
      <c r="K737" s="254"/>
      <c r="Z737" s="54"/>
      <c r="CA737" s="238" t="str">
        <f t="shared" si="288"/>
        <v xml:space="preserve"> </v>
      </c>
      <c r="CB737" s="253"/>
      <c r="CC737" s="247"/>
      <c r="CD737" s="240" t="str">
        <f t="shared" si="289"/>
        <v xml:space="preserve"> </v>
      </c>
      <c r="CE737" s="240" t="str">
        <f t="shared" si="289"/>
        <v xml:space="preserve"> </v>
      </c>
      <c r="CF737" s="240" t="str">
        <f t="shared" si="289"/>
        <v xml:space="preserve"> </v>
      </c>
      <c r="CG737" s="240" t="str">
        <f t="shared" si="289"/>
        <v xml:space="preserve"> </v>
      </c>
      <c r="CH737" s="240" t="str">
        <f t="shared" si="289"/>
        <v xml:space="preserve"> </v>
      </c>
      <c r="CI737" s="251" t="str">
        <f t="shared" si="289"/>
        <v xml:space="preserve"> </v>
      </c>
      <c r="CJ737" s="253"/>
      <c r="CK737" s="254"/>
    </row>
    <row r="738" spans="1:89">
      <c r="A738" s="166" t="str">
        <f t="shared" si="286"/>
        <v xml:space="preserve"> </v>
      </c>
      <c r="B738" s="101"/>
      <c r="C738" s="100"/>
      <c r="D738" s="167" t="str">
        <f t="shared" si="287"/>
        <v xml:space="preserve"> </v>
      </c>
      <c r="E738" s="167" t="str">
        <f t="shared" si="287"/>
        <v xml:space="preserve"> </v>
      </c>
      <c r="F738" s="167" t="str">
        <f t="shared" si="287"/>
        <v xml:space="preserve"> </v>
      </c>
      <c r="G738" s="167" t="str">
        <f t="shared" si="287"/>
        <v xml:space="preserve"> </v>
      </c>
      <c r="H738" s="167" t="str">
        <f t="shared" si="287"/>
        <v xml:space="preserve"> </v>
      </c>
      <c r="I738" s="168" t="str">
        <f t="shared" si="287"/>
        <v xml:space="preserve"> </v>
      </c>
      <c r="J738" s="101"/>
      <c r="K738" s="165"/>
      <c r="Z738" s="54"/>
      <c r="CA738" s="166" t="str">
        <f t="shared" si="288"/>
        <v xml:space="preserve"> </v>
      </c>
      <c r="CB738" s="101"/>
      <c r="CC738" s="100"/>
      <c r="CD738" s="167" t="str">
        <f t="shared" si="289"/>
        <v xml:space="preserve"> </v>
      </c>
      <c r="CE738" s="167" t="str">
        <f t="shared" si="289"/>
        <v xml:space="preserve"> </v>
      </c>
      <c r="CF738" s="167" t="str">
        <f t="shared" si="289"/>
        <v xml:space="preserve"> </v>
      </c>
      <c r="CG738" s="167" t="str">
        <f t="shared" si="289"/>
        <v xml:space="preserve"> </v>
      </c>
      <c r="CH738" s="167" t="str">
        <f t="shared" si="289"/>
        <v xml:space="preserve"> </v>
      </c>
      <c r="CI738" s="168" t="str">
        <f t="shared" si="289"/>
        <v xml:space="preserve"> </v>
      </c>
      <c r="CJ738" s="101"/>
      <c r="CK738" s="165"/>
    </row>
    <row r="739" spans="1:89">
      <c r="A739" s="238" t="str">
        <f t="shared" si="286"/>
        <v xml:space="preserve"> </v>
      </c>
      <c r="B739" s="253"/>
      <c r="C739" s="247"/>
      <c r="D739" s="240" t="str">
        <f t="shared" si="287"/>
        <v xml:space="preserve"> </v>
      </c>
      <c r="E739" s="240" t="str">
        <f t="shared" si="287"/>
        <v xml:space="preserve"> </v>
      </c>
      <c r="F739" s="240" t="str">
        <f t="shared" si="287"/>
        <v xml:space="preserve"> </v>
      </c>
      <c r="G739" s="240" t="str">
        <f t="shared" si="287"/>
        <v xml:space="preserve"> </v>
      </c>
      <c r="H739" s="240" t="str">
        <f t="shared" si="287"/>
        <v xml:space="preserve"> </v>
      </c>
      <c r="I739" s="251" t="str">
        <f t="shared" si="287"/>
        <v xml:space="preserve"> </v>
      </c>
      <c r="J739" s="253"/>
      <c r="K739" s="254"/>
      <c r="Z739" s="54"/>
      <c r="CA739" s="238" t="str">
        <f t="shared" si="288"/>
        <v xml:space="preserve"> </v>
      </c>
      <c r="CB739" s="253"/>
      <c r="CC739" s="247"/>
      <c r="CD739" s="240" t="str">
        <f t="shared" si="289"/>
        <v xml:space="preserve"> </v>
      </c>
      <c r="CE739" s="240" t="str">
        <f t="shared" si="289"/>
        <v xml:space="preserve"> </v>
      </c>
      <c r="CF739" s="240" t="str">
        <f t="shared" si="289"/>
        <v xml:space="preserve"> </v>
      </c>
      <c r="CG739" s="240" t="str">
        <f t="shared" si="289"/>
        <v xml:space="preserve"> </v>
      </c>
      <c r="CH739" s="240" t="str">
        <f t="shared" si="289"/>
        <v xml:space="preserve"> </v>
      </c>
      <c r="CI739" s="251" t="str">
        <f t="shared" si="289"/>
        <v xml:space="preserve"> </v>
      </c>
      <c r="CJ739" s="253"/>
      <c r="CK739" s="254"/>
    </row>
    <row r="740" spans="1:89">
      <c r="A740" s="166" t="str">
        <f t="shared" si="286"/>
        <v xml:space="preserve"> </v>
      </c>
      <c r="B740" s="101"/>
      <c r="C740" s="100"/>
      <c r="D740" s="167" t="str">
        <f t="shared" si="287"/>
        <v xml:space="preserve"> </v>
      </c>
      <c r="E740" s="167" t="str">
        <f t="shared" si="287"/>
        <v xml:space="preserve"> </v>
      </c>
      <c r="F740" s="167" t="str">
        <f t="shared" si="287"/>
        <v xml:space="preserve"> </v>
      </c>
      <c r="G740" s="167" t="str">
        <f t="shared" si="287"/>
        <v xml:space="preserve"> </v>
      </c>
      <c r="H740" s="167" t="str">
        <f t="shared" si="287"/>
        <v xml:space="preserve"> </v>
      </c>
      <c r="I740" s="168" t="str">
        <f t="shared" si="287"/>
        <v xml:space="preserve"> </v>
      </c>
      <c r="J740" s="101"/>
      <c r="K740" s="165"/>
      <c r="Z740" s="54"/>
      <c r="CA740" s="166" t="str">
        <f t="shared" si="288"/>
        <v xml:space="preserve"> </v>
      </c>
      <c r="CB740" s="101"/>
      <c r="CC740" s="100"/>
      <c r="CD740" s="167" t="str">
        <f t="shared" si="289"/>
        <v xml:space="preserve"> </v>
      </c>
      <c r="CE740" s="167" t="str">
        <f t="shared" si="289"/>
        <v xml:space="preserve"> </v>
      </c>
      <c r="CF740" s="167" t="str">
        <f t="shared" si="289"/>
        <v xml:space="preserve"> </v>
      </c>
      <c r="CG740" s="167" t="str">
        <f t="shared" si="289"/>
        <v xml:space="preserve"> </v>
      </c>
      <c r="CH740" s="167" t="str">
        <f t="shared" si="289"/>
        <v xml:space="preserve"> </v>
      </c>
      <c r="CI740" s="168" t="str">
        <f t="shared" si="289"/>
        <v xml:space="preserve"> </v>
      </c>
      <c r="CJ740" s="101"/>
      <c r="CK740" s="165"/>
    </row>
    <row r="741" spans="1:89">
      <c r="A741" s="246" t="str">
        <f t="shared" si="286"/>
        <v xml:space="preserve"> </v>
      </c>
      <c r="B741" s="258"/>
      <c r="C741" s="247"/>
      <c r="D741" s="247" t="str">
        <f t="shared" si="287"/>
        <v xml:space="preserve"> </v>
      </c>
      <c r="E741" s="247" t="str">
        <f t="shared" si="287"/>
        <v xml:space="preserve"> </v>
      </c>
      <c r="F741" s="247" t="str">
        <f t="shared" si="287"/>
        <v xml:space="preserve"> </v>
      </c>
      <c r="G741" s="247" t="str">
        <f t="shared" si="287"/>
        <v xml:space="preserve"> </v>
      </c>
      <c r="H741" s="247" t="str">
        <f t="shared" si="287"/>
        <v xml:space="preserve"> </v>
      </c>
      <c r="I741" s="256" t="str">
        <f t="shared" si="287"/>
        <v xml:space="preserve"> </v>
      </c>
      <c r="J741" s="258"/>
      <c r="K741" s="259"/>
      <c r="Z741" s="54"/>
      <c r="CA741" s="246" t="str">
        <f t="shared" si="288"/>
        <v xml:space="preserve"> </v>
      </c>
      <c r="CB741" s="258"/>
      <c r="CC741" s="247"/>
      <c r="CD741" s="247" t="str">
        <f t="shared" si="289"/>
        <v xml:space="preserve"> </v>
      </c>
      <c r="CE741" s="247" t="str">
        <f t="shared" si="289"/>
        <v xml:space="preserve"> </v>
      </c>
      <c r="CF741" s="247" t="str">
        <f t="shared" si="289"/>
        <v xml:space="preserve"> </v>
      </c>
      <c r="CG741" s="247" t="str">
        <f t="shared" si="289"/>
        <v xml:space="preserve"> </v>
      </c>
      <c r="CH741" s="247" t="str">
        <f t="shared" si="289"/>
        <v xml:space="preserve"> </v>
      </c>
      <c r="CI741" s="256" t="str">
        <f t="shared" si="289"/>
        <v xml:space="preserve"> </v>
      </c>
      <c r="CJ741" s="258"/>
      <c r="CK741" s="259"/>
    </row>
    <row r="742" spans="1:89">
      <c r="A742" s="179" t="s">
        <v>5024</v>
      </c>
      <c r="B742" s="102"/>
      <c r="C742" s="175" t="s">
        <v>5018</v>
      </c>
      <c r="D742" s="175" t="s">
        <v>5701</v>
      </c>
      <c r="E742" s="175" t="s">
        <v>5019</v>
      </c>
      <c r="F742" s="175" t="s">
        <v>5020</v>
      </c>
      <c r="G742" s="175" t="s">
        <v>5021</v>
      </c>
      <c r="H742" s="175" t="s">
        <v>5022</v>
      </c>
      <c r="I742" s="221" t="s">
        <v>5316</v>
      </c>
      <c r="J742" s="176"/>
      <c r="K742" s="180"/>
      <c r="Z742" s="54"/>
      <c r="CA742" s="179" t="s">
        <v>5024</v>
      </c>
      <c r="CB742" s="102"/>
      <c r="CC742" s="175" t="s">
        <v>5018</v>
      </c>
      <c r="CD742" s="175" t="s">
        <v>5701</v>
      </c>
      <c r="CE742" s="175" t="s">
        <v>5019</v>
      </c>
      <c r="CF742" s="175" t="s">
        <v>5020</v>
      </c>
      <c r="CG742" s="175" t="s">
        <v>5021</v>
      </c>
      <c r="CH742" s="175" t="s">
        <v>5022</v>
      </c>
      <c r="CI742" s="221" t="s">
        <v>5316</v>
      </c>
      <c r="CJ742" s="176"/>
      <c r="CK742" s="180"/>
    </row>
    <row r="743" spans="1:89">
      <c r="A743" s="166" t="str">
        <f t="shared" ref="A743:A763" si="290">IF(AND(A1543&gt;0,$E$134&gt;2),A1543," ")</f>
        <v xml:space="preserve"> </v>
      </c>
      <c r="B743" s="101"/>
      <c r="C743" s="100"/>
      <c r="D743" s="167" t="str">
        <f t="shared" ref="D743:I758" si="291">IF(AND(D1543&gt;0,$E$134&gt;2),D1543," ")</f>
        <v xml:space="preserve"> </v>
      </c>
      <c r="E743" s="167" t="str">
        <f t="shared" si="291"/>
        <v xml:space="preserve"> </v>
      </c>
      <c r="F743" s="167" t="str">
        <f t="shared" si="291"/>
        <v xml:space="preserve"> </v>
      </c>
      <c r="G743" s="167" t="str">
        <f t="shared" si="291"/>
        <v xml:space="preserve"> </v>
      </c>
      <c r="H743" s="167" t="str">
        <f t="shared" si="291"/>
        <v xml:space="preserve"> </v>
      </c>
      <c r="I743" s="168" t="str">
        <f t="shared" si="291"/>
        <v xml:space="preserve"> </v>
      </c>
      <c r="J743" s="101"/>
      <c r="K743" s="165"/>
      <c r="Z743" s="54"/>
      <c r="CA743" s="166" t="str">
        <f t="shared" ref="CA743:CA763" si="292">IF(AND(CA1543&gt;0,$E$134&gt;2),CA1543," ")</f>
        <v xml:space="preserve"> </v>
      </c>
      <c r="CB743" s="101"/>
      <c r="CC743" s="100"/>
      <c r="CD743" s="167" t="str">
        <f t="shared" ref="CD743:CI758" si="293">IF(AND(CD1543&gt;0,$E$134&gt;2),CD1543," ")</f>
        <v xml:space="preserve"> </v>
      </c>
      <c r="CE743" s="167" t="str">
        <f t="shared" si="293"/>
        <v xml:space="preserve"> </v>
      </c>
      <c r="CF743" s="167" t="str">
        <f t="shared" si="293"/>
        <v xml:space="preserve"> </v>
      </c>
      <c r="CG743" s="167" t="str">
        <f t="shared" si="293"/>
        <v xml:space="preserve"> </v>
      </c>
      <c r="CH743" s="167" t="str">
        <f t="shared" si="293"/>
        <v xml:space="preserve"> </v>
      </c>
      <c r="CI743" s="168" t="str">
        <f t="shared" si="293"/>
        <v xml:space="preserve"> </v>
      </c>
      <c r="CJ743" s="101"/>
      <c r="CK743" s="165"/>
    </row>
    <row r="744" spans="1:89">
      <c r="A744" s="238" t="str">
        <f t="shared" si="290"/>
        <v xml:space="preserve"> </v>
      </c>
      <c r="B744" s="253"/>
      <c r="C744" s="247"/>
      <c r="D744" s="240" t="str">
        <f t="shared" si="291"/>
        <v xml:space="preserve"> </v>
      </c>
      <c r="E744" s="240" t="str">
        <f t="shared" si="291"/>
        <v xml:space="preserve"> </v>
      </c>
      <c r="F744" s="240" t="str">
        <f t="shared" si="291"/>
        <v xml:space="preserve"> </v>
      </c>
      <c r="G744" s="240" t="str">
        <f t="shared" si="291"/>
        <v xml:space="preserve"> </v>
      </c>
      <c r="H744" s="240" t="str">
        <f t="shared" si="291"/>
        <v xml:space="preserve"> </v>
      </c>
      <c r="I744" s="251" t="str">
        <f t="shared" si="291"/>
        <v xml:space="preserve"> </v>
      </c>
      <c r="J744" s="253"/>
      <c r="K744" s="254"/>
      <c r="Z744" s="54"/>
      <c r="CA744" s="238" t="str">
        <f t="shared" si="292"/>
        <v xml:space="preserve"> </v>
      </c>
      <c r="CB744" s="253"/>
      <c r="CC744" s="247"/>
      <c r="CD744" s="240" t="str">
        <f t="shared" si="293"/>
        <v xml:space="preserve"> </v>
      </c>
      <c r="CE744" s="240" t="str">
        <f t="shared" si="293"/>
        <v xml:space="preserve"> </v>
      </c>
      <c r="CF744" s="240" t="str">
        <f t="shared" si="293"/>
        <v xml:space="preserve"> </v>
      </c>
      <c r="CG744" s="240" t="str">
        <f t="shared" si="293"/>
        <v xml:space="preserve"> </v>
      </c>
      <c r="CH744" s="240" t="str">
        <f t="shared" si="293"/>
        <v xml:space="preserve"> </v>
      </c>
      <c r="CI744" s="251" t="str">
        <f t="shared" si="293"/>
        <v xml:space="preserve"> </v>
      </c>
      <c r="CJ744" s="253"/>
      <c r="CK744" s="254"/>
    </row>
    <row r="745" spans="1:89">
      <c r="A745" s="166" t="str">
        <f t="shared" si="290"/>
        <v xml:space="preserve"> </v>
      </c>
      <c r="B745" s="101"/>
      <c r="C745" s="100"/>
      <c r="D745" s="167" t="str">
        <f t="shared" si="291"/>
        <v xml:space="preserve"> </v>
      </c>
      <c r="E745" s="167" t="str">
        <f t="shared" si="291"/>
        <v xml:space="preserve"> </v>
      </c>
      <c r="F745" s="167" t="str">
        <f t="shared" si="291"/>
        <v xml:space="preserve"> </v>
      </c>
      <c r="G745" s="167" t="str">
        <f t="shared" si="291"/>
        <v xml:space="preserve"> </v>
      </c>
      <c r="H745" s="167" t="str">
        <f t="shared" si="291"/>
        <v xml:space="preserve"> </v>
      </c>
      <c r="I745" s="168" t="str">
        <f t="shared" si="291"/>
        <v xml:space="preserve"> </v>
      </c>
      <c r="J745" s="101"/>
      <c r="K745" s="165"/>
      <c r="Z745" s="54"/>
      <c r="CA745" s="166" t="str">
        <f t="shared" si="292"/>
        <v xml:space="preserve"> </v>
      </c>
      <c r="CB745" s="101"/>
      <c r="CC745" s="100"/>
      <c r="CD745" s="167" t="str">
        <f t="shared" si="293"/>
        <v xml:space="preserve"> </v>
      </c>
      <c r="CE745" s="167" t="str">
        <f t="shared" si="293"/>
        <v xml:space="preserve"> </v>
      </c>
      <c r="CF745" s="167" t="str">
        <f t="shared" si="293"/>
        <v xml:space="preserve"> </v>
      </c>
      <c r="CG745" s="167" t="str">
        <f t="shared" si="293"/>
        <v xml:space="preserve"> </v>
      </c>
      <c r="CH745" s="167" t="str">
        <f t="shared" si="293"/>
        <v xml:space="preserve"> </v>
      </c>
      <c r="CI745" s="168" t="str">
        <f t="shared" si="293"/>
        <v xml:space="preserve"> </v>
      </c>
      <c r="CJ745" s="101"/>
      <c r="CK745" s="165"/>
    </row>
    <row r="746" spans="1:89">
      <c r="A746" s="238" t="str">
        <f t="shared" si="290"/>
        <v xml:space="preserve"> </v>
      </c>
      <c r="B746" s="253"/>
      <c r="C746" s="247"/>
      <c r="D746" s="240" t="str">
        <f t="shared" si="291"/>
        <v xml:space="preserve"> </v>
      </c>
      <c r="E746" s="240" t="str">
        <f t="shared" si="291"/>
        <v xml:space="preserve"> </v>
      </c>
      <c r="F746" s="240" t="str">
        <f t="shared" si="291"/>
        <v xml:space="preserve"> </v>
      </c>
      <c r="G746" s="240" t="str">
        <f t="shared" si="291"/>
        <v xml:space="preserve"> </v>
      </c>
      <c r="H746" s="240" t="str">
        <f t="shared" si="291"/>
        <v xml:space="preserve"> </v>
      </c>
      <c r="I746" s="251" t="str">
        <f t="shared" si="291"/>
        <v xml:space="preserve"> </v>
      </c>
      <c r="J746" s="253"/>
      <c r="K746" s="254"/>
      <c r="Z746" s="54"/>
      <c r="CA746" s="238" t="str">
        <f t="shared" si="292"/>
        <v xml:space="preserve"> </v>
      </c>
      <c r="CB746" s="253"/>
      <c r="CC746" s="247"/>
      <c r="CD746" s="240" t="str">
        <f t="shared" si="293"/>
        <v xml:space="preserve"> </v>
      </c>
      <c r="CE746" s="240" t="str">
        <f t="shared" si="293"/>
        <v xml:space="preserve"> </v>
      </c>
      <c r="CF746" s="240" t="str">
        <f t="shared" si="293"/>
        <v xml:space="preserve"> </v>
      </c>
      <c r="CG746" s="240" t="str">
        <f t="shared" si="293"/>
        <v xml:space="preserve"> </v>
      </c>
      <c r="CH746" s="240" t="str">
        <f t="shared" si="293"/>
        <v xml:space="preserve"> </v>
      </c>
      <c r="CI746" s="251" t="str">
        <f t="shared" si="293"/>
        <v xml:space="preserve"> </v>
      </c>
      <c r="CJ746" s="253"/>
      <c r="CK746" s="254"/>
    </row>
    <row r="747" spans="1:89">
      <c r="A747" s="166" t="str">
        <f t="shared" si="290"/>
        <v xml:space="preserve"> </v>
      </c>
      <c r="B747" s="101"/>
      <c r="C747" s="100"/>
      <c r="D747" s="167" t="str">
        <f t="shared" si="291"/>
        <v xml:space="preserve"> </v>
      </c>
      <c r="E747" s="167" t="str">
        <f t="shared" si="291"/>
        <v xml:space="preserve"> </v>
      </c>
      <c r="F747" s="167" t="str">
        <f t="shared" si="291"/>
        <v xml:space="preserve"> </v>
      </c>
      <c r="G747" s="167" t="str">
        <f t="shared" si="291"/>
        <v xml:space="preserve"> </v>
      </c>
      <c r="H747" s="167" t="str">
        <f t="shared" si="291"/>
        <v xml:space="preserve"> </v>
      </c>
      <c r="I747" s="168" t="str">
        <f t="shared" si="291"/>
        <v xml:space="preserve"> </v>
      </c>
      <c r="J747" s="101"/>
      <c r="K747" s="165"/>
      <c r="Z747" s="54"/>
      <c r="CA747" s="166" t="str">
        <f t="shared" si="292"/>
        <v xml:space="preserve"> </v>
      </c>
      <c r="CB747" s="101"/>
      <c r="CC747" s="100"/>
      <c r="CD747" s="167" t="str">
        <f t="shared" si="293"/>
        <v xml:space="preserve"> </v>
      </c>
      <c r="CE747" s="167" t="str">
        <f t="shared" si="293"/>
        <v xml:space="preserve"> </v>
      </c>
      <c r="CF747" s="167" t="str">
        <f t="shared" si="293"/>
        <v xml:space="preserve"> </v>
      </c>
      <c r="CG747" s="167" t="str">
        <f t="shared" si="293"/>
        <v xml:space="preserve"> </v>
      </c>
      <c r="CH747" s="167" t="str">
        <f t="shared" si="293"/>
        <v xml:space="preserve"> </v>
      </c>
      <c r="CI747" s="168" t="str">
        <f t="shared" si="293"/>
        <v xml:space="preserve"> </v>
      </c>
      <c r="CJ747" s="101"/>
      <c r="CK747" s="165"/>
    </row>
    <row r="748" spans="1:89">
      <c r="A748" s="238" t="str">
        <f t="shared" si="290"/>
        <v xml:space="preserve"> </v>
      </c>
      <c r="B748" s="253"/>
      <c r="C748" s="247"/>
      <c r="D748" s="240" t="str">
        <f t="shared" si="291"/>
        <v xml:space="preserve"> </v>
      </c>
      <c r="E748" s="240" t="str">
        <f t="shared" si="291"/>
        <v xml:space="preserve"> </v>
      </c>
      <c r="F748" s="240" t="str">
        <f t="shared" si="291"/>
        <v xml:space="preserve"> </v>
      </c>
      <c r="G748" s="240" t="str">
        <f t="shared" si="291"/>
        <v xml:space="preserve"> </v>
      </c>
      <c r="H748" s="240" t="str">
        <f t="shared" si="291"/>
        <v xml:space="preserve"> </v>
      </c>
      <c r="I748" s="251" t="str">
        <f t="shared" si="291"/>
        <v xml:space="preserve"> </v>
      </c>
      <c r="J748" s="253"/>
      <c r="K748" s="254"/>
      <c r="Z748" s="54"/>
      <c r="CA748" s="238" t="str">
        <f t="shared" si="292"/>
        <v xml:space="preserve"> </v>
      </c>
      <c r="CB748" s="253"/>
      <c r="CC748" s="247"/>
      <c r="CD748" s="240" t="str">
        <f t="shared" si="293"/>
        <v xml:space="preserve"> </v>
      </c>
      <c r="CE748" s="240" t="str">
        <f t="shared" si="293"/>
        <v xml:space="preserve"> </v>
      </c>
      <c r="CF748" s="240" t="str">
        <f t="shared" si="293"/>
        <v xml:space="preserve"> </v>
      </c>
      <c r="CG748" s="240" t="str">
        <f t="shared" si="293"/>
        <v xml:space="preserve"> </v>
      </c>
      <c r="CH748" s="240" t="str">
        <f t="shared" si="293"/>
        <v xml:space="preserve"> </v>
      </c>
      <c r="CI748" s="251" t="str">
        <f t="shared" si="293"/>
        <v xml:space="preserve"> </v>
      </c>
      <c r="CJ748" s="253"/>
      <c r="CK748" s="254"/>
    </row>
    <row r="749" spans="1:89">
      <c r="A749" s="166" t="str">
        <f t="shared" si="290"/>
        <v xml:space="preserve"> </v>
      </c>
      <c r="B749" s="101"/>
      <c r="C749" s="100"/>
      <c r="D749" s="167" t="str">
        <f t="shared" si="291"/>
        <v xml:space="preserve"> </v>
      </c>
      <c r="E749" s="167" t="str">
        <f t="shared" si="291"/>
        <v xml:space="preserve"> </v>
      </c>
      <c r="F749" s="167" t="str">
        <f t="shared" si="291"/>
        <v xml:space="preserve"> </v>
      </c>
      <c r="G749" s="167" t="str">
        <f t="shared" si="291"/>
        <v xml:space="preserve"> </v>
      </c>
      <c r="H749" s="167" t="str">
        <f t="shared" si="291"/>
        <v xml:space="preserve"> </v>
      </c>
      <c r="I749" s="168" t="str">
        <f t="shared" si="291"/>
        <v xml:space="preserve"> </v>
      </c>
      <c r="J749" s="101"/>
      <c r="K749" s="165"/>
      <c r="Z749" s="54"/>
      <c r="CA749" s="166" t="str">
        <f t="shared" si="292"/>
        <v xml:space="preserve"> </v>
      </c>
      <c r="CB749" s="101"/>
      <c r="CC749" s="100"/>
      <c r="CD749" s="167" t="str">
        <f t="shared" si="293"/>
        <v xml:space="preserve"> </v>
      </c>
      <c r="CE749" s="167" t="str">
        <f t="shared" si="293"/>
        <v xml:space="preserve"> </v>
      </c>
      <c r="CF749" s="167" t="str">
        <f t="shared" si="293"/>
        <v xml:space="preserve"> </v>
      </c>
      <c r="CG749" s="167" t="str">
        <f t="shared" si="293"/>
        <v xml:space="preserve"> </v>
      </c>
      <c r="CH749" s="167" t="str">
        <f t="shared" si="293"/>
        <v xml:space="preserve"> </v>
      </c>
      <c r="CI749" s="168" t="str">
        <f t="shared" si="293"/>
        <v xml:space="preserve"> </v>
      </c>
      <c r="CJ749" s="101"/>
      <c r="CK749" s="165"/>
    </row>
    <row r="750" spans="1:89">
      <c r="A750" s="238" t="str">
        <f t="shared" si="290"/>
        <v xml:space="preserve"> </v>
      </c>
      <c r="B750" s="253"/>
      <c r="C750" s="247"/>
      <c r="D750" s="240" t="str">
        <f t="shared" si="291"/>
        <v xml:space="preserve"> </v>
      </c>
      <c r="E750" s="240" t="str">
        <f t="shared" si="291"/>
        <v xml:space="preserve"> </v>
      </c>
      <c r="F750" s="240" t="str">
        <f t="shared" si="291"/>
        <v xml:space="preserve"> </v>
      </c>
      <c r="G750" s="240" t="str">
        <f t="shared" si="291"/>
        <v xml:space="preserve"> </v>
      </c>
      <c r="H750" s="240" t="str">
        <f t="shared" si="291"/>
        <v xml:space="preserve"> </v>
      </c>
      <c r="I750" s="251" t="str">
        <f t="shared" si="291"/>
        <v xml:space="preserve"> </v>
      </c>
      <c r="J750" s="253"/>
      <c r="K750" s="254"/>
      <c r="Z750" s="54"/>
      <c r="CA750" s="238" t="str">
        <f t="shared" si="292"/>
        <v xml:space="preserve"> </v>
      </c>
      <c r="CB750" s="253"/>
      <c r="CC750" s="247"/>
      <c r="CD750" s="240" t="str">
        <f t="shared" si="293"/>
        <v xml:space="preserve"> </v>
      </c>
      <c r="CE750" s="240" t="str">
        <f t="shared" si="293"/>
        <v xml:space="preserve"> </v>
      </c>
      <c r="CF750" s="240" t="str">
        <f t="shared" si="293"/>
        <v xml:space="preserve"> </v>
      </c>
      <c r="CG750" s="240" t="str">
        <f t="shared" si="293"/>
        <v xml:space="preserve"> </v>
      </c>
      <c r="CH750" s="240" t="str">
        <f t="shared" si="293"/>
        <v xml:space="preserve"> </v>
      </c>
      <c r="CI750" s="251" t="str">
        <f t="shared" si="293"/>
        <v xml:space="preserve"> </v>
      </c>
      <c r="CJ750" s="253"/>
      <c r="CK750" s="254"/>
    </row>
    <row r="751" spans="1:89">
      <c r="A751" s="166" t="str">
        <f t="shared" si="290"/>
        <v xml:space="preserve"> </v>
      </c>
      <c r="B751" s="101"/>
      <c r="C751" s="100"/>
      <c r="D751" s="167" t="str">
        <f t="shared" si="291"/>
        <v xml:space="preserve"> </v>
      </c>
      <c r="E751" s="167" t="str">
        <f t="shared" si="291"/>
        <v xml:space="preserve"> </v>
      </c>
      <c r="F751" s="167" t="str">
        <f t="shared" si="291"/>
        <v xml:space="preserve"> </v>
      </c>
      <c r="G751" s="167" t="str">
        <f t="shared" si="291"/>
        <v xml:space="preserve"> </v>
      </c>
      <c r="H751" s="167" t="str">
        <f t="shared" si="291"/>
        <v xml:space="preserve"> </v>
      </c>
      <c r="I751" s="168" t="str">
        <f t="shared" si="291"/>
        <v xml:space="preserve"> </v>
      </c>
      <c r="J751" s="101"/>
      <c r="K751" s="165"/>
      <c r="Z751" s="54"/>
      <c r="CA751" s="166" t="str">
        <f t="shared" si="292"/>
        <v xml:space="preserve"> </v>
      </c>
      <c r="CB751" s="101"/>
      <c r="CC751" s="100"/>
      <c r="CD751" s="167" t="str">
        <f t="shared" si="293"/>
        <v xml:space="preserve"> </v>
      </c>
      <c r="CE751" s="167" t="str">
        <f t="shared" si="293"/>
        <v xml:space="preserve"> </v>
      </c>
      <c r="CF751" s="167" t="str">
        <f t="shared" si="293"/>
        <v xml:space="preserve"> </v>
      </c>
      <c r="CG751" s="167" t="str">
        <f t="shared" si="293"/>
        <v xml:space="preserve"> </v>
      </c>
      <c r="CH751" s="167" t="str">
        <f t="shared" si="293"/>
        <v xml:space="preserve"> </v>
      </c>
      <c r="CI751" s="168" t="str">
        <f t="shared" si="293"/>
        <v xml:space="preserve"> </v>
      </c>
      <c r="CJ751" s="101"/>
      <c r="CK751" s="165"/>
    </row>
    <row r="752" spans="1:89">
      <c r="A752" s="238" t="str">
        <f t="shared" si="290"/>
        <v xml:space="preserve"> </v>
      </c>
      <c r="B752" s="253"/>
      <c r="C752" s="247"/>
      <c r="D752" s="240" t="str">
        <f t="shared" si="291"/>
        <v xml:space="preserve"> </v>
      </c>
      <c r="E752" s="240" t="str">
        <f t="shared" si="291"/>
        <v xml:space="preserve"> </v>
      </c>
      <c r="F752" s="240" t="str">
        <f t="shared" si="291"/>
        <v xml:space="preserve"> </v>
      </c>
      <c r="G752" s="240" t="str">
        <f t="shared" si="291"/>
        <v xml:space="preserve"> </v>
      </c>
      <c r="H752" s="240" t="str">
        <f t="shared" si="291"/>
        <v xml:space="preserve"> </v>
      </c>
      <c r="I752" s="251" t="str">
        <f t="shared" si="291"/>
        <v xml:space="preserve"> </v>
      </c>
      <c r="J752" s="253"/>
      <c r="K752" s="254"/>
      <c r="Z752" s="54"/>
      <c r="CA752" s="238" t="str">
        <f t="shared" si="292"/>
        <v xml:space="preserve"> </v>
      </c>
      <c r="CB752" s="253"/>
      <c r="CC752" s="247"/>
      <c r="CD752" s="240" t="str">
        <f t="shared" si="293"/>
        <v xml:space="preserve"> </v>
      </c>
      <c r="CE752" s="240" t="str">
        <f t="shared" si="293"/>
        <v xml:space="preserve"> </v>
      </c>
      <c r="CF752" s="240" t="str">
        <f t="shared" si="293"/>
        <v xml:space="preserve"> </v>
      </c>
      <c r="CG752" s="240" t="str">
        <f t="shared" si="293"/>
        <v xml:space="preserve"> </v>
      </c>
      <c r="CH752" s="240" t="str">
        <f t="shared" si="293"/>
        <v xml:space="preserve"> </v>
      </c>
      <c r="CI752" s="251" t="str">
        <f t="shared" si="293"/>
        <v xml:space="preserve"> </v>
      </c>
      <c r="CJ752" s="253"/>
      <c r="CK752" s="254"/>
    </row>
    <row r="753" spans="1:89">
      <c r="A753" s="166" t="str">
        <f t="shared" si="290"/>
        <v xml:space="preserve"> </v>
      </c>
      <c r="B753" s="101"/>
      <c r="C753" s="100"/>
      <c r="D753" s="167" t="str">
        <f t="shared" si="291"/>
        <v xml:space="preserve"> </v>
      </c>
      <c r="E753" s="167" t="str">
        <f t="shared" si="291"/>
        <v xml:space="preserve"> </v>
      </c>
      <c r="F753" s="167" t="str">
        <f t="shared" si="291"/>
        <v xml:space="preserve"> </v>
      </c>
      <c r="G753" s="167" t="str">
        <f t="shared" si="291"/>
        <v xml:space="preserve"> </v>
      </c>
      <c r="H753" s="167" t="str">
        <f t="shared" si="291"/>
        <v xml:space="preserve"> </v>
      </c>
      <c r="I753" s="168" t="str">
        <f t="shared" si="291"/>
        <v xml:space="preserve"> </v>
      </c>
      <c r="J753" s="101"/>
      <c r="K753" s="165"/>
      <c r="Z753" s="54"/>
      <c r="CA753" s="166" t="str">
        <f t="shared" si="292"/>
        <v xml:space="preserve"> </v>
      </c>
      <c r="CB753" s="101"/>
      <c r="CC753" s="100"/>
      <c r="CD753" s="167" t="str">
        <f t="shared" si="293"/>
        <v xml:space="preserve"> </v>
      </c>
      <c r="CE753" s="167" t="str">
        <f t="shared" si="293"/>
        <v xml:space="preserve"> </v>
      </c>
      <c r="CF753" s="167" t="str">
        <f t="shared" si="293"/>
        <v xml:space="preserve"> </v>
      </c>
      <c r="CG753" s="167" t="str">
        <f t="shared" si="293"/>
        <v xml:space="preserve"> </v>
      </c>
      <c r="CH753" s="167" t="str">
        <f t="shared" si="293"/>
        <v xml:space="preserve"> </v>
      </c>
      <c r="CI753" s="168" t="str">
        <f t="shared" si="293"/>
        <v xml:space="preserve"> </v>
      </c>
      <c r="CJ753" s="101"/>
      <c r="CK753" s="165"/>
    </row>
    <row r="754" spans="1:89">
      <c r="A754" s="238" t="str">
        <f t="shared" si="290"/>
        <v xml:space="preserve"> </v>
      </c>
      <c r="B754" s="253"/>
      <c r="C754" s="247"/>
      <c r="D754" s="240" t="str">
        <f t="shared" si="291"/>
        <v xml:space="preserve"> </v>
      </c>
      <c r="E754" s="240" t="str">
        <f t="shared" si="291"/>
        <v xml:space="preserve"> </v>
      </c>
      <c r="F754" s="240" t="str">
        <f t="shared" si="291"/>
        <v xml:space="preserve"> </v>
      </c>
      <c r="G754" s="240" t="str">
        <f t="shared" si="291"/>
        <v xml:space="preserve"> </v>
      </c>
      <c r="H754" s="240" t="str">
        <f t="shared" si="291"/>
        <v xml:space="preserve"> </v>
      </c>
      <c r="I754" s="251" t="str">
        <f t="shared" si="291"/>
        <v xml:space="preserve"> </v>
      </c>
      <c r="J754" s="253"/>
      <c r="K754" s="254"/>
      <c r="Z754" s="54"/>
      <c r="CA754" s="238" t="str">
        <f t="shared" si="292"/>
        <v xml:space="preserve"> </v>
      </c>
      <c r="CB754" s="253"/>
      <c r="CC754" s="247"/>
      <c r="CD754" s="240" t="str">
        <f t="shared" si="293"/>
        <v xml:space="preserve"> </v>
      </c>
      <c r="CE754" s="240" t="str">
        <f t="shared" si="293"/>
        <v xml:space="preserve"> </v>
      </c>
      <c r="CF754" s="240" t="str">
        <f t="shared" si="293"/>
        <v xml:space="preserve"> </v>
      </c>
      <c r="CG754" s="240" t="str">
        <f t="shared" si="293"/>
        <v xml:space="preserve"> </v>
      </c>
      <c r="CH754" s="240" t="str">
        <f t="shared" si="293"/>
        <v xml:space="preserve"> </v>
      </c>
      <c r="CI754" s="251" t="str">
        <f t="shared" si="293"/>
        <v xml:space="preserve"> </v>
      </c>
      <c r="CJ754" s="253"/>
      <c r="CK754" s="254"/>
    </row>
    <row r="755" spans="1:89">
      <c r="A755" s="166" t="str">
        <f t="shared" si="290"/>
        <v xml:space="preserve"> </v>
      </c>
      <c r="B755" s="101"/>
      <c r="C755" s="100"/>
      <c r="D755" s="167" t="str">
        <f t="shared" si="291"/>
        <v xml:space="preserve"> </v>
      </c>
      <c r="E755" s="167" t="str">
        <f t="shared" si="291"/>
        <v xml:space="preserve"> </v>
      </c>
      <c r="F755" s="167" t="str">
        <f t="shared" si="291"/>
        <v xml:space="preserve"> </v>
      </c>
      <c r="G755" s="167" t="str">
        <f t="shared" si="291"/>
        <v xml:space="preserve"> </v>
      </c>
      <c r="H755" s="167" t="str">
        <f t="shared" si="291"/>
        <v xml:space="preserve"> </v>
      </c>
      <c r="I755" s="168" t="str">
        <f t="shared" si="291"/>
        <v xml:space="preserve"> </v>
      </c>
      <c r="J755" s="101"/>
      <c r="K755" s="165"/>
      <c r="Z755" s="54"/>
      <c r="CA755" s="166" t="str">
        <f t="shared" si="292"/>
        <v xml:space="preserve"> </v>
      </c>
      <c r="CB755" s="101"/>
      <c r="CC755" s="100"/>
      <c r="CD755" s="167" t="str">
        <f t="shared" si="293"/>
        <v xml:space="preserve"> </v>
      </c>
      <c r="CE755" s="167" t="str">
        <f t="shared" si="293"/>
        <v xml:space="preserve"> </v>
      </c>
      <c r="CF755" s="167" t="str">
        <f t="shared" si="293"/>
        <v xml:space="preserve"> </v>
      </c>
      <c r="CG755" s="167" t="str">
        <f t="shared" si="293"/>
        <v xml:space="preserve"> </v>
      </c>
      <c r="CH755" s="167" t="str">
        <f t="shared" si="293"/>
        <v xml:space="preserve"> </v>
      </c>
      <c r="CI755" s="168" t="str">
        <f t="shared" si="293"/>
        <v xml:space="preserve"> </v>
      </c>
      <c r="CJ755" s="101"/>
      <c r="CK755" s="165"/>
    </row>
    <row r="756" spans="1:89">
      <c r="A756" s="238" t="str">
        <f t="shared" si="290"/>
        <v xml:space="preserve"> </v>
      </c>
      <c r="B756" s="253"/>
      <c r="C756" s="247"/>
      <c r="D756" s="240" t="str">
        <f t="shared" si="291"/>
        <v xml:space="preserve"> </v>
      </c>
      <c r="E756" s="240" t="str">
        <f t="shared" si="291"/>
        <v xml:space="preserve"> </v>
      </c>
      <c r="F756" s="240" t="str">
        <f t="shared" si="291"/>
        <v xml:space="preserve"> </v>
      </c>
      <c r="G756" s="240" t="str">
        <f t="shared" si="291"/>
        <v xml:space="preserve"> </v>
      </c>
      <c r="H756" s="240" t="str">
        <f t="shared" si="291"/>
        <v xml:space="preserve"> </v>
      </c>
      <c r="I756" s="251" t="str">
        <f t="shared" si="291"/>
        <v xml:space="preserve"> </v>
      </c>
      <c r="J756" s="253"/>
      <c r="K756" s="254"/>
      <c r="Z756" s="54"/>
      <c r="CA756" s="238" t="str">
        <f t="shared" si="292"/>
        <v xml:space="preserve"> </v>
      </c>
      <c r="CB756" s="253"/>
      <c r="CC756" s="247"/>
      <c r="CD756" s="240" t="str">
        <f t="shared" si="293"/>
        <v xml:space="preserve"> </v>
      </c>
      <c r="CE756" s="240" t="str">
        <f t="shared" si="293"/>
        <v xml:space="preserve"> </v>
      </c>
      <c r="CF756" s="240" t="str">
        <f t="shared" si="293"/>
        <v xml:space="preserve"> </v>
      </c>
      <c r="CG756" s="240" t="str">
        <f t="shared" si="293"/>
        <v xml:space="preserve"> </v>
      </c>
      <c r="CH756" s="240" t="str">
        <f t="shared" si="293"/>
        <v xml:space="preserve"> </v>
      </c>
      <c r="CI756" s="251" t="str">
        <f t="shared" si="293"/>
        <v xml:space="preserve"> </v>
      </c>
      <c r="CJ756" s="253"/>
      <c r="CK756" s="254"/>
    </row>
    <row r="757" spans="1:89">
      <c r="A757" s="166" t="str">
        <f t="shared" si="290"/>
        <v xml:space="preserve"> </v>
      </c>
      <c r="B757" s="101"/>
      <c r="C757" s="100"/>
      <c r="D757" s="167" t="str">
        <f t="shared" si="291"/>
        <v xml:space="preserve"> </v>
      </c>
      <c r="E757" s="167" t="str">
        <f t="shared" si="291"/>
        <v xml:space="preserve"> </v>
      </c>
      <c r="F757" s="167" t="str">
        <f t="shared" si="291"/>
        <v xml:space="preserve"> </v>
      </c>
      <c r="G757" s="167" t="str">
        <f t="shared" si="291"/>
        <v xml:space="preserve"> </v>
      </c>
      <c r="H757" s="167" t="str">
        <f t="shared" si="291"/>
        <v xml:space="preserve"> </v>
      </c>
      <c r="I757" s="168" t="str">
        <f t="shared" si="291"/>
        <v xml:space="preserve"> </v>
      </c>
      <c r="J757" s="101"/>
      <c r="K757" s="165"/>
      <c r="Z757" s="54"/>
      <c r="CA757" s="166" t="str">
        <f t="shared" si="292"/>
        <v xml:space="preserve"> </v>
      </c>
      <c r="CB757" s="101"/>
      <c r="CC757" s="100"/>
      <c r="CD757" s="167" t="str">
        <f t="shared" si="293"/>
        <v xml:space="preserve"> </v>
      </c>
      <c r="CE757" s="167" t="str">
        <f t="shared" si="293"/>
        <v xml:space="preserve"> </v>
      </c>
      <c r="CF757" s="167" t="str">
        <f t="shared" si="293"/>
        <v xml:space="preserve"> </v>
      </c>
      <c r="CG757" s="167" t="str">
        <f t="shared" si="293"/>
        <v xml:space="preserve"> </v>
      </c>
      <c r="CH757" s="167" t="str">
        <f t="shared" si="293"/>
        <v xml:space="preserve"> </v>
      </c>
      <c r="CI757" s="168" t="str">
        <f t="shared" si="293"/>
        <v xml:space="preserve"> </v>
      </c>
      <c r="CJ757" s="101"/>
      <c r="CK757" s="165"/>
    </row>
    <row r="758" spans="1:89">
      <c r="A758" s="238" t="str">
        <f t="shared" si="290"/>
        <v xml:space="preserve"> </v>
      </c>
      <c r="B758" s="253"/>
      <c r="C758" s="247"/>
      <c r="D758" s="240" t="str">
        <f t="shared" si="291"/>
        <v xml:space="preserve"> </v>
      </c>
      <c r="E758" s="240" t="str">
        <f t="shared" si="291"/>
        <v xml:space="preserve"> </v>
      </c>
      <c r="F758" s="240" t="str">
        <f t="shared" si="291"/>
        <v xml:space="preserve"> </v>
      </c>
      <c r="G758" s="240" t="str">
        <f t="shared" si="291"/>
        <v xml:space="preserve"> </v>
      </c>
      <c r="H758" s="240" t="str">
        <f t="shared" si="291"/>
        <v xml:space="preserve"> </v>
      </c>
      <c r="I758" s="251" t="str">
        <f t="shared" si="291"/>
        <v xml:space="preserve"> </v>
      </c>
      <c r="J758" s="253"/>
      <c r="K758" s="254"/>
      <c r="Z758" s="54"/>
      <c r="CA758" s="238" t="str">
        <f t="shared" si="292"/>
        <v xml:space="preserve"> </v>
      </c>
      <c r="CB758" s="253"/>
      <c r="CC758" s="247"/>
      <c r="CD758" s="240" t="str">
        <f t="shared" si="293"/>
        <v xml:space="preserve"> </v>
      </c>
      <c r="CE758" s="240" t="str">
        <f t="shared" si="293"/>
        <v xml:space="preserve"> </v>
      </c>
      <c r="CF758" s="240" t="str">
        <f t="shared" si="293"/>
        <v xml:space="preserve"> </v>
      </c>
      <c r="CG758" s="240" t="str">
        <f t="shared" si="293"/>
        <v xml:space="preserve"> </v>
      </c>
      <c r="CH758" s="240" t="str">
        <f t="shared" si="293"/>
        <v xml:space="preserve"> </v>
      </c>
      <c r="CI758" s="251" t="str">
        <f t="shared" si="293"/>
        <v xml:space="preserve"> </v>
      </c>
      <c r="CJ758" s="253"/>
      <c r="CK758" s="254"/>
    </row>
    <row r="759" spans="1:89">
      <c r="A759" s="166" t="str">
        <f t="shared" si="290"/>
        <v xml:space="preserve"> </v>
      </c>
      <c r="B759" s="101"/>
      <c r="C759" s="100"/>
      <c r="D759" s="167" t="str">
        <f t="shared" ref="D759:I763" si="294">IF(AND(D1559&gt;0,$E$134&gt;2),D1559," ")</f>
        <v xml:space="preserve"> </v>
      </c>
      <c r="E759" s="167" t="str">
        <f t="shared" si="294"/>
        <v xml:space="preserve"> </v>
      </c>
      <c r="F759" s="167" t="str">
        <f t="shared" si="294"/>
        <v xml:space="preserve"> </v>
      </c>
      <c r="G759" s="167" t="str">
        <f t="shared" si="294"/>
        <v xml:space="preserve"> </v>
      </c>
      <c r="H759" s="167" t="str">
        <f t="shared" si="294"/>
        <v xml:space="preserve"> </v>
      </c>
      <c r="I759" s="168" t="str">
        <f t="shared" si="294"/>
        <v xml:space="preserve"> </v>
      </c>
      <c r="J759" s="101"/>
      <c r="K759" s="165"/>
      <c r="Z759" s="54"/>
      <c r="CA759" s="166" t="str">
        <f t="shared" si="292"/>
        <v xml:space="preserve"> </v>
      </c>
      <c r="CB759" s="101"/>
      <c r="CC759" s="100"/>
      <c r="CD759" s="167" t="str">
        <f t="shared" ref="CD759:CI763" si="295">IF(AND(CD1559&gt;0,$E$134&gt;2),CD1559," ")</f>
        <v xml:space="preserve"> </v>
      </c>
      <c r="CE759" s="167" t="str">
        <f t="shared" si="295"/>
        <v xml:space="preserve"> </v>
      </c>
      <c r="CF759" s="167" t="str">
        <f t="shared" si="295"/>
        <v xml:space="preserve"> </v>
      </c>
      <c r="CG759" s="167" t="str">
        <f t="shared" si="295"/>
        <v xml:space="preserve"> </v>
      </c>
      <c r="CH759" s="167" t="str">
        <f t="shared" si="295"/>
        <v xml:space="preserve"> </v>
      </c>
      <c r="CI759" s="168" t="str">
        <f t="shared" si="295"/>
        <v xml:space="preserve"> </v>
      </c>
      <c r="CJ759" s="101"/>
      <c r="CK759" s="165"/>
    </row>
    <row r="760" spans="1:89">
      <c r="A760" s="238" t="str">
        <f t="shared" si="290"/>
        <v xml:space="preserve"> </v>
      </c>
      <c r="B760" s="253"/>
      <c r="C760" s="247"/>
      <c r="D760" s="240" t="str">
        <f t="shared" si="294"/>
        <v xml:space="preserve"> </v>
      </c>
      <c r="E760" s="240" t="str">
        <f t="shared" si="294"/>
        <v xml:space="preserve"> </v>
      </c>
      <c r="F760" s="240" t="str">
        <f t="shared" si="294"/>
        <v xml:space="preserve"> </v>
      </c>
      <c r="G760" s="240" t="str">
        <f t="shared" si="294"/>
        <v xml:space="preserve"> </v>
      </c>
      <c r="H760" s="240" t="str">
        <f t="shared" si="294"/>
        <v xml:space="preserve"> </v>
      </c>
      <c r="I760" s="251" t="str">
        <f t="shared" si="294"/>
        <v xml:space="preserve"> </v>
      </c>
      <c r="J760" s="253"/>
      <c r="K760" s="254"/>
      <c r="Z760" s="54"/>
      <c r="CA760" s="238" t="str">
        <f t="shared" si="292"/>
        <v xml:space="preserve"> </v>
      </c>
      <c r="CB760" s="253"/>
      <c r="CC760" s="247"/>
      <c r="CD760" s="240" t="str">
        <f t="shared" si="295"/>
        <v xml:space="preserve"> </v>
      </c>
      <c r="CE760" s="240" t="str">
        <f t="shared" si="295"/>
        <v xml:space="preserve"> </v>
      </c>
      <c r="CF760" s="240" t="str">
        <f t="shared" si="295"/>
        <v xml:space="preserve"> </v>
      </c>
      <c r="CG760" s="240" t="str">
        <f t="shared" si="295"/>
        <v xml:space="preserve"> </v>
      </c>
      <c r="CH760" s="240" t="str">
        <f t="shared" si="295"/>
        <v xml:space="preserve"> </v>
      </c>
      <c r="CI760" s="251" t="str">
        <f t="shared" si="295"/>
        <v xml:space="preserve"> </v>
      </c>
      <c r="CJ760" s="253"/>
      <c r="CK760" s="254"/>
    </row>
    <row r="761" spans="1:89">
      <c r="A761" s="166" t="str">
        <f t="shared" si="290"/>
        <v xml:space="preserve"> </v>
      </c>
      <c r="B761" s="101"/>
      <c r="C761" s="100"/>
      <c r="D761" s="167" t="str">
        <f t="shared" si="294"/>
        <v xml:space="preserve"> </v>
      </c>
      <c r="E761" s="167" t="str">
        <f t="shared" si="294"/>
        <v xml:space="preserve"> </v>
      </c>
      <c r="F761" s="167" t="str">
        <f t="shared" si="294"/>
        <v xml:space="preserve"> </v>
      </c>
      <c r="G761" s="167" t="str">
        <f t="shared" si="294"/>
        <v xml:space="preserve"> </v>
      </c>
      <c r="H761" s="167" t="str">
        <f t="shared" si="294"/>
        <v xml:space="preserve"> </v>
      </c>
      <c r="I761" s="168" t="str">
        <f t="shared" si="294"/>
        <v xml:space="preserve"> </v>
      </c>
      <c r="J761" s="101"/>
      <c r="K761" s="165"/>
      <c r="Z761" s="54"/>
      <c r="CA761" s="166" t="str">
        <f t="shared" si="292"/>
        <v xml:space="preserve"> </v>
      </c>
      <c r="CB761" s="101"/>
      <c r="CC761" s="100"/>
      <c r="CD761" s="167" t="str">
        <f t="shared" si="295"/>
        <v xml:space="preserve"> </v>
      </c>
      <c r="CE761" s="167" t="str">
        <f t="shared" si="295"/>
        <v xml:space="preserve"> </v>
      </c>
      <c r="CF761" s="167" t="str">
        <f t="shared" si="295"/>
        <v xml:space="preserve"> </v>
      </c>
      <c r="CG761" s="167" t="str">
        <f t="shared" si="295"/>
        <v xml:space="preserve"> </v>
      </c>
      <c r="CH761" s="167" t="str">
        <f t="shared" si="295"/>
        <v xml:space="preserve"> </v>
      </c>
      <c r="CI761" s="168" t="str">
        <f t="shared" si="295"/>
        <v xml:space="preserve"> </v>
      </c>
      <c r="CJ761" s="101"/>
      <c r="CK761" s="165"/>
    </row>
    <row r="762" spans="1:89">
      <c r="A762" s="238" t="str">
        <f t="shared" si="290"/>
        <v xml:space="preserve"> </v>
      </c>
      <c r="B762" s="253"/>
      <c r="C762" s="247"/>
      <c r="D762" s="240" t="str">
        <f t="shared" si="294"/>
        <v xml:space="preserve"> </v>
      </c>
      <c r="E762" s="240" t="str">
        <f t="shared" si="294"/>
        <v xml:space="preserve"> </v>
      </c>
      <c r="F762" s="240" t="str">
        <f t="shared" si="294"/>
        <v xml:space="preserve"> </v>
      </c>
      <c r="G762" s="240" t="str">
        <f t="shared" si="294"/>
        <v xml:space="preserve"> </v>
      </c>
      <c r="H762" s="240" t="str">
        <f t="shared" si="294"/>
        <v xml:space="preserve"> </v>
      </c>
      <c r="I762" s="251" t="str">
        <f t="shared" si="294"/>
        <v xml:space="preserve"> </v>
      </c>
      <c r="J762" s="253"/>
      <c r="K762" s="254"/>
      <c r="Z762" s="54"/>
      <c r="CA762" s="238" t="str">
        <f t="shared" si="292"/>
        <v xml:space="preserve"> </v>
      </c>
      <c r="CB762" s="253"/>
      <c r="CC762" s="247"/>
      <c r="CD762" s="240" t="str">
        <f t="shared" si="295"/>
        <v xml:space="preserve"> </v>
      </c>
      <c r="CE762" s="240" t="str">
        <f t="shared" si="295"/>
        <v xml:space="preserve"> </v>
      </c>
      <c r="CF762" s="240" t="str">
        <f t="shared" si="295"/>
        <v xml:space="preserve"> </v>
      </c>
      <c r="CG762" s="240" t="str">
        <f t="shared" si="295"/>
        <v xml:space="preserve"> </v>
      </c>
      <c r="CH762" s="240" t="str">
        <f t="shared" si="295"/>
        <v xml:space="preserve"> </v>
      </c>
      <c r="CI762" s="251" t="str">
        <f t="shared" si="295"/>
        <v xml:space="preserve"> </v>
      </c>
      <c r="CJ762" s="253"/>
      <c r="CK762" s="254"/>
    </row>
    <row r="763" spans="1:89">
      <c r="A763" s="181" t="str">
        <f t="shared" si="290"/>
        <v xml:space="preserve"> </v>
      </c>
      <c r="B763" s="103"/>
      <c r="C763" s="100"/>
      <c r="D763" s="100" t="str">
        <f t="shared" si="294"/>
        <v xml:space="preserve"> </v>
      </c>
      <c r="E763" s="100" t="str">
        <f t="shared" si="294"/>
        <v xml:space="preserve"> </v>
      </c>
      <c r="F763" s="100" t="str">
        <f t="shared" si="294"/>
        <v xml:space="preserve"> </v>
      </c>
      <c r="G763" s="100" t="str">
        <f t="shared" si="294"/>
        <v xml:space="preserve"> </v>
      </c>
      <c r="H763" s="100" t="str">
        <f t="shared" si="294"/>
        <v xml:space="preserve"> </v>
      </c>
      <c r="I763" s="177" t="str">
        <f t="shared" si="294"/>
        <v xml:space="preserve"> </v>
      </c>
      <c r="J763" s="103"/>
      <c r="K763" s="182"/>
      <c r="Z763" s="54"/>
      <c r="CA763" s="181" t="str">
        <f t="shared" si="292"/>
        <v xml:space="preserve"> </v>
      </c>
      <c r="CB763" s="103"/>
      <c r="CC763" s="100"/>
      <c r="CD763" s="100" t="str">
        <f t="shared" si="295"/>
        <v xml:space="preserve"> </v>
      </c>
      <c r="CE763" s="100" t="str">
        <f t="shared" si="295"/>
        <v xml:space="preserve"> </v>
      </c>
      <c r="CF763" s="100" t="str">
        <f t="shared" si="295"/>
        <v xml:space="preserve"> </v>
      </c>
      <c r="CG763" s="100" t="str">
        <f t="shared" si="295"/>
        <v xml:space="preserve"> </v>
      </c>
      <c r="CH763" s="100" t="str">
        <f t="shared" si="295"/>
        <v xml:space="preserve"> </v>
      </c>
      <c r="CI763" s="177" t="str">
        <f t="shared" si="295"/>
        <v xml:space="preserve"> </v>
      </c>
      <c r="CJ763" s="103"/>
      <c r="CK763" s="182"/>
    </row>
    <row r="764" spans="1:89">
      <c r="A764" s="179" t="s">
        <v>5025</v>
      </c>
      <c r="B764" s="102"/>
      <c r="C764" s="175" t="s">
        <v>5018</v>
      </c>
      <c r="D764" s="175" t="s">
        <v>5701</v>
      </c>
      <c r="E764" s="175" t="s">
        <v>5019</v>
      </c>
      <c r="F764" s="175" t="s">
        <v>5020</v>
      </c>
      <c r="G764" s="175" t="s">
        <v>5021</v>
      </c>
      <c r="H764" s="175" t="s">
        <v>5022</v>
      </c>
      <c r="I764" s="221" t="s">
        <v>5316</v>
      </c>
      <c r="J764" s="176"/>
      <c r="K764" s="180"/>
      <c r="Z764" s="54"/>
      <c r="CA764" s="179" t="s">
        <v>5025</v>
      </c>
      <c r="CB764" s="102"/>
      <c r="CC764" s="175" t="s">
        <v>5018</v>
      </c>
      <c r="CD764" s="175" t="s">
        <v>5701</v>
      </c>
      <c r="CE764" s="175" t="s">
        <v>5019</v>
      </c>
      <c r="CF764" s="175" t="s">
        <v>5020</v>
      </c>
      <c r="CG764" s="175" t="s">
        <v>5021</v>
      </c>
      <c r="CH764" s="175" t="s">
        <v>5022</v>
      </c>
      <c r="CI764" s="221" t="s">
        <v>5316</v>
      </c>
      <c r="CJ764" s="176"/>
      <c r="CK764" s="180"/>
    </row>
    <row r="765" spans="1:89">
      <c r="A765" s="166" t="str">
        <f t="shared" ref="A765:A782" si="296">IF(AND(A1565&gt;0,$E$134&gt;3),A1565," ")</f>
        <v xml:space="preserve"> </v>
      </c>
      <c r="B765" s="101"/>
      <c r="C765" s="100"/>
      <c r="D765" s="167" t="str">
        <f t="shared" ref="D765:I780" si="297">IF(AND(D1565&gt;0,$E$134&gt;3),D1565," ")</f>
        <v xml:space="preserve"> </v>
      </c>
      <c r="E765" s="167" t="str">
        <f t="shared" si="297"/>
        <v xml:space="preserve"> </v>
      </c>
      <c r="F765" s="167" t="str">
        <f t="shared" si="297"/>
        <v xml:space="preserve"> </v>
      </c>
      <c r="G765" s="167" t="str">
        <f t="shared" si="297"/>
        <v xml:space="preserve"> </v>
      </c>
      <c r="H765" s="167" t="str">
        <f t="shared" si="297"/>
        <v xml:space="preserve"> </v>
      </c>
      <c r="I765" s="168" t="str">
        <f t="shared" si="297"/>
        <v xml:space="preserve"> </v>
      </c>
      <c r="J765" s="101"/>
      <c r="K765" s="165"/>
      <c r="Z765" s="54"/>
      <c r="CA765" s="166" t="str">
        <f t="shared" ref="CA765:CA782" si="298">IF(AND(CA1565&gt;0,$E$134&gt;3),CA1565," ")</f>
        <v xml:space="preserve"> </v>
      </c>
      <c r="CB765" s="101"/>
      <c r="CC765" s="100"/>
      <c r="CD765" s="167" t="str">
        <f t="shared" ref="CD765:CI780" si="299">IF(AND(CD1565&gt;0,$E$134&gt;3),CD1565," ")</f>
        <v xml:space="preserve"> </v>
      </c>
      <c r="CE765" s="167" t="str">
        <f t="shared" si="299"/>
        <v xml:space="preserve"> </v>
      </c>
      <c r="CF765" s="167" t="str">
        <f t="shared" si="299"/>
        <v xml:space="preserve"> </v>
      </c>
      <c r="CG765" s="167" t="str">
        <f t="shared" si="299"/>
        <v xml:space="preserve"> </v>
      </c>
      <c r="CH765" s="167" t="str">
        <f t="shared" si="299"/>
        <v xml:space="preserve"> </v>
      </c>
      <c r="CI765" s="168" t="str">
        <f t="shared" si="299"/>
        <v xml:space="preserve"> </v>
      </c>
      <c r="CJ765" s="101"/>
      <c r="CK765" s="165"/>
    </row>
    <row r="766" spans="1:89">
      <c r="A766" s="238" t="str">
        <f t="shared" si="296"/>
        <v xml:space="preserve"> </v>
      </c>
      <c r="B766" s="253"/>
      <c r="C766" s="247"/>
      <c r="D766" s="240" t="str">
        <f t="shared" si="297"/>
        <v xml:space="preserve"> </v>
      </c>
      <c r="E766" s="240" t="str">
        <f t="shared" si="297"/>
        <v xml:space="preserve"> </v>
      </c>
      <c r="F766" s="240" t="str">
        <f t="shared" si="297"/>
        <v xml:space="preserve"> </v>
      </c>
      <c r="G766" s="240" t="str">
        <f t="shared" si="297"/>
        <v xml:space="preserve"> </v>
      </c>
      <c r="H766" s="240" t="str">
        <f t="shared" si="297"/>
        <v xml:space="preserve"> </v>
      </c>
      <c r="I766" s="251" t="str">
        <f t="shared" si="297"/>
        <v xml:space="preserve"> </v>
      </c>
      <c r="J766" s="253"/>
      <c r="K766" s="254"/>
      <c r="Z766" s="54"/>
      <c r="CA766" s="238" t="str">
        <f t="shared" si="298"/>
        <v xml:space="preserve"> </v>
      </c>
      <c r="CB766" s="253"/>
      <c r="CC766" s="247"/>
      <c r="CD766" s="240" t="str">
        <f t="shared" si="299"/>
        <v xml:space="preserve"> </v>
      </c>
      <c r="CE766" s="240" t="str">
        <f t="shared" si="299"/>
        <v xml:space="preserve"> </v>
      </c>
      <c r="CF766" s="240" t="str">
        <f t="shared" si="299"/>
        <v xml:space="preserve"> </v>
      </c>
      <c r="CG766" s="240" t="str">
        <f t="shared" si="299"/>
        <v xml:space="preserve"> </v>
      </c>
      <c r="CH766" s="240" t="str">
        <f t="shared" si="299"/>
        <v xml:space="preserve"> </v>
      </c>
      <c r="CI766" s="251" t="str">
        <f t="shared" si="299"/>
        <v xml:space="preserve"> </v>
      </c>
      <c r="CJ766" s="253"/>
      <c r="CK766" s="254"/>
    </row>
    <row r="767" spans="1:89">
      <c r="A767" s="166" t="str">
        <f t="shared" si="296"/>
        <v xml:space="preserve"> </v>
      </c>
      <c r="B767" s="101"/>
      <c r="C767" s="100"/>
      <c r="D767" s="167" t="str">
        <f t="shared" si="297"/>
        <v xml:space="preserve"> </v>
      </c>
      <c r="E767" s="167" t="str">
        <f t="shared" si="297"/>
        <v xml:space="preserve"> </v>
      </c>
      <c r="F767" s="167" t="str">
        <f t="shared" si="297"/>
        <v xml:space="preserve"> </v>
      </c>
      <c r="G767" s="167" t="str">
        <f t="shared" si="297"/>
        <v xml:space="preserve"> </v>
      </c>
      <c r="H767" s="167" t="str">
        <f t="shared" si="297"/>
        <v xml:space="preserve"> </v>
      </c>
      <c r="I767" s="168" t="str">
        <f t="shared" si="297"/>
        <v xml:space="preserve"> </v>
      </c>
      <c r="J767" s="101"/>
      <c r="K767" s="165"/>
      <c r="Z767" s="54"/>
      <c r="CA767" s="166" t="str">
        <f t="shared" si="298"/>
        <v xml:space="preserve"> </v>
      </c>
      <c r="CB767" s="101"/>
      <c r="CC767" s="100"/>
      <c r="CD767" s="167" t="str">
        <f t="shared" si="299"/>
        <v xml:space="preserve"> </v>
      </c>
      <c r="CE767" s="167" t="str">
        <f t="shared" si="299"/>
        <v xml:space="preserve"> </v>
      </c>
      <c r="CF767" s="167" t="str">
        <f t="shared" si="299"/>
        <v xml:space="preserve"> </v>
      </c>
      <c r="CG767" s="167" t="str">
        <f t="shared" si="299"/>
        <v xml:space="preserve"> </v>
      </c>
      <c r="CH767" s="167" t="str">
        <f t="shared" si="299"/>
        <v xml:space="preserve"> </v>
      </c>
      <c r="CI767" s="168" t="str">
        <f t="shared" si="299"/>
        <v xml:space="preserve"> </v>
      </c>
      <c r="CJ767" s="101"/>
      <c r="CK767" s="165"/>
    </row>
    <row r="768" spans="1:89">
      <c r="A768" s="238" t="str">
        <f t="shared" si="296"/>
        <v xml:space="preserve"> </v>
      </c>
      <c r="B768" s="253"/>
      <c r="C768" s="247"/>
      <c r="D768" s="240" t="str">
        <f t="shared" si="297"/>
        <v xml:space="preserve"> </v>
      </c>
      <c r="E768" s="240" t="str">
        <f t="shared" si="297"/>
        <v xml:space="preserve"> </v>
      </c>
      <c r="F768" s="240" t="str">
        <f t="shared" si="297"/>
        <v xml:space="preserve"> </v>
      </c>
      <c r="G768" s="240" t="str">
        <f t="shared" si="297"/>
        <v xml:space="preserve"> </v>
      </c>
      <c r="H768" s="240" t="str">
        <f t="shared" si="297"/>
        <v xml:space="preserve"> </v>
      </c>
      <c r="I768" s="251" t="str">
        <f t="shared" si="297"/>
        <v xml:space="preserve"> </v>
      </c>
      <c r="J768" s="253"/>
      <c r="K768" s="254"/>
      <c r="Z768" s="54"/>
      <c r="CA768" s="238" t="str">
        <f t="shared" si="298"/>
        <v xml:space="preserve"> </v>
      </c>
      <c r="CB768" s="253"/>
      <c r="CC768" s="247"/>
      <c r="CD768" s="240" t="str">
        <f t="shared" si="299"/>
        <v xml:space="preserve"> </v>
      </c>
      <c r="CE768" s="240" t="str">
        <f t="shared" si="299"/>
        <v xml:space="preserve"> </v>
      </c>
      <c r="CF768" s="240" t="str">
        <f t="shared" si="299"/>
        <v xml:space="preserve"> </v>
      </c>
      <c r="CG768" s="240" t="str">
        <f t="shared" si="299"/>
        <v xml:space="preserve"> </v>
      </c>
      <c r="CH768" s="240" t="str">
        <f t="shared" si="299"/>
        <v xml:space="preserve"> </v>
      </c>
      <c r="CI768" s="251" t="str">
        <f t="shared" si="299"/>
        <v xml:space="preserve"> </v>
      </c>
      <c r="CJ768" s="253"/>
      <c r="CK768" s="254"/>
    </row>
    <row r="769" spans="1:89">
      <c r="A769" s="166" t="str">
        <f t="shared" si="296"/>
        <v xml:space="preserve"> </v>
      </c>
      <c r="B769" s="101"/>
      <c r="C769" s="100"/>
      <c r="D769" s="167" t="str">
        <f t="shared" si="297"/>
        <v xml:space="preserve"> </v>
      </c>
      <c r="E769" s="167" t="str">
        <f t="shared" si="297"/>
        <v xml:space="preserve"> </v>
      </c>
      <c r="F769" s="167" t="str">
        <f t="shared" si="297"/>
        <v xml:space="preserve"> </v>
      </c>
      <c r="G769" s="167" t="str">
        <f t="shared" si="297"/>
        <v xml:space="preserve"> </v>
      </c>
      <c r="H769" s="167" t="str">
        <f t="shared" si="297"/>
        <v xml:space="preserve"> </v>
      </c>
      <c r="I769" s="168" t="str">
        <f t="shared" si="297"/>
        <v xml:space="preserve"> </v>
      </c>
      <c r="J769" s="101"/>
      <c r="K769" s="165"/>
      <c r="Z769" s="54"/>
      <c r="CA769" s="166" t="str">
        <f t="shared" si="298"/>
        <v xml:space="preserve"> </v>
      </c>
      <c r="CB769" s="101"/>
      <c r="CC769" s="100"/>
      <c r="CD769" s="167" t="str">
        <f t="shared" si="299"/>
        <v xml:space="preserve"> </v>
      </c>
      <c r="CE769" s="167" t="str">
        <f t="shared" si="299"/>
        <v xml:space="preserve"> </v>
      </c>
      <c r="CF769" s="167" t="str">
        <f t="shared" si="299"/>
        <v xml:space="preserve"> </v>
      </c>
      <c r="CG769" s="167" t="str">
        <f t="shared" si="299"/>
        <v xml:space="preserve"> </v>
      </c>
      <c r="CH769" s="167" t="str">
        <f t="shared" si="299"/>
        <v xml:space="preserve"> </v>
      </c>
      <c r="CI769" s="168" t="str">
        <f t="shared" si="299"/>
        <v xml:space="preserve"> </v>
      </c>
      <c r="CJ769" s="101"/>
      <c r="CK769" s="165"/>
    </row>
    <row r="770" spans="1:89">
      <c r="A770" s="238" t="str">
        <f t="shared" si="296"/>
        <v xml:space="preserve"> </v>
      </c>
      <c r="B770" s="253"/>
      <c r="C770" s="247"/>
      <c r="D770" s="240" t="str">
        <f t="shared" si="297"/>
        <v xml:space="preserve"> </v>
      </c>
      <c r="E770" s="240" t="str">
        <f t="shared" si="297"/>
        <v xml:space="preserve"> </v>
      </c>
      <c r="F770" s="240" t="str">
        <f t="shared" si="297"/>
        <v xml:space="preserve"> </v>
      </c>
      <c r="G770" s="240" t="str">
        <f t="shared" si="297"/>
        <v xml:space="preserve"> </v>
      </c>
      <c r="H770" s="240" t="str">
        <f t="shared" si="297"/>
        <v xml:space="preserve"> </v>
      </c>
      <c r="I770" s="251" t="str">
        <f t="shared" si="297"/>
        <v xml:space="preserve"> </v>
      </c>
      <c r="J770" s="253"/>
      <c r="K770" s="254"/>
      <c r="Z770" s="54"/>
      <c r="CA770" s="238" t="str">
        <f t="shared" si="298"/>
        <v xml:space="preserve"> </v>
      </c>
      <c r="CB770" s="253"/>
      <c r="CC770" s="247"/>
      <c r="CD770" s="240" t="str">
        <f t="shared" si="299"/>
        <v xml:space="preserve"> </v>
      </c>
      <c r="CE770" s="240" t="str">
        <f t="shared" si="299"/>
        <v xml:space="preserve"> </v>
      </c>
      <c r="CF770" s="240" t="str">
        <f t="shared" si="299"/>
        <v xml:space="preserve"> </v>
      </c>
      <c r="CG770" s="240" t="str">
        <f t="shared" si="299"/>
        <v xml:space="preserve"> </v>
      </c>
      <c r="CH770" s="240" t="str">
        <f t="shared" si="299"/>
        <v xml:space="preserve"> </v>
      </c>
      <c r="CI770" s="251" t="str">
        <f t="shared" si="299"/>
        <v xml:space="preserve"> </v>
      </c>
      <c r="CJ770" s="253"/>
      <c r="CK770" s="254"/>
    </row>
    <row r="771" spans="1:89">
      <c r="A771" s="166" t="str">
        <f t="shared" si="296"/>
        <v xml:space="preserve"> </v>
      </c>
      <c r="B771" s="101"/>
      <c r="C771" s="100"/>
      <c r="D771" s="167" t="str">
        <f t="shared" si="297"/>
        <v xml:space="preserve"> </v>
      </c>
      <c r="E771" s="167" t="str">
        <f t="shared" si="297"/>
        <v xml:space="preserve"> </v>
      </c>
      <c r="F771" s="167" t="str">
        <f t="shared" si="297"/>
        <v xml:space="preserve"> </v>
      </c>
      <c r="G771" s="167" t="str">
        <f t="shared" si="297"/>
        <v xml:space="preserve"> </v>
      </c>
      <c r="H771" s="167" t="str">
        <f t="shared" si="297"/>
        <v xml:space="preserve"> </v>
      </c>
      <c r="I771" s="168" t="str">
        <f t="shared" si="297"/>
        <v xml:space="preserve"> </v>
      </c>
      <c r="J771" s="101"/>
      <c r="K771" s="165"/>
      <c r="Z771" s="54"/>
      <c r="CA771" s="166" t="str">
        <f t="shared" si="298"/>
        <v xml:space="preserve"> </v>
      </c>
      <c r="CB771" s="101"/>
      <c r="CC771" s="100"/>
      <c r="CD771" s="167" t="str">
        <f t="shared" si="299"/>
        <v xml:space="preserve"> </v>
      </c>
      <c r="CE771" s="167" t="str">
        <f t="shared" si="299"/>
        <v xml:space="preserve"> </v>
      </c>
      <c r="CF771" s="167" t="str">
        <f t="shared" si="299"/>
        <v xml:space="preserve"> </v>
      </c>
      <c r="CG771" s="167" t="str">
        <f t="shared" si="299"/>
        <v xml:space="preserve"> </v>
      </c>
      <c r="CH771" s="167" t="str">
        <f t="shared" si="299"/>
        <v xml:space="preserve"> </v>
      </c>
      <c r="CI771" s="168" t="str">
        <f t="shared" si="299"/>
        <v xml:space="preserve"> </v>
      </c>
      <c r="CJ771" s="101"/>
      <c r="CK771" s="165"/>
    </row>
    <row r="772" spans="1:89">
      <c r="A772" s="238" t="str">
        <f t="shared" si="296"/>
        <v xml:space="preserve"> </v>
      </c>
      <c r="B772" s="253"/>
      <c r="C772" s="247"/>
      <c r="D772" s="240" t="str">
        <f t="shared" si="297"/>
        <v xml:space="preserve"> </v>
      </c>
      <c r="E772" s="240" t="str">
        <f t="shared" si="297"/>
        <v xml:space="preserve"> </v>
      </c>
      <c r="F772" s="240" t="str">
        <f t="shared" si="297"/>
        <v xml:space="preserve"> </v>
      </c>
      <c r="G772" s="240" t="str">
        <f t="shared" si="297"/>
        <v xml:space="preserve"> </v>
      </c>
      <c r="H772" s="240" t="str">
        <f t="shared" si="297"/>
        <v xml:space="preserve"> </v>
      </c>
      <c r="I772" s="251" t="str">
        <f t="shared" si="297"/>
        <v xml:space="preserve"> </v>
      </c>
      <c r="J772" s="253"/>
      <c r="K772" s="254"/>
      <c r="Z772" s="54"/>
      <c r="CA772" s="238" t="str">
        <f t="shared" si="298"/>
        <v xml:space="preserve"> </v>
      </c>
      <c r="CB772" s="253"/>
      <c r="CC772" s="247"/>
      <c r="CD772" s="240" t="str">
        <f t="shared" si="299"/>
        <v xml:space="preserve"> </v>
      </c>
      <c r="CE772" s="240" t="str">
        <f t="shared" si="299"/>
        <v xml:space="preserve"> </v>
      </c>
      <c r="CF772" s="240" t="str">
        <f t="shared" si="299"/>
        <v xml:space="preserve"> </v>
      </c>
      <c r="CG772" s="240" t="str">
        <f t="shared" si="299"/>
        <v xml:space="preserve"> </v>
      </c>
      <c r="CH772" s="240" t="str">
        <f t="shared" si="299"/>
        <v xml:space="preserve"> </v>
      </c>
      <c r="CI772" s="251" t="str">
        <f t="shared" si="299"/>
        <v xml:space="preserve"> </v>
      </c>
      <c r="CJ772" s="253"/>
      <c r="CK772" s="254"/>
    </row>
    <row r="773" spans="1:89">
      <c r="A773" s="166" t="str">
        <f t="shared" si="296"/>
        <v xml:space="preserve"> </v>
      </c>
      <c r="B773" s="101"/>
      <c r="C773" s="100"/>
      <c r="D773" s="167" t="str">
        <f t="shared" si="297"/>
        <v xml:space="preserve"> </v>
      </c>
      <c r="E773" s="167" t="str">
        <f t="shared" si="297"/>
        <v xml:space="preserve"> </v>
      </c>
      <c r="F773" s="167" t="str">
        <f t="shared" si="297"/>
        <v xml:space="preserve"> </v>
      </c>
      <c r="G773" s="167" t="str">
        <f t="shared" si="297"/>
        <v xml:space="preserve"> </v>
      </c>
      <c r="H773" s="167" t="str">
        <f t="shared" si="297"/>
        <v xml:space="preserve"> </v>
      </c>
      <c r="I773" s="168" t="str">
        <f t="shared" si="297"/>
        <v xml:space="preserve"> </v>
      </c>
      <c r="J773" s="101"/>
      <c r="K773" s="165"/>
      <c r="Z773" s="54"/>
      <c r="CA773" s="166" t="str">
        <f t="shared" si="298"/>
        <v xml:space="preserve"> </v>
      </c>
      <c r="CB773" s="101"/>
      <c r="CC773" s="100"/>
      <c r="CD773" s="167" t="str">
        <f t="shared" si="299"/>
        <v xml:space="preserve"> </v>
      </c>
      <c r="CE773" s="167" t="str">
        <f t="shared" si="299"/>
        <v xml:space="preserve"> </v>
      </c>
      <c r="CF773" s="167" t="str">
        <f t="shared" si="299"/>
        <v xml:space="preserve"> </v>
      </c>
      <c r="CG773" s="167" t="str">
        <f t="shared" si="299"/>
        <v xml:space="preserve"> </v>
      </c>
      <c r="CH773" s="167" t="str">
        <f t="shared" si="299"/>
        <v xml:space="preserve"> </v>
      </c>
      <c r="CI773" s="168" t="str">
        <f t="shared" si="299"/>
        <v xml:space="preserve"> </v>
      </c>
      <c r="CJ773" s="101"/>
      <c r="CK773" s="165"/>
    </row>
    <row r="774" spans="1:89">
      <c r="A774" s="238" t="str">
        <f t="shared" si="296"/>
        <v xml:space="preserve"> </v>
      </c>
      <c r="B774" s="253"/>
      <c r="C774" s="247"/>
      <c r="D774" s="240" t="str">
        <f t="shared" si="297"/>
        <v xml:space="preserve"> </v>
      </c>
      <c r="E774" s="240" t="str">
        <f t="shared" si="297"/>
        <v xml:space="preserve"> </v>
      </c>
      <c r="F774" s="240" t="str">
        <f t="shared" si="297"/>
        <v xml:space="preserve"> </v>
      </c>
      <c r="G774" s="240" t="str">
        <f t="shared" si="297"/>
        <v xml:space="preserve"> </v>
      </c>
      <c r="H774" s="240" t="str">
        <f t="shared" si="297"/>
        <v xml:space="preserve"> </v>
      </c>
      <c r="I774" s="251" t="str">
        <f t="shared" si="297"/>
        <v xml:space="preserve"> </v>
      </c>
      <c r="J774" s="253"/>
      <c r="K774" s="254"/>
      <c r="Z774" s="54"/>
      <c r="CA774" s="238" t="str">
        <f t="shared" si="298"/>
        <v xml:space="preserve"> </v>
      </c>
      <c r="CB774" s="253"/>
      <c r="CC774" s="247"/>
      <c r="CD774" s="240" t="str">
        <f t="shared" si="299"/>
        <v xml:space="preserve"> </v>
      </c>
      <c r="CE774" s="240" t="str">
        <f t="shared" si="299"/>
        <v xml:space="preserve"> </v>
      </c>
      <c r="CF774" s="240" t="str">
        <f t="shared" si="299"/>
        <v xml:space="preserve"> </v>
      </c>
      <c r="CG774" s="240" t="str">
        <f t="shared" si="299"/>
        <v xml:space="preserve"> </v>
      </c>
      <c r="CH774" s="240" t="str">
        <f t="shared" si="299"/>
        <v xml:space="preserve"> </v>
      </c>
      <c r="CI774" s="251" t="str">
        <f t="shared" si="299"/>
        <v xml:space="preserve"> </v>
      </c>
      <c r="CJ774" s="253"/>
      <c r="CK774" s="254"/>
    </row>
    <row r="775" spans="1:89">
      <c r="A775" s="166" t="str">
        <f t="shared" si="296"/>
        <v xml:space="preserve"> </v>
      </c>
      <c r="B775" s="101"/>
      <c r="C775" s="100"/>
      <c r="D775" s="167" t="str">
        <f t="shared" si="297"/>
        <v xml:space="preserve"> </v>
      </c>
      <c r="E775" s="167" t="str">
        <f t="shared" si="297"/>
        <v xml:space="preserve"> </v>
      </c>
      <c r="F775" s="167" t="str">
        <f t="shared" si="297"/>
        <v xml:space="preserve"> </v>
      </c>
      <c r="G775" s="167" t="str">
        <f t="shared" si="297"/>
        <v xml:space="preserve"> </v>
      </c>
      <c r="H775" s="167" t="str">
        <f t="shared" si="297"/>
        <v xml:space="preserve"> </v>
      </c>
      <c r="I775" s="168" t="str">
        <f t="shared" si="297"/>
        <v xml:space="preserve"> </v>
      </c>
      <c r="J775" s="101"/>
      <c r="K775" s="165"/>
      <c r="Z775" s="54"/>
      <c r="CA775" s="166" t="str">
        <f t="shared" si="298"/>
        <v xml:space="preserve"> </v>
      </c>
      <c r="CB775" s="101"/>
      <c r="CC775" s="100"/>
      <c r="CD775" s="167" t="str">
        <f t="shared" si="299"/>
        <v xml:space="preserve"> </v>
      </c>
      <c r="CE775" s="167" t="str">
        <f t="shared" si="299"/>
        <v xml:space="preserve"> </v>
      </c>
      <c r="CF775" s="167" t="str">
        <f t="shared" si="299"/>
        <v xml:space="preserve"> </v>
      </c>
      <c r="CG775" s="167" t="str">
        <f t="shared" si="299"/>
        <v xml:space="preserve"> </v>
      </c>
      <c r="CH775" s="167" t="str">
        <f t="shared" si="299"/>
        <v xml:space="preserve"> </v>
      </c>
      <c r="CI775" s="168" t="str">
        <f t="shared" si="299"/>
        <v xml:space="preserve"> </v>
      </c>
      <c r="CJ775" s="101"/>
      <c r="CK775" s="165"/>
    </row>
    <row r="776" spans="1:89">
      <c r="A776" s="238" t="str">
        <f t="shared" si="296"/>
        <v xml:space="preserve"> </v>
      </c>
      <c r="B776" s="253"/>
      <c r="C776" s="247"/>
      <c r="D776" s="240" t="str">
        <f t="shared" si="297"/>
        <v xml:space="preserve"> </v>
      </c>
      <c r="E776" s="240" t="str">
        <f t="shared" si="297"/>
        <v xml:space="preserve"> </v>
      </c>
      <c r="F776" s="240" t="str">
        <f t="shared" si="297"/>
        <v xml:space="preserve"> </v>
      </c>
      <c r="G776" s="240" t="str">
        <f t="shared" si="297"/>
        <v xml:space="preserve"> </v>
      </c>
      <c r="H776" s="240" t="str">
        <f t="shared" si="297"/>
        <v xml:space="preserve"> </v>
      </c>
      <c r="I776" s="251" t="str">
        <f t="shared" si="297"/>
        <v xml:space="preserve"> </v>
      </c>
      <c r="J776" s="253"/>
      <c r="K776" s="254"/>
      <c r="Z776" s="54"/>
      <c r="CA776" s="238" t="str">
        <f t="shared" si="298"/>
        <v xml:space="preserve"> </v>
      </c>
      <c r="CB776" s="253"/>
      <c r="CC776" s="247"/>
      <c r="CD776" s="240" t="str">
        <f t="shared" si="299"/>
        <v xml:space="preserve"> </v>
      </c>
      <c r="CE776" s="240" t="str">
        <f t="shared" si="299"/>
        <v xml:space="preserve"> </v>
      </c>
      <c r="CF776" s="240" t="str">
        <f t="shared" si="299"/>
        <v xml:space="preserve"> </v>
      </c>
      <c r="CG776" s="240" t="str">
        <f t="shared" si="299"/>
        <v xml:space="preserve"> </v>
      </c>
      <c r="CH776" s="240" t="str">
        <f t="shared" si="299"/>
        <v xml:space="preserve"> </v>
      </c>
      <c r="CI776" s="251" t="str">
        <f t="shared" si="299"/>
        <v xml:space="preserve"> </v>
      </c>
      <c r="CJ776" s="253"/>
      <c r="CK776" s="254"/>
    </row>
    <row r="777" spans="1:89">
      <c r="A777" s="166" t="str">
        <f t="shared" si="296"/>
        <v xml:space="preserve"> </v>
      </c>
      <c r="B777" s="101"/>
      <c r="C777" s="100"/>
      <c r="D777" s="167" t="str">
        <f t="shared" si="297"/>
        <v xml:space="preserve"> </v>
      </c>
      <c r="E777" s="167" t="str">
        <f t="shared" si="297"/>
        <v xml:space="preserve"> </v>
      </c>
      <c r="F777" s="167" t="str">
        <f t="shared" si="297"/>
        <v xml:space="preserve"> </v>
      </c>
      <c r="G777" s="167" t="str">
        <f t="shared" si="297"/>
        <v xml:space="preserve"> </v>
      </c>
      <c r="H777" s="167" t="str">
        <f t="shared" si="297"/>
        <v xml:space="preserve"> </v>
      </c>
      <c r="I777" s="168" t="str">
        <f t="shared" si="297"/>
        <v xml:space="preserve"> </v>
      </c>
      <c r="J777" s="101"/>
      <c r="K777" s="165"/>
      <c r="Z777" s="54"/>
      <c r="CA777" s="166" t="str">
        <f t="shared" si="298"/>
        <v xml:space="preserve"> </v>
      </c>
      <c r="CB777" s="101"/>
      <c r="CC777" s="100"/>
      <c r="CD777" s="167" t="str">
        <f t="shared" si="299"/>
        <v xml:space="preserve"> </v>
      </c>
      <c r="CE777" s="167" t="str">
        <f t="shared" si="299"/>
        <v xml:space="preserve"> </v>
      </c>
      <c r="CF777" s="167" t="str">
        <f t="shared" si="299"/>
        <v xml:space="preserve"> </v>
      </c>
      <c r="CG777" s="167" t="str">
        <f t="shared" si="299"/>
        <v xml:space="preserve"> </v>
      </c>
      <c r="CH777" s="167" t="str">
        <f t="shared" si="299"/>
        <v xml:space="preserve"> </v>
      </c>
      <c r="CI777" s="168" t="str">
        <f t="shared" si="299"/>
        <v xml:space="preserve"> </v>
      </c>
      <c r="CJ777" s="101"/>
      <c r="CK777" s="165"/>
    </row>
    <row r="778" spans="1:89">
      <c r="A778" s="238" t="str">
        <f t="shared" si="296"/>
        <v xml:space="preserve"> </v>
      </c>
      <c r="B778" s="253"/>
      <c r="C778" s="247"/>
      <c r="D778" s="240" t="str">
        <f t="shared" si="297"/>
        <v xml:space="preserve"> </v>
      </c>
      <c r="E778" s="240" t="str">
        <f t="shared" si="297"/>
        <v xml:space="preserve"> </v>
      </c>
      <c r="F778" s="240" t="str">
        <f t="shared" si="297"/>
        <v xml:space="preserve"> </v>
      </c>
      <c r="G778" s="240" t="str">
        <f t="shared" si="297"/>
        <v xml:space="preserve"> </v>
      </c>
      <c r="H778" s="240" t="str">
        <f t="shared" si="297"/>
        <v xml:space="preserve"> </v>
      </c>
      <c r="I778" s="251" t="str">
        <f t="shared" si="297"/>
        <v xml:space="preserve"> </v>
      </c>
      <c r="J778" s="253"/>
      <c r="K778" s="254"/>
      <c r="Z778" s="54"/>
      <c r="CA778" s="238" t="str">
        <f t="shared" si="298"/>
        <v xml:space="preserve"> </v>
      </c>
      <c r="CB778" s="253"/>
      <c r="CC778" s="247"/>
      <c r="CD778" s="240" t="str">
        <f t="shared" si="299"/>
        <v xml:space="preserve"> </v>
      </c>
      <c r="CE778" s="240" t="str">
        <f t="shared" si="299"/>
        <v xml:space="preserve"> </v>
      </c>
      <c r="CF778" s="240" t="str">
        <f t="shared" si="299"/>
        <v xml:space="preserve"> </v>
      </c>
      <c r="CG778" s="240" t="str">
        <f t="shared" si="299"/>
        <v xml:space="preserve"> </v>
      </c>
      <c r="CH778" s="240" t="str">
        <f t="shared" si="299"/>
        <v xml:space="preserve"> </v>
      </c>
      <c r="CI778" s="251" t="str">
        <f t="shared" si="299"/>
        <v xml:space="preserve"> </v>
      </c>
      <c r="CJ778" s="253"/>
      <c r="CK778" s="254"/>
    </row>
    <row r="779" spans="1:89">
      <c r="A779" s="166" t="str">
        <f t="shared" si="296"/>
        <v xml:space="preserve"> </v>
      </c>
      <c r="B779" s="101"/>
      <c r="C779" s="100"/>
      <c r="D779" s="167" t="str">
        <f t="shared" si="297"/>
        <v xml:space="preserve"> </v>
      </c>
      <c r="E779" s="167" t="str">
        <f t="shared" si="297"/>
        <v xml:space="preserve"> </v>
      </c>
      <c r="F779" s="167" t="str">
        <f t="shared" si="297"/>
        <v xml:space="preserve"> </v>
      </c>
      <c r="G779" s="167" t="str">
        <f t="shared" si="297"/>
        <v xml:space="preserve"> </v>
      </c>
      <c r="H779" s="167" t="str">
        <f t="shared" si="297"/>
        <v xml:space="preserve"> </v>
      </c>
      <c r="I779" s="168" t="str">
        <f t="shared" si="297"/>
        <v xml:space="preserve"> </v>
      </c>
      <c r="J779" s="101"/>
      <c r="K779" s="165"/>
      <c r="Z779" s="54"/>
      <c r="CA779" s="166" t="str">
        <f t="shared" si="298"/>
        <v xml:space="preserve"> </v>
      </c>
      <c r="CB779" s="101"/>
      <c r="CC779" s="100"/>
      <c r="CD779" s="167" t="str">
        <f t="shared" si="299"/>
        <v xml:space="preserve"> </v>
      </c>
      <c r="CE779" s="167" t="str">
        <f t="shared" si="299"/>
        <v xml:space="preserve"> </v>
      </c>
      <c r="CF779" s="167" t="str">
        <f t="shared" si="299"/>
        <v xml:space="preserve"> </v>
      </c>
      <c r="CG779" s="167" t="str">
        <f t="shared" si="299"/>
        <v xml:space="preserve"> </v>
      </c>
      <c r="CH779" s="167" t="str">
        <f t="shared" si="299"/>
        <v xml:space="preserve"> </v>
      </c>
      <c r="CI779" s="168" t="str">
        <f t="shared" si="299"/>
        <v xml:space="preserve"> </v>
      </c>
      <c r="CJ779" s="101"/>
      <c r="CK779" s="165"/>
    </row>
    <row r="780" spans="1:89">
      <c r="A780" s="238" t="str">
        <f t="shared" si="296"/>
        <v xml:space="preserve"> </v>
      </c>
      <c r="B780" s="253"/>
      <c r="C780" s="247"/>
      <c r="D780" s="240" t="str">
        <f t="shared" si="297"/>
        <v xml:space="preserve"> </v>
      </c>
      <c r="E780" s="240" t="str">
        <f t="shared" si="297"/>
        <v xml:space="preserve"> </v>
      </c>
      <c r="F780" s="240" t="str">
        <f t="shared" si="297"/>
        <v xml:space="preserve"> </v>
      </c>
      <c r="G780" s="240" t="str">
        <f t="shared" si="297"/>
        <v xml:space="preserve"> </v>
      </c>
      <c r="H780" s="240" t="str">
        <f t="shared" si="297"/>
        <v xml:space="preserve"> </v>
      </c>
      <c r="I780" s="251" t="str">
        <f t="shared" si="297"/>
        <v xml:space="preserve"> </v>
      </c>
      <c r="J780" s="253"/>
      <c r="K780" s="254"/>
      <c r="Z780" s="54"/>
      <c r="CA780" s="238" t="str">
        <f t="shared" si="298"/>
        <v xml:space="preserve"> </v>
      </c>
      <c r="CB780" s="253"/>
      <c r="CC780" s="247"/>
      <c r="CD780" s="240" t="str">
        <f t="shared" si="299"/>
        <v xml:space="preserve"> </v>
      </c>
      <c r="CE780" s="240" t="str">
        <f t="shared" si="299"/>
        <v xml:space="preserve"> </v>
      </c>
      <c r="CF780" s="240" t="str">
        <f t="shared" si="299"/>
        <v xml:space="preserve"> </v>
      </c>
      <c r="CG780" s="240" t="str">
        <f t="shared" si="299"/>
        <v xml:space="preserve"> </v>
      </c>
      <c r="CH780" s="240" t="str">
        <f t="shared" si="299"/>
        <v xml:space="preserve"> </v>
      </c>
      <c r="CI780" s="251" t="str">
        <f t="shared" si="299"/>
        <v xml:space="preserve"> </v>
      </c>
      <c r="CJ780" s="253"/>
      <c r="CK780" s="254"/>
    </row>
    <row r="781" spans="1:89">
      <c r="A781" s="166" t="str">
        <f t="shared" si="296"/>
        <v xml:space="preserve"> </v>
      </c>
      <c r="B781" s="101"/>
      <c r="C781" s="100"/>
      <c r="D781" s="167" t="str">
        <f t="shared" ref="D781:I782" si="300">IF(AND(D1581&gt;0,$E$134&gt;3),D1581," ")</f>
        <v xml:space="preserve"> </v>
      </c>
      <c r="E781" s="167" t="str">
        <f t="shared" si="300"/>
        <v xml:space="preserve"> </v>
      </c>
      <c r="F781" s="167" t="str">
        <f t="shared" si="300"/>
        <v xml:space="preserve"> </v>
      </c>
      <c r="G781" s="167" t="str">
        <f t="shared" si="300"/>
        <v xml:space="preserve"> </v>
      </c>
      <c r="H781" s="167" t="str">
        <f t="shared" si="300"/>
        <v xml:space="preserve"> </v>
      </c>
      <c r="I781" s="168" t="str">
        <f t="shared" si="300"/>
        <v xml:space="preserve"> </v>
      </c>
      <c r="J781" s="101"/>
      <c r="K781" s="165"/>
      <c r="Z781" s="54"/>
      <c r="CA781" s="166" t="str">
        <f t="shared" si="298"/>
        <v xml:space="preserve"> </v>
      </c>
      <c r="CB781" s="101"/>
      <c r="CC781" s="100"/>
      <c r="CD781" s="167" t="str">
        <f t="shared" ref="CD781:CI782" si="301">IF(AND(CD1581&gt;0,$E$134&gt;3),CD1581," ")</f>
        <v xml:space="preserve"> </v>
      </c>
      <c r="CE781" s="167" t="str">
        <f t="shared" si="301"/>
        <v xml:space="preserve"> </v>
      </c>
      <c r="CF781" s="167" t="str">
        <f t="shared" si="301"/>
        <v xml:space="preserve"> </v>
      </c>
      <c r="CG781" s="167" t="str">
        <f t="shared" si="301"/>
        <v xml:space="preserve"> </v>
      </c>
      <c r="CH781" s="167" t="str">
        <f t="shared" si="301"/>
        <v xml:space="preserve"> </v>
      </c>
      <c r="CI781" s="168" t="str">
        <f t="shared" si="301"/>
        <v xml:space="preserve"> </v>
      </c>
      <c r="CJ781" s="101"/>
      <c r="CK781" s="165"/>
    </row>
    <row r="782" spans="1:89">
      <c r="A782" s="246" t="str">
        <f t="shared" si="296"/>
        <v xml:space="preserve"> </v>
      </c>
      <c r="B782" s="258"/>
      <c r="C782" s="247"/>
      <c r="D782" s="247" t="str">
        <f t="shared" si="300"/>
        <v xml:space="preserve"> </v>
      </c>
      <c r="E782" s="247" t="str">
        <f t="shared" si="300"/>
        <v xml:space="preserve"> </v>
      </c>
      <c r="F782" s="247" t="str">
        <f t="shared" si="300"/>
        <v xml:space="preserve"> </v>
      </c>
      <c r="G782" s="247" t="str">
        <f t="shared" si="300"/>
        <v xml:space="preserve"> </v>
      </c>
      <c r="H782" s="247" t="str">
        <f t="shared" si="300"/>
        <v xml:space="preserve"> </v>
      </c>
      <c r="I782" s="256" t="str">
        <f t="shared" si="300"/>
        <v xml:space="preserve"> </v>
      </c>
      <c r="J782" s="258"/>
      <c r="K782" s="259"/>
      <c r="Z782" s="54"/>
      <c r="CA782" s="246" t="str">
        <f t="shared" si="298"/>
        <v xml:space="preserve"> </v>
      </c>
      <c r="CB782" s="258"/>
      <c r="CC782" s="247"/>
      <c r="CD782" s="247" t="str">
        <f t="shared" si="301"/>
        <v xml:space="preserve"> </v>
      </c>
      <c r="CE782" s="247" t="str">
        <f t="shared" si="301"/>
        <v xml:space="preserve"> </v>
      </c>
      <c r="CF782" s="247" t="str">
        <f t="shared" si="301"/>
        <v xml:space="preserve"> </v>
      </c>
      <c r="CG782" s="247" t="str">
        <f t="shared" si="301"/>
        <v xml:space="preserve"> </v>
      </c>
      <c r="CH782" s="247" t="str">
        <f t="shared" si="301"/>
        <v xml:space="preserve"> </v>
      </c>
      <c r="CI782" s="256" t="str">
        <f t="shared" si="301"/>
        <v xml:space="preserve"> </v>
      </c>
      <c r="CJ782" s="258"/>
      <c r="CK782" s="259"/>
    </row>
    <row r="783" spans="1:89">
      <c r="A783" s="179" t="s">
        <v>5026</v>
      </c>
      <c r="B783" s="102"/>
      <c r="C783" s="175" t="s">
        <v>5018</v>
      </c>
      <c r="D783" s="175" t="s">
        <v>5701</v>
      </c>
      <c r="E783" s="175" t="s">
        <v>5019</v>
      </c>
      <c r="F783" s="175" t="s">
        <v>5020</v>
      </c>
      <c r="G783" s="175" t="s">
        <v>5021</v>
      </c>
      <c r="H783" s="175" t="s">
        <v>5022</v>
      </c>
      <c r="I783" s="221" t="s">
        <v>5316</v>
      </c>
      <c r="J783" s="176"/>
      <c r="K783" s="180"/>
      <c r="Z783" s="54"/>
      <c r="CA783" s="179" t="s">
        <v>5026</v>
      </c>
      <c r="CB783" s="102"/>
      <c r="CC783" s="175" t="s">
        <v>5018</v>
      </c>
      <c r="CD783" s="175" t="s">
        <v>5701</v>
      </c>
      <c r="CE783" s="175" t="s">
        <v>5019</v>
      </c>
      <c r="CF783" s="175" t="s">
        <v>5020</v>
      </c>
      <c r="CG783" s="175" t="s">
        <v>5021</v>
      </c>
      <c r="CH783" s="175" t="s">
        <v>5022</v>
      </c>
      <c r="CI783" s="221" t="s">
        <v>5316</v>
      </c>
      <c r="CJ783" s="176"/>
      <c r="CK783" s="180"/>
    </row>
    <row r="784" spans="1:89">
      <c r="A784" s="166" t="str">
        <f t="shared" ref="A784:A802" si="302">IF(AND(A1584&gt;0,$E$134&gt;4),A1584," ")</f>
        <v xml:space="preserve"> </v>
      </c>
      <c r="B784" s="101"/>
      <c r="C784" s="100"/>
      <c r="D784" s="167" t="str">
        <f t="shared" ref="D784:I799" si="303">IF(AND(D1584&gt;0,$E$134&gt;4),D1584," ")</f>
        <v xml:space="preserve"> </v>
      </c>
      <c r="E784" s="167" t="str">
        <f t="shared" si="303"/>
        <v xml:space="preserve"> </v>
      </c>
      <c r="F784" s="167" t="str">
        <f t="shared" si="303"/>
        <v xml:space="preserve"> </v>
      </c>
      <c r="G784" s="167" t="str">
        <f t="shared" si="303"/>
        <v xml:space="preserve"> </v>
      </c>
      <c r="H784" s="167" t="str">
        <f t="shared" si="303"/>
        <v xml:space="preserve"> </v>
      </c>
      <c r="I784" s="168" t="str">
        <f t="shared" si="303"/>
        <v xml:space="preserve"> </v>
      </c>
      <c r="J784" s="101"/>
      <c r="K784" s="165"/>
      <c r="Z784" s="54"/>
      <c r="CA784" s="166" t="str">
        <f t="shared" ref="CA784:CA802" si="304">IF(AND(CA1584&gt;0,$E$134&gt;4),CA1584," ")</f>
        <v xml:space="preserve"> </v>
      </c>
      <c r="CB784" s="101"/>
      <c r="CC784" s="100"/>
      <c r="CD784" s="167" t="str">
        <f t="shared" ref="CD784:CI799" si="305">IF(AND(CD1584&gt;0,$E$134&gt;4),CD1584," ")</f>
        <v xml:space="preserve"> </v>
      </c>
      <c r="CE784" s="167" t="str">
        <f t="shared" si="305"/>
        <v xml:space="preserve"> </v>
      </c>
      <c r="CF784" s="167" t="str">
        <f t="shared" si="305"/>
        <v xml:space="preserve"> </v>
      </c>
      <c r="CG784" s="167" t="str">
        <f t="shared" si="305"/>
        <v xml:space="preserve"> </v>
      </c>
      <c r="CH784" s="167" t="str">
        <f t="shared" si="305"/>
        <v xml:space="preserve"> </v>
      </c>
      <c r="CI784" s="168" t="str">
        <f t="shared" si="305"/>
        <v xml:space="preserve"> </v>
      </c>
      <c r="CJ784" s="101"/>
      <c r="CK784" s="165"/>
    </row>
    <row r="785" spans="1:89">
      <c r="A785" s="238" t="str">
        <f t="shared" si="302"/>
        <v xml:space="preserve"> </v>
      </c>
      <c r="B785" s="253"/>
      <c r="C785" s="247"/>
      <c r="D785" s="240" t="str">
        <f t="shared" si="303"/>
        <v xml:space="preserve"> </v>
      </c>
      <c r="E785" s="240" t="str">
        <f t="shared" si="303"/>
        <v xml:space="preserve"> </v>
      </c>
      <c r="F785" s="240" t="str">
        <f t="shared" si="303"/>
        <v xml:space="preserve"> </v>
      </c>
      <c r="G785" s="240" t="str">
        <f t="shared" si="303"/>
        <v xml:space="preserve"> </v>
      </c>
      <c r="H785" s="240" t="str">
        <f t="shared" si="303"/>
        <v xml:space="preserve"> </v>
      </c>
      <c r="I785" s="251" t="str">
        <f t="shared" si="303"/>
        <v xml:space="preserve"> </v>
      </c>
      <c r="J785" s="253"/>
      <c r="K785" s="254"/>
      <c r="Z785" s="54"/>
      <c r="CA785" s="238" t="str">
        <f t="shared" si="304"/>
        <v xml:space="preserve"> </v>
      </c>
      <c r="CB785" s="253"/>
      <c r="CC785" s="247"/>
      <c r="CD785" s="240" t="str">
        <f t="shared" si="305"/>
        <v xml:space="preserve"> </v>
      </c>
      <c r="CE785" s="240" t="str">
        <f t="shared" si="305"/>
        <v xml:space="preserve"> </v>
      </c>
      <c r="CF785" s="240" t="str">
        <f t="shared" si="305"/>
        <v xml:space="preserve"> </v>
      </c>
      <c r="CG785" s="240" t="str">
        <f t="shared" si="305"/>
        <v xml:space="preserve"> </v>
      </c>
      <c r="CH785" s="240" t="str">
        <f t="shared" si="305"/>
        <v xml:space="preserve"> </v>
      </c>
      <c r="CI785" s="251" t="str">
        <f t="shared" si="305"/>
        <v xml:space="preserve"> </v>
      </c>
      <c r="CJ785" s="253"/>
      <c r="CK785" s="254"/>
    </row>
    <row r="786" spans="1:89">
      <c r="A786" s="166" t="str">
        <f t="shared" si="302"/>
        <v xml:space="preserve"> </v>
      </c>
      <c r="B786" s="101"/>
      <c r="C786" s="100"/>
      <c r="D786" s="167" t="str">
        <f t="shared" si="303"/>
        <v xml:space="preserve"> </v>
      </c>
      <c r="E786" s="167" t="str">
        <f t="shared" si="303"/>
        <v xml:space="preserve"> </v>
      </c>
      <c r="F786" s="167" t="str">
        <f t="shared" si="303"/>
        <v xml:space="preserve"> </v>
      </c>
      <c r="G786" s="167" t="str">
        <f t="shared" si="303"/>
        <v xml:space="preserve"> </v>
      </c>
      <c r="H786" s="167" t="str">
        <f t="shared" si="303"/>
        <v xml:space="preserve"> </v>
      </c>
      <c r="I786" s="168" t="str">
        <f t="shared" si="303"/>
        <v xml:space="preserve"> </v>
      </c>
      <c r="J786" s="101"/>
      <c r="K786" s="165"/>
      <c r="Z786" s="54"/>
      <c r="CA786" s="166" t="str">
        <f t="shared" si="304"/>
        <v xml:space="preserve"> </v>
      </c>
      <c r="CB786" s="101"/>
      <c r="CC786" s="100"/>
      <c r="CD786" s="167" t="str">
        <f t="shared" si="305"/>
        <v xml:space="preserve"> </v>
      </c>
      <c r="CE786" s="167" t="str">
        <f t="shared" si="305"/>
        <v xml:space="preserve"> </v>
      </c>
      <c r="CF786" s="167" t="str">
        <f t="shared" si="305"/>
        <v xml:space="preserve"> </v>
      </c>
      <c r="CG786" s="167" t="str">
        <f t="shared" si="305"/>
        <v xml:space="preserve"> </v>
      </c>
      <c r="CH786" s="167" t="str">
        <f t="shared" si="305"/>
        <v xml:space="preserve"> </v>
      </c>
      <c r="CI786" s="168" t="str">
        <f t="shared" si="305"/>
        <v xml:space="preserve"> </v>
      </c>
      <c r="CJ786" s="101"/>
      <c r="CK786" s="165"/>
    </row>
    <row r="787" spans="1:89">
      <c r="A787" s="238" t="str">
        <f t="shared" si="302"/>
        <v xml:space="preserve"> </v>
      </c>
      <c r="B787" s="253"/>
      <c r="C787" s="247"/>
      <c r="D787" s="240" t="str">
        <f t="shared" si="303"/>
        <v xml:space="preserve"> </v>
      </c>
      <c r="E787" s="240" t="str">
        <f t="shared" si="303"/>
        <v xml:space="preserve"> </v>
      </c>
      <c r="F787" s="240" t="str">
        <f t="shared" si="303"/>
        <v xml:space="preserve"> </v>
      </c>
      <c r="G787" s="240" t="str">
        <f t="shared" si="303"/>
        <v xml:space="preserve"> </v>
      </c>
      <c r="H787" s="240" t="str">
        <f t="shared" si="303"/>
        <v xml:space="preserve"> </v>
      </c>
      <c r="I787" s="251" t="str">
        <f t="shared" si="303"/>
        <v xml:space="preserve"> </v>
      </c>
      <c r="J787" s="253"/>
      <c r="K787" s="254"/>
      <c r="Z787" s="54"/>
      <c r="CA787" s="238" t="str">
        <f t="shared" si="304"/>
        <v xml:space="preserve"> </v>
      </c>
      <c r="CB787" s="253"/>
      <c r="CC787" s="247"/>
      <c r="CD787" s="240" t="str">
        <f t="shared" si="305"/>
        <v xml:space="preserve"> </v>
      </c>
      <c r="CE787" s="240" t="str">
        <f t="shared" si="305"/>
        <v xml:space="preserve"> </v>
      </c>
      <c r="CF787" s="240" t="str">
        <f t="shared" si="305"/>
        <v xml:space="preserve"> </v>
      </c>
      <c r="CG787" s="240" t="str">
        <f t="shared" si="305"/>
        <v xml:space="preserve"> </v>
      </c>
      <c r="CH787" s="240" t="str">
        <f t="shared" si="305"/>
        <v xml:space="preserve"> </v>
      </c>
      <c r="CI787" s="251" t="str">
        <f t="shared" si="305"/>
        <v xml:space="preserve"> </v>
      </c>
      <c r="CJ787" s="253"/>
      <c r="CK787" s="254"/>
    </row>
    <row r="788" spans="1:89">
      <c r="A788" s="166" t="str">
        <f t="shared" si="302"/>
        <v xml:space="preserve"> </v>
      </c>
      <c r="B788" s="101"/>
      <c r="C788" s="100"/>
      <c r="D788" s="167" t="str">
        <f t="shared" si="303"/>
        <v xml:space="preserve"> </v>
      </c>
      <c r="E788" s="167" t="str">
        <f t="shared" si="303"/>
        <v xml:space="preserve"> </v>
      </c>
      <c r="F788" s="167" t="str">
        <f t="shared" si="303"/>
        <v xml:space="preserve"> </v>
      </c>
      <c r="G788" s="167" t="str">
        <f t="shared" si="303"/>
        <v xml:space="preserve"> </v>
      </c>
      <c r="H788" s="167" t="str">
        <f t="shared" si="303"/>
        <v xml:space="preserve"> </v>
      </c>
      <c r="I788" s="168" t="str">
        <f t="shared" si="303"/>
        <v xml:space="preserve"> </v>
      </c>
      <c r="J788" s="101"/>
      <c r="K788" s="165"/>
      <c r="Z788" s="54"/>
      <c r="CA788" s="166" t="str">
        <f t="shared" si="304"/>
        <v xml:space="preserve"> </v>
      </c>
      <c r="CB788" s="101"/>
      <c r="CC788" s="100"/>
      <c r="CD788" s="167" t="str">
        <f t="shared" si="305"/>
        <v xml:space="preserve"> </v>
      </c>
      <c r="CE788" s="167" t="str">
        <f t="shared" si="305"/>
        <v xml:space="preserve"> </v>
      </c>
      <c r="CF788" s="167" t="str">
        <f t="shared" si="305"/>
        <v xml:space="preserve"> </v>
      </c>
      <c r="CG788" s="167" t="str">
        <f t="shared" si="305"/>
        <v xml:space="preserve"> </v>
      </c>
      <c r="CH788" s="167" t="str">
        <f t="shared" si="305"/>
        <v xml:space="preserve"> </v>
      </c>
      <c r="CI788" s="168" t="str">
        <f t="shared" si="305"/>
        <v xml:space="preserve"> </v>
      </c>
      <c r="CJ788" s="101"/>
      <c r="CK788" s="165"/>
    </row>
    <row r="789" spans="1:89">
      <c r="A789" s="238" t="str">
        <f t="shared" si="302"/>
        <v xml:space="preserve"> </v>
      </c>
      <c r="B789" s="253"/>
      <c r="C789" s="247"/>
      <c r="D789" s="240" t="str">
        <f t="shared" si="303"/>
        <v xml:space="preserve"> </v>
      </c>
      <c r="E789" s="240" t="str">
        <f t="shared" si="303"/>
        <v xml:space="preserve"> </v>
      </c>
      <c r="F789" s="240" t="str">
        <f t="shared" si="303"/>
        <v xml:space="preserve"> </v>
      </c>
      <c r="G789" s="240" t="str">
        <f t="shared" si="303"/>
        <v xml:space="preserve"> </v>
      </c>
      <c r="H789" s="240" t="str">
        <f t="shared" si="303"/>
        <v xml:space="preserve"> </v>
      </c>
      <c r="I789" s="251" t="str">
        <f t="shared" si="303"/>
        <v xml:space="preserve"> </v>
      </c>
      <c r="J789" s="253"/>
      <c r="K789" s="254"/>
      <c r="Z789" s="54"/>
      <c r="CA789" s="238" t="str">
        <f t="shared" si="304"/>
        <v xml:space="preserve"> </v>
      </c>
      <c r="CB789" s="253"/>
      <c r="CC789" s="247"/>
      <c r="CD789" s="240" t="str">
        <f t="shared" si="305"/>
        <v xml:space="preserve"> </v>
      </c>
      <c r="CE789" s="240" t="str">
        <f t="shared" si="305"/>
        <v xml:space="preserve"> </v>
      </c>
      <c r="CF789" s="240" t="str">
        <f t="shared" si="305"/>
        <v xml:space="preserve"> </v>
      </c>
      <c r="CG789" s="240" t="str">
        <f t="shared" si="305"/>
        <v xml:space="preserve"> </v>
      </c>
      <c r="CH789" s="240" t="str">
        <f t="shared" si="305"/>
        <v xml:space="preserve"> </v>
      </c>
      <c r="CI789" s="251" t="str">
        <f t="shared" si="305"/>
        <v xml:space="preserve"> </v>
      </c>
      <c r="CJ789" s="253"/>
      <c r="CK789" s="254"/>
    </row>
    <row r="790" spans="1:89">
      <c r="A790" s="166" t="str">
        <f t="shared" si="302"/>
        <v xml:space="preserve"> </v>
      </c>
      <c r="B790" s="101"/>
      <c r="C790" s="100"/>
      <c r="D790" s="167" t="str">
        <f t="shared" si="303"/>
        <v xml:space="preserve"> </v>
      </c>
      <c r="E790" s="167" t="str">
        <f t="shared" si="303"/>
        <v xml:space="preserve"> </v>
      </c>
      <c r="F790" s="167" t="str">
        <f t="shared" si="303"/>
        <v xml:space="preserve"> </v>
      </c>
      <c r="G790" s="167" t="str">
        <f t="shared" si="303"/>
        <v xml:space="preserve"> </v>
      </c>
      <c r="H790" s="167" t="str">
        <f t="shared" si="303"/>
        <v xml:space="preserve"> </v>
      </c>
      <c r="I790" s="168" t="str">
        <f t="shared" si="303"/>
        <v xml:space="preserve"> </v>
      </c>
      <c r="J790" s="101"/>
      <c r="K790" s="165"/>
      <c r="Z790" s="54"/>
      <c r="CA790" s="166" t="str">
        <f t="shared" si="304"/>
        <v xml:space="preserve"> </v>
      </c>
      <c r="CB790" s="101"/>
      <c r="CC790" s="100"/>
      <c r="CD790" s="167" t="str">
        <f t="shared" si="305"/>
        <v xml:space="preserve"> </v>
      </c>
      <c r="CE790" s="167" t="str">
        <f t="shared" si="305"/>
        <v xml:space="preserve"> </v>
      </c>
      <c r="CF790" s="167" t="str">
        <f t="shared" si="305"/>
        <v xml:space="preserve"> </v>
      </c>
      <c r="CG790" s="167" t="str">
        <f t="shared" si="305"/>
        <v xml:space="preserve"> </v>
      </c>
      <c r="CH790" s="167" t="str">
        <f t="shared" si="305"/>
        <v xml:space="preserve"> </v>
      </c>
      <c r="CI790" s="168" t="str">
        <f t="shared" si="305"/>
        <v xml:space="preserve"> </v>
      </c>
      <c r="CJ790" s="101"/>
      <c r="CK790" s="165"/>
    </row>
    <row r="791" spans="1:89">
      <c r="A791" s="238" t="str">
        <f t="shared" si="302"/>
        <v xml:space="preserve"> </v>
      </c>
      <c r="B791" s="253"/>
      <c r="C791" s="247"/>
      <c r="D791" s="240" t="str">
        <f t="shared" si="303"/>
        <v xml:space="preserve"> </v>
      </c>
      <c r="E791" s="240" t="str">
        <f t="shared" si="303"/>
        <v xml:space="preserve"> </v>
      </c>
      <c r="F791" s="240" t="str">
        <f t="shared" si="303"/>
        <v xml:space="preserve"> </v>
      </c>
      <c r="G791" s="240" t="str">
        <f t="shared" si="303"/>
        <v xml:space="preserve"> </v>
      </c>
      <c r="H791" s="240" t="str">
        <f t="shared" si="303"/>
        <v xml:space="preserve"> </v>
      </c>
      <c r="I791" s="251" t="str">
        <f t="shared" si="303"/>
        <v xml:space="preserve"> </v>
      </c>
      <c r="J791" s="253"/>
      <c r="K791" s="254"/>
      <c r="Z791" s="54"/>
      <c r="CA791" s="238" t="str">
        <f t="shared" si="304"/>
        <v xml:space="preserve"> </v>
      </c>
      <c r="CB791" s="253"/>
      <c r="CC791" s="247"/>
      <c r="CD791" s="240" t="str">
        <f t="shared" si="305"/>
        <v xml:space="preserve"> </v>
      </c>
      <c r="CE791" s="240" t="str">
        <f t="shared" si="305"/>
        <v xml:space="preserve"> </v>
      </c>
      <c r="CF791" s="240" t="str">
        <f t="shared" si="305"/>
        <v xml:space="preserve"> </v>
      </c>
      <c r="CG791" s="240" t="str">
        <f t="shared" si="305"/>
        <v xml:space="preserve"> </v>
      </c>
      <c r="CH791" s="240" t="str">
        <f t="shared" si="305"/>
        <v xml:space="preserve"> </v>
      </c>
      <c r="CI791" s="251" t="str">
        <f t="shared" si="305"/>
        <v xml:space="preserve"> </v>
      </c>
      <c r="CJ791" s="253"/>
      <c r="CK791" s="254"/>
    </row>
    <row r="792" spans="1:89">
      <c r="A792" s="166" t="str">
        <f t="shared" si="302"/>
        <v xml:space="preserve"> </v>
      </c>
      <c r="B792" s="101"/>
      <c r="C792" s="100"/>
      <c r="D792" s="167" t="str">
        <f t="shared" si="303"/>
        <v xml:space="preserve"> </v>
      </c>
      <c r="E792" s="167" t="str">
        <f t="shared" si="303"/>
        <v xml:space="preserve"> </v>
      </c>
      <c r="F792" s="167" t="str">
        <f t="shared" si="303"/>
        <v xml:space="preserve"> </v>
      </c>
      <c r="G792" s="167" t="str">
        <f t="shared" si="303"/>
        <v xml:space="preserve"> </v>
      </c>
      <c r="H792" s="167" t="str">
        <f t="shared" si="303"/>
        <v xml:space="preserve"> </v>
      </c>
      <c r="I792" s="168" t="str">
        <f t="shared" si="303"/>
        <v xml:space="preserve"> </v>
      </c>
      <c r="J792" s="101"/>
      <c r="K792" s="165"/>
      <c r="Z792" s="54"/>
      <c r="CA792" s="166" t="str">
        <f t="shared" si="304"/>
        <v xml:space="preserve"> </v>
      </c>
      <c r="CB792" s="101"/>
      <c r="CC792" s="100"/>
      <c r="CD792" s="167" t="str">
        <f t="shared" si="305"/>
        <v xml:space="preserve"> </v>
      </c>
      <c r="CE792" s="167" t="str">
        <f t="shared" si="305"/>
        <v xml:space="preserve"> </v>
      </c>
      <c r="CF792" s="167" t="str">
        <f t="shared" si="305"/>
        <v xml:space="preserve"> </v>
      </c>
      <c r="CG792" s="167" t="str">
        <f t="shared" si="305"/>
        <v xml:space="preserve"> </v>
      </c>
      <c r="CH792" s="167" t="str">
        <f t="shared" si="305"/>
        <v xml:space="preserve"> </v>
      </c>
      <c r="CI792" s="168" t="str">
        <f t="shared" si="305"/>
        <v xml:space="preserve"> </v>
      </c>
      <c r="CJ792" s="101"/>
      <c r="CK792" s="165"/>
    </row>
    <row r="793" spans="1:89">
      <c r="A793" s="238" t="str">
        <f t="shared" si="302"/>
        <v xml:space="preserve"> </v>
      </c>
      <c r="B793" s="253"/>
      <c r="C793" s="247"/>
      <c r="D793" s="240" t="str">
        <f t="shared" si="303"/>
        <v xml:space="preserve"> </v>
      </c>
      <c r="E793" s="240" t="str">
        <f t="shared" si="303"/>
        <v xml:space="preserve"> </v>
      </c>
      <c r="F793" s="240" t="str">
        <f t="shared" si="303"/>
        <v xml:space="preserve"> </v>
      </c>
      <c r="G793" s="240" t="str">
        <f t="shared" si="303"/>
        <v xml:space="preserve"> </v>
      </c>
      <c r="H793" s="240" t="str">
        <f t="shared" si="303"/>
        <v xml:space="preserve"> </v>
      </c>
      <c r="I793" s="251" t="str">
        <f t="shared" si="303"/>
        <v xml:space="preserve"> </v>
      </c>
      <c r="J793" s="253"/>
      <c r="K793" s="254"/>
      <c r="Z793" s="54"/>
      <c r="CA793" s="238" t="str">
        <f t="shared" si="304"/>
        <v xml:space="preserve"> </v>
      </c>
      <c r="CB793" s="253"/>
      <c r="CC793" s="247"/>
      <c r="CD793" s="240" t="str">
        <f t="shared" si="305"/>
        <v xml:space="preserve"> </v>
      </c>
      <c r="CE793" s="240" t="str">
        <f t="shared" si="305"/>
        <v xml:space="preserve"> </v>
      </c>
      <c r="CF793" s="240" t="str">
        <f t="shared" si="305"/>
        <v xml:space="preserve"> </v>
      </c>
      <c r="CG793" s="240" t="str">
        <f t="shared" si="305"/>
        <v xml:space="preserve"> </v>
      </c>
      <c r="CH793" s="240" t="str">
        <f t="shared" si="305"/>
        <v xml:space="preserve"> </v>
      </c>
      <c r="CI793" s="251" t="str">
        <f t="shared" si="305"/>
        <v xml:space="preserve"> </v>
      </c>
      <c r="CJ793" s="253"/>
      <c r="CK793" s="254"/>
    </row>
    <row r="794" spans="1:89">
      <c r="A794" s="166" t="str">
        <f t="shared" si="302"/>
        <v xml:space="preserve"> </v>
      </c>
      <c r="B794" s="101"/>
      <c r="C794" s="100"/>
      <c r="D794" s="167" t="str">
        <f t="shared" si="303"/>
        <v xml:space="preserve"> </v>
      </c>
      <c r="E794" s="167" t="str">
        <f t="shared" si="303"/>
        <v xml:space="preserve"> </v>
      </c>
      <c r="F794" s="167" t="str">
        <f t="shared" si="303"/>
        <v xml:space="preserve"> </v>
      </c>
      <c r="G794" s="167" t="str">
        <f t="shared" si="303"/>
        <v xml:space="preserve"> </v>
      </c>
      <c r="H794" s="167" t="str">
        <f t="shared" si="303"/>
        <v xml:space="preserve"> </v>
      </c>
      <c r="I794" s="168" t="str">
        <f t="shared" si="303"/>
        <v xml:space="preserve"> </v>
      </c>
      <c r="J794" s="101"/>
      <c r="K794" s="165"/>
      <c r="Z794" s="54"/>
      <c r="CA794" s="166" t="str">
        <f t="shared" si="304"/>
        <v xml:space="preserve"> </v>
      </c>
      <c r="CB794" s="101"/>
      <c r="CC794" s="100"/>
      <c r="CD794" s="167" t="str">
        <f t="shared" si="305"/>
        <v xml:space="preserve"> </v>
      </c>
      <c r="CE794" s="167" t="str">
        <f t="shared" si="305"/>
        <v xml:space="preserve"> </v>
      </c>
      <c r="CF794" s="167" t="str">
        <f t="shared" si="305"/>
        <v xml:space="preserve"> </v>
      </c>
      <c r="CG794" s="167" t="str">
        <f t="shared" si="305"/>
        <v xml:space="preserve"> </v>
      </c>
      <c r="CH794" s="167" t="str">
        <f t="shared" si="305"/>
        <v xml:space="preserve"> </v>
      </c>
      <c r="CI794" s="168" t="str">
        <f t="shared" si="305"/>
        <v xml:space="preserve"> </v>
      </c>
      <c r="CJ794" s="101"/>
      <c r="CK794" s="165"/>
    </row>
    <row r="795" spans="1:89">
      <c r="A795" s="238" t="str">
        <f t="shared" si="302"/>
        <v xml:space="preserve"> </v>
      </c>
      <c r="B795" s="253"/>
      <c r="C795" s="247"/>
      <c r="D795" s="240" t="str">
        <f t="shared" si="303"/>
        <v xml:space="preserve"> </v>
      </c>
      <c r="E795" s="240" t="str">
        <f t="shared" si="303"/>
        <v xml:space="preserve"> </v>
      </c>
      <c r="F795" s="240" t="str">
        <f t="shared" si="303"/>
        <v xml:space="preserve"> </v>
      </c>
      <c r="G795" s="240" t="str">
        <f t="shared" si="303"/>
        <v xml:space="preserve"> </v>
      </c>
      <c r="H795" s="240" t="str">
        <f t="shared" si="303"/>
        <v xml:space="preserve"> </v>
      </c>
      <c r="I795" s="251" t="str">
        <f t="shared" si="303"/>
        <v xml:space="preserve"> </v>
      </c>
      <c r="J795" s="253"/>
      <c r="K795" s="254"/>
      <c r="Z795" s="54"/>
      <c r="CA795" s="238" t="str">
        <f t="shared" si="304"/>
        <v xml:space="preserve"> </v>
      </c>
      <c r="CB795" s="253"/>
      <c r="CC795" s="247"/>
      <c r="CD795" s="240" t="str">
        <f t="shared" si="305"/>
        <v xml:space="preserve"> </v>
      </c>
      <c r="CE795" s="240" t="str">
        <f t="shared" si="305"/>
        <v xml:space="preserve"> </v>
      </c>
      <c r="CF795" s="240" t="str">
        <f t="shared" si="305"/>
        <v xml:space="preserve"> </v>
      </c>
      <c r="CG795" s="240" t="str">
        <f t="shared" si="305"/>
        <v xml:space="preserve"> </v>
      </c>
      <c r="CH795" s="240" t="str">
        <f t="shared" si="305"/>
        <v xml:space="preserve"> </v>
      </c>
      <c r="CI795" s="251" t="str">
        <f t="shared" si="305"/>
        <v xml:space="preserve"> </v>
      </c>
      <c r="CJ795" s="253"/>
      <c r="CK795" s="254"/>
    </row>
    <row r="796" spans="1:89">
      <c r="A796" s="166" t="str">
        <f t="shared" si="302"/>
        <v xml:space="preserve"> </v>
      </c>
      <c r="B796" s="101"/>
      <c r="C796" s="100"/>
      <c r="D796" s="167" t="str">
        <f t="shared" si="303"/>
        <v xml:space="preserve"> </v>
      </c>
      <c r="E796" s="167" t="str">
        <f t="shared" si="303"/>
        <v xml:space="preserve"> </v>
      </c>
      <c r="F796" s="167" t="str">
        <f t="shared" si="303"/>
        <v xml:space="preserve"> </v>
      </c>
      <c r="G796" s="167" t="str">
        <f t="shared" si="303"/>
        <v xml:space="preserve"> </v>
      </c>
      <c r="H796" s="167" t="str">
        <f t="shared" si="303"/>
        <v xml:space="preserve"> </v>
      </c>
      <c r="I796" s="168" t="str">
        <f t="shared" si="303"/>
        <v xml:space="preserve"> </v>
      </c>
      <c r="J796" s="101"/>
      <c r="K796" s="165"/>
      <c r="Z796" s="54"/>
      <c r="CA796" s="166" t="str">
        <f t="shared" si="304"/>
        <v xml:space="preserve"> </v>
      </c>
      <c r="CB796" s="101"/>
      <c r="CC796" s="100"/>
      <c r="CD796" s="167" t="str">
        <f t="shared" si="305"/>
        <v xml:space="preserve"> </v>
      </c>
      <c r="CE796" s="167" t="str">
        <f t="shared" si="305"/>
        <v xml:space="preserve"> </v>
      </c>
      <c r="CF796" s="167" t="str">
        <f t="shared" si="305"/>
        <v xml:space="preserve"> </v>
      </c>
      <c r="CG796" s="167" t="str">
        <f t="shared" si="305"/>
        <v xml:space="preserve"> </v>
      </c>
      <c r="CH796" s="167" t="str">
        <f t="shared" si="305"/>
        <v xml:space="preserve"> </v>
      </c>
      <c r="CI796" s="168" t="str">
        <f t="shared" si="305"/>
        <v xml:space="preserve"> </v>
      </c>
      <c r="CJ796" s="101"/>
      <c r="CK796" s="165"/>
    </row>
    <row r="797" spans="1:89">
      <c r="A797" s="238" t="str">
        <f t="shared" si="302"/>
        <v xml:space="preserve"> </v>
      </c>
      <c r="B797" s="253"/>
      <c r="C797" s="247"/>
      <c r="D797" s="240" t="str">
        <f t="shared" si="303"/>
        <v xml:space="preserve"> </v>
      </c>
      <c r="E797" s="240" t="str">
        <f t="shared" si="303"/>
        <v xml:space="preserve"> </v>
      </c>
      <c r="F797" s="240" t="str">
        <f t="shared" si="303"/>
        <v xml:space="preserve"> </v>
      </c>
      <c r="G797" s="240" t="str">
        <f t="shared" si="303"/>
        <v xml:space="preserve"> </v>
      </c>
      <c r="H797" s="240" t="str">
        <f t="shared" si="303"/>
        <v xml:space="preserve"> </v>
      </c>
      <c r="I797" s="251" t="str">
        <f t="shared" si="303"/>
        <v xml:space="preserve"> </v>
      </c>
      <c r="J797" s="253"/>
      <c r="K797" s="254"/>
      <c r="Z797" s="54"/>
      <c r="AE797" s="10"/>
      <c r="CA797" s="238" t="str">
        <f t="shared" si="304"/>
        <v xml:space="preserve"> </v>
      </c>
      <c r="CB797" s="253"/>
      <c r="CC797" s="247"/>
      <c r="CD797" s="240" t="str">
        <f t="shared" si="305"/>
        <v xml:space="preserve"> </v>
      </c>
      <c r="CE797" s="240" t="str">
        <f t="shared" si="305"/>
        <v xml:space="preserve"> </v>
      </c>
      <c r="CF797" s="240" t="str">
        <f t="shared" si="305"/>
        <v xml:space="preserve"> </v>
      </c>
      <c r="CG797" s="240" t="str">
        <f t="shared" si="305"/>
        <v xml:space="preserve"> </v>
      </c>
      <c r="CH797" s="240" t="str">
        <f t="shared" si="305"/>
        <v xml:space="preserve"> </v>
      </c>
      <c r="CI797" s="251" t="str">
        <f t="shared" si="305"/>
        <v xml:space="preserve"> </v>
      </c>
      <c r="CJ797" s="253"/>
      <c r="CK797" s="254"/>
    </row>
    <row r="798" spans="1:89">
      <c r="A798" s="166" t="str">
        <f t="shared" si="302"/>
        <v xml:space="preserve"> </v>
      </c>
      <c r="B798" s="101"/>
      <c r="C798" s="100"/>
      <c r="D798" s="167" t="str">
        <f t="shared" si="303"/>
        <v xml:space="preserve"> </v>
      </c>
      <c r="E798" s="167" t="str">
        <f t="shared" si="303"/>
        <v xml:space="preserve"> </v>
      </c>
      <c r="F798" s="167" t="str">
        <f t="shared" si="303"/>
        <v xml:space="preserve"> </v>
      </c>
      <c r="G798" s="167" t="str">
        <f t="shared" si="303"/>
        <v xml:space="preserve"> </v>
      </c>
      <c r="H798" s="167" t="str">
        <f t="shared" si="303"/>
        <v xml:space="preserve"> </v>
      </c>
      <c r="I798" s="168" t="str">
        <f t="shared" si="303"/>
        <v xml:space="preserve"> </v>
      </c>
      <c r="J798" s="101"/>
      <c r="K798" s="165"/>
      <c r="Z798" s="54"/>
      <c r="CA798" s="166" t="str">
        <f t="shared" si="304"/>
        <v xml:space="preserve"> </v>
      </c>
      <c r="CB798" s="101"/>
      <c r="CC798" s="100"/>
      <c r="CD798" s="167" t="str">
        <f t="shared" si="305"/>
        <v xml:space="preserve"> </v>
      </c>
      <c r="CE798" s="167" t="str">
        <f t="shared" si="305"/>
        <v xml:space="preserve"> </v>
      </c>
      <c r="CF798" s="167" t="str">
        <f t="shared" si="305"/>
        <v xml:space="preserve"> </v>
      </c>
      <c r="CG798" s="167" t="str">
        <f t="shared" si="305"/>
        <v xml:space="preserve"> </v>
      </c>
      <c r="CH798" s="167" t="str">
        <f t="shared" si="305"/>
        <v xml:space="preserve"> </v>
      </c>
      <c r="CI798" s="168" t="str">
        <f t="shared" si="305"/>
        <v xml:space="preserve"> </v>
      </c>
      <c r="CJ798" s="101"/>
      <c r="CK798" s="165"/>
    </row>
    <row r="799" spans="1:89">
      <c r="A799" s="238" t="str">
        <f t="shared" si="302"/>
        <v xml:space="preserve"> </v>
      </c>
      <c r="B799" s="253"/>
      <c r="C799" s="247"/>
      <c r="D799" s="240" t="str">
        <f t="shared" si="303"/>
        <v xml:space="preserve"> </v>
      </c>
      <c r="E799" s="240" t="str">
        <f t="shared" si="303"/>
        <v xml:space="preserve"> </v>
      </c>
      <c r="F799" s="240" t="str">
        <f t="shared" si="303"/>
        <v xml:space="preserve"> </v>
      </c>
      <c r="G799" s="240" t="str">
        <f t="shared" si="303"/>
        <v xml:space="preserve"> </v>
      </c>
      <c r="H799" s="240" t="str">
        <f t="shared" si="303"/>
        <v xml:space="preserve"> </v>
      </c>
      <c r="I799" s="251" t="str">
        <f t="shared" si="303"/>
        <v xml:space="preserve"> </v>
      </c>
      <c r="J799" s="253"/>
      <c r="K799" s="254"/>
      <c r="Z799" s="54"/>
      <c r="CA799" s="238" t="str">
        <f t="shared" si="304"/>
        <v xml:space="preserve"> </v>
      </c>
      <c r="CB799" s="253"/>
      <c r="CC799" s="247"/>
      <c r="CD799" s="240" t="str">
        <f t="shared" si="305"/>
        <v xml:space="preserve"> </v>
      </c>
      <c r="CE799" s="240" t="str">
        <f t="shared" si="305"/>
        <v xml:space="preserve"> </v>
      </c>
      <c r="CF799" s="240" t="str">
        <f t="shared" si="305"/>
        <v xml:space="preserve"> </v>
      </c>
      <c r="CG799" s="240" t="str">
        <f t="shared" si="305"/>
        <v xml:space="preserve"> </v>
      </c>
      <c r="CH799" s="240" t="str">
        <f t="shared" si="305"/>
        <v xml:space="preserve"> </v>
      </c>
      <c r="CI799" s="251" t="str">
        <f t="shared" si="305"/>
        <v xml:space="preserve"> </v>
      </c>
      <c r="CJ799" s="253"/>
      <c r="CK799" s="254"/>
    </row>
    <row r="800" spans="1:89">
      <c r="A800" s="166" t="str">
        <f t="shared" si="302"/>
        <v xml:space="preserve"> </v>
      </c>
      <c r="B800" s="101"/>
      <c r="C800" s="100"/>
      <c r="D800" s="167" t="str">
        <f t="shared" ref="D800:I802" si="306">IF(AND(D1600&gt;0,$E$134&gt;4),D1600," ")</f>
        <v xml:space="preserve"> </v>
      </c>
      <c r="E800" s="167" t="str">
        <f t="shared" si="306"/>
        <v xml:space="preserve"> </v>
      </c>
      <c r="F800" s="167" t="str">
        <f t="shared" si="306"/>
        <v xml:space="preserve"> </v>
      </c>
      <c r="G800" s="167" t="str">
        <f t="shared" si="306"/>
        <v xml:space="preserve"> </v>
      </c>
      <c r="H800" s="167" t="str">
        <f t="shared" si="306"/>
        <v xml:space="preserve"> </v>
      </c>
      <c r="I800" s="168" t="str">
        <f t="shared" si="306"/>
        <v xml:space="preserve"> </v>
      </c>
      <c r="J800" s="101"/>
      <c r="K800" s="165"/>
      <c r="Z800" s="54"/>
      <c r="CA800" s="166" t="str">
        <f t="shared" si="304"/>
        <v xml:space="preserve"> </v>
      </c>
      <c r="CB800" s="101"/>
      <c r="CC800" s="100"/>
      <c r="CD800" s="167" t="str">
        <f t="shared" ref="CD800:CI802" si="307">IF(AND(CD1600&gt;0,$E$134&gt;4),CD1600," ")</f>
        <v xml:space="preserve"> </v>
      </c>
      <c r="CE800" s="167" t="str">
        <f t="shared" si="307"/>
        <v xml:space="preserve"> </v>
      </c>
      <c r="CF800" s="167" t="str">
        <f t="shared" si="307"/>
        <v xml:space="preserve"> </v>
      </c>
      <c r="CG800" s="167" t="str">
        <f t="shared" si="307"/>
        <v xml:space="preserve"> </v>
      </c>
      <c r="CH800" s="167" t="str">
        <f t="shared" si="307"/>
        <v xml:space="preserve"> </v>
      </c>
      <c r="CI800" s="168" t="str">
        <f t="shared" si="307"/>
        <v xml:space="preserve"> </v>
      </c>
      <c r="CJ800" s="101"/>
      <c r="CK800" s="165"/>
    </row>
    <row r="801" spans="1:89">
      <c r="A801" s="238" t="str">
        <f t="shared" si="302"/>
        <v xml:space="preserve"> </v>
      </c>
      <c r="B801" s="253"/>
      <c r="C801" s="247"/>
      <c r="D801" s="240" t="str">
        <f t="shared" si="306"/>
        <v xml:space="preserve"> </v>
      </c>
      <c r="E801" s="240" t="str">
        <f t="shared" si="306"/>
        <v xml:space="preserve"> </v>
      </c>
      <c r="F801" s="240" t="str">
        <f t="shared" si="306"/>
        <v xml:space="preserve"> </v>
      </c>
      <c r="G801" s="240" t="str">
        <f t="shared" si="306"/>
        <v xml:space="preserve"> </v>
      </c>
      <c r="H801" s="240" t="str">
        <f t="shared" si="306"/>
        <v xml:space="preserve"> </v>
      </c>
      <c r="I801" s="251" t="str">
        <f t="shared" si="306"/>
        <v xml:space="preserve"> </v>
      </c>
      <c r="J801" s="253"/>
      <c r="K801" s="254"/>
      <c r="Z801" s="54"/>
      <c r="CA801" s="238" t="str">
        <f t="shared" si="304"/>
        <v xml:space="preserve"> </v>
      </c>
      <c r="CB801" s="253"/>
      <c r="CC801" s="247"/>
      <c r="CD801" s="240" t="str">
        <f t="shared" si="307"/>
        <v xml:space="preserve"> </v>
      </c>
      <c r="CE801" s="240" t="str">
        <f t="shared" si="307"/>
        <v xml:space="preserve"> </v>
      </c>
      <c r="CF801" s="240" t="str">
        <f t="shared" si="307"/>
        <v xml:space="preserve"> </v>
      </c>
      <c r="CG801" s="240" t="str">
        <f t="shared" si="307"/>
        <v xml:space="preserve"> </v>
      </c>
      <c r="CH801" s="240" t="str">
        <f t="shared" si="307"/>
        <v xml:space="preserve"> </v>
      </c>
      <c r="CI801" s="251" t="str">
        <f t="shared" si="307"/>
        <v xml:space="preserve"> </v>
      </c>
      <c r="CJ801" s="253"/>
      <c r="CK801" s="254"/>
    </row>
    <row r="802" spans="1:89">
      <c r="A802" s="181" t="str">
        <f t="shared" si="302"/>
        <v xml:space="preserve"> </v>
      </c>
      <c r="B802" s="103"/>
      <c r="C802" s="100"/>
      <c r="D802" s="100" t="str">
        <f t="shared" si="306"/>
        <v xml:space="preserve"> </v>
      </c>
      <c r="E802" s="100" t="str">
        <f t="shared" si="306"/>
        <v xml:space="preserve"> </v>
      </c>
      <c r="F802" s="100" t="str">
        <f t="shared" si="306"/>
        <v xml:space="preserve"> </v>
      </c>
      <c r="G802" s="100" t="str">
        <f t="shared" si="306"/>
        <v xml:space="preserve"> </v>
      </c>
      <c r="H802" s="100" t="str">
        <f t="shared" si="306"/>
        <v xml:space="preserve"> </v>
      </c>
      <c r="I802" s="177" t="str">
        <f t="shared" si="306"/>
        <v xml:space="preserve"> </v>
      </c>
      <c r="J802" s="103"/>
      <c r="K802" s="182"/>
      <c r="Z802" s="54"/>
      <c r="CA802" s="181" t="str">
        <f t="shared" si="304"/>
        <v xml:space="preserve"> </v>
      </c>
      <c r="CB802" s="103"/>
      <c r="CC802" s="100"/>
      <c r="CD802" s="100" t="str">
        <f t="shared" si="307"/>
        <v xml:space="preserve"> </v>
      </c>
      <c r="CE802" s="100" t="str">
        <f t="shared" si="307"/>
        <v xml:space="preserve"> </v>
      </c>
      <c r="CF802" s="100" t="str">
        <f t="shared" si="307"/>
        <v xml:space="preserve"> </v>
      </c>
      <c r="CG802" s="100" t="str">
        <f t="shared" si="307"/>
        <v xml:space="preserve"> </v>
      </c>
      <c r="CH802" s="100" t="str">
        <f t="shared" si="307"/>
        <v xml:space="preserve"> </v>
      </c>
      <c r="CI802" s="177" t="str">
        <f t="shared" si="307"/>
        <v xml:space="preserve"> </v>
      </c>
      <c r="CJ802" s="103"/>
      <c r="CK802" s="182"/>
    </row>
    <row r="803" spans="1:89">
      <c r="A803" s="179" t="s">
        <v>5027</v>
      </c>
      <c r="B803" s="102"/>
      <c r="C803" s="175" t="s">
        <v>5018</v>
      </c>
      <c r="D803" s="175" t="s">
        <v>5701</v>
      </c>
      <c r="E803" s="175" t="s">
        <v>5019</v>
      </c>
      <c r="F803" s="175" t="s">
        <v>5020</v>
      </c>
      <c r="G803" s="175" t="s">
        <v>5021</v>
      </c>
      <c r="H803" s="175" t="s">
        <v>5022</v>
      </c>
      <c r="I803" s="221" t="s">
        <v>5316</v>
      </c>
      <c r="J803" s="176"/>
      <c r="K803" s="180"/>
      <c r="Z803" s="54"/>
      <c r="CA803" s="179" t="s">
        <v>5027</v>
      </c>
      <c r="CB803" s="102"/>
      <c r="CC803" s="175" t="s">
        <v>5018</v>
      </c>
      <c r="CD803" s="175" t="s">
        <v>5701</v>
      </c>
      <c r="CE803" s="175" t="s">
        <v>5019</v>
      </c>
      <c r="CF803" s="175" t="s">
        <v>5020</v>
      </c>
      <c r="CG803" s="175" t="s">
        <v>5021</v>
      </c>
      <c r="CH803" s="175" t="s">
        <v>5022</v>
      </c>
      <c r="CI803" s="221" t="s">
        <v>5316</v>
      </c>
      <c r="CJ803" s="176"/>
      <c r="CK803" s="180"/>
    </row>
    <row r="804" spans="1:89">
      <c r="A804" s="166" t="str">
        <f t="shared" ref="A804:A815" si="308">IF(AND(A1604&gt;0,$E$134&gt;5),A1604," ")</f>
        <v xml:space="preserve"> </v>
      </c>
      <c r="B804" s="101"/>
      <c r="C804" s="100"/>
      <c r="D804" s="167" t="str">
        <f t="shared" ref="D804:I815" si="309">IF(AND(D1604&gt;0,$E$134&gt;5),D1604," ")</f>
        <v xml:space="preserve"> </v>
      </c>
      <c r="E804" s="167" t="str">
        <f t="shared" si="309"/>
        <v xml:space="preserve"> </v>
      </c>
      <c r="F804" s="167" t="str">
        <f t="shared" si="309"/>
        <v xml:space="preserve"> </v>
      </c>
      <c r="G804" s="167" t="str">
        <f t="shared" si="309"/>
        <v xml:space="preserve"> </v>
      </c>
      <c r="H804" s="167" t="str">
        <f t="shared" si="309"/>
        <v xml:space="preserve"> </v>
      </c>
      <c r="I804" s="168" t="str">
        <f t="shared" si="309"/>
        <v xml:space="preserve"> </v>
      </c>
      <c r="J804" s="101"/>
      <c r="K804" s="165"/>
      <c r="Z804" s="54"/>
      <c r="CA804" s="166" t="str">
        <f t="shared" ref="CA804:CA815" si="310">IF(AND(CA1604&gt;0,$E$134&gt;5),CA1604," ")</f>
        <v xml:space="preserve"> </v>
      </c>
      <c r="CB804" s="101"/>
      <c r="CC804" s="100"/>
      <c r="CD804" s="167" t="str">
        <f t="shared" ref="CD804:CI815" si="311">IF(AND(CD1604&gt;0,$E$134&gt;5),CD1604," ")</f>
        <v xml:space="preserve"> </v>
      </c>
      <c r="CE804" s="167" t="str">
        <f t="shared" si="311"/>
        <v xml:space="preserve"> </v>
      </c>
      <c r="CF804" s="167" t="str">
        <f t="shared" si="311"/>
        <v xml:space="preserve"> </v>
      </c>
      <c r="CG804" s="167" t="str">
        <f t="shared" si="311"/>
        <v xml:space="preserve"> </v>
      </c>
      <c r="CH804" s="167" t="str">
        <f t="shared" si="311"/>
        <v xml:space="preserve"> </v>
      </c>
      <c r="CI804" s="168" t="str">
        <f t="shared" si="311"/>
        <v xml:space="preserve"> </v>
      </c>
      <c r="CJ804" s="101"/>
      <c r="CK804" s="165"/>
    </row>
    <row r="805" spans="1:89">
      <c r="A805" s="238" t="str">
        <f t="shared" si="308"/>
        <v xml:space="preserve"> </v>
      </c>
      <c r="B805" s="253"/>
      <c r="C805" s="247"/>
      <c r="D805" s="240" t="str">
        <f t="shared" si="309"/>
        <v xml:space="preserve"> </v>
      </c>
      <c r="E805" s="240" t="str">
        <f t="shared" si="309"/>
        <v xml:space="preserve"> </v>
      </c>
      <c r="F805" s="240" t="str">
        <f t="shared" si="309"/>
        <v xml:space="preserve"> </v>
      </c>
      <c r="G805" s="240" t="str">
        <f t="shared" si="309"/>
        <v xml:space="preserve"> </v>
      </c>
      <c r="H805" s="240" t="str">
        <f t="shared" si="309"/>
        <v xml:space="preserve"> </v>
      </c>
      <c r="I805" s="251" t="str">
        <f t="shared" si="309"/>
        <v xml:space="preserve"> </v>
      </c>
      <c r="J805" s="253"/>
      <c r="K805" s="254"/>
      <c r="Z805" s="54"/>
      <c r="CA805" s="238" t="str">
        <f t="shared" si="310"/>
        <v xml:space="preserve"> </v>
      </c>
      <c r="CB805" s="253"/>
      <c r="CC805" s="247"/>
      <c r="CD805" s="240" t="str">
        <f t="shared" si="311"/>
        <v xml:space="preserve"> </v>
      </c>
      <c r="CE805" s="240" t="str">
        <f t="shared" si="311"/>
        <v xml:space="preserve"> </v>
      </c>
      <c r="CF805" s="240" t="str">
        <f t="shared" si="311"/>
        <v xml:space="preserve"> </v>
      </c>
      <c r="CG805" s="240" t="str">
        <f t="shared" si="311"/>
        <v xml:space="preserve"> </v>
      </c>
      <c r="CH805" s="240" t="str">
        <f t="shared" si="311"/>
        <v xml:space="preserve"> </v>
      </c>
      <c r="CI805" s="251" t="str">
        <f t="shared" si="311"/>
        <v xml:space="preserve"> </v>
      </c>
      <c r="CJ805" s="253"/>
      <c r="CK805" s="254"/>
    </row>
    <row r="806" spans="1:89">
      <c r="A806" s="166" t="str">
        <f t="shared" si="308"/>
        <v xml:space="preserve"> </v>
      </c>
      <c r="B806" s="101"/>
      <c r="C806" s="100"/>
      <c r="D806" s="167" t="str">
        <f t="shared" si="309"/>
        <v xml:space="preserve"> </v>
      </c>
      <c r="E806" s="167" t="str">
        <f t="shared" si="309"/>
        <v xml:space="preserve"> </v>
      </c>
      <c r="F806" s="167" t="str">
        <f t="shared" si="309"/>
        <v xml:space="preserve"> </v>
      </c>
      <c r="G806" s="167" t="str">
        <f t="shared" si="309"/>
        <v xml:space="preserve"> </v>
      </c>
      <c r="H806" s="167" t="str">
        <f t="shared" si="309"/>
        <v xml:space="preserve"> </v>
      </c>
      <c r="I806" s="168" t="str">
        <f t="shared" si="309"/>
        <v xml:space="preserve"> </v>
      </c>
      <c r="J806" s="101"/>
      <c r="K806" s="165"/>
      <c r="Z806" s="54"/>
      <c r="CA806" s="166" t="str">
        <f t="shared" si="310"/>
        <v xml:space="preserve"> </v>
      </c>
      <c r="CB806" s="101"/>
      <c r="CC806" s="100"/>
      <c r="CD806" s="167" t="str">
        <f t="shared" si="311"/>
        <v xml:space="preserve"> </v>
      </c>
      <c r="CE806" s="167" t="str">
        <f t="shared" si="311"/>
        <v xml:space="preserve"> </v>
      </c>
      <c r="CF806" s="167" t="str">
        <f t="shared" si="311"/>
        <v xml:space="preserve"> </v>
      </c>
      <c r="CG806" s="167" t="str">
        <f t="shared" si="311"/>
        <v xml:space="preserve"> </v>
      </c>
      <c r="CH806" s="167" t="str">
        <f t="shared" si="311"/>
        <v xml:space="preserve"> </v>
      </c>
      <c r="CI806" s="168" t="str">
        <f t="shared" si="311"/>
        <v xml:space="preserve"> </v>
      </c>
      <c r="CJ806" s="101"/>
      <c r="CK806" s="165"/>
    </row>
    <row r="807" spans="1:89">
      <c r="A807" s="238" t="str">
        <f t="shared" si="308"/>
        <v xml:space="preserve"> </v>
      </c>
      <c r="B807" s="253"/>
      <c r="C807" s="247"/>
      <c r="D807" s="240" t="str">
        <f t="shared" si="309"/>
        <v xml:space="preserve"> </v>
      </c>
      <c r="E807" s="240" t="str">
        <f t="shared" si="309"/>
        <v xml:space="preserve"> </v>
      </c>
      <c r="F807" s="240" t="str">
        <f t="shared" si="309"/>
        <v xml:space="preserve"> </v>
      </c>
      <c r="G807" s="240" t="str">
        <f t="shared" si="309"/>
        <v xml:space="preserve"> </v>
      </c>
      <c r="H807" s="240" t="str">
        <f t="shared" si="309"/>
        <v xml:space="preserve"> </v>
      </c>
      <c r="I807" s="251" t="str">
        <f t="shared" si="309"/>
        <v xml:space="preserve"> </v>
      </c>
      <c r="J807" s="253"/>
      <c r="K807" s="254"/>
      <c r="Z807" s="54"/>
      <c r="CA807" s="238" t="str">
        <f t="shared" si="310"/>
        <v xml:space="preserve"> </v>
      </c>
      <c r="CB807" s="253"/>
      <c r="CC807" s="247"/>
      <c r="CD807" s="240" t="str">
        <f t="shared" si="311"/>
        <v xml:space="preserve"> </v>
      </c>
      <c r="CE807" s="240" t="str">
        <f t="shared" si="311"/>
        <v xml:space="preserve"> </v>
      </c>
      <c r="CF807" s="240" t="str">
        <f t="shared" si="311"/>
        <v xml:space="preserve"> </v>
      </c>
      <c r="CG807" s="240" t="str">
        <f t="shared" si="311"/>
        <v xml:space="preserve"> </v>
      </c>
      <c r="CH807" s="240" t="str">
        <f t="shared" si="311"/>
        <v xml:space="preserve"> </v>
      </c>
      <c r="CI807" s="251" t="str">
        <f t="shared" si="311"/>
        <v xml:space="preserve"> </v>
      </c>
      <c r="CJ807" s="253"/>
      <c r="CK807" s="254"/>
    </row>
    <row r="808" spans="1:89">
      <c r="A808" s="166" t="str">
        <f t="shared" si="308"/>
        <v xml:space="preserve"> </v>
      </c>
      <c r="B808" s="101"/>
      <c r="C808" s="100"/>
      <c r="D808" s="167" t="str">
        <f t="shared" si="309"/>
        <v xml:space="preserve"> </v>
      </c>
      <c r="E808" s="167" t="str">
        <f t="shared" si="309"/>
        <v xml:space="preserve"> </v>
      </c>
      <c r="F808" s="167" t="str">
        <f t="shared" si="309"/>
        <v xml:space="preserve"> </v>
      </c>
      <c r="G808" s="167" t="str">
        <f t="shared" si="309"/>
        <v xml:space="preserve"> </v>
      </c>
      <c r="H808" s="167" t="str">
        <f t="shared" si="309"/>
        <v xml:space="preserve"> </v>
      </c>
      <c r="I808" s="168" t="str">
        <f t="shared" si="309"/>
        <v xml:space="preserve"> </v>
      </c>
      <c r="J808" s="101"/>
      <c r="K808" s="165"/>
      <c r="Z808" s="54"/>
      <c r="CA808" s="166" t="str">
        <f t="shared" si="310"/>
        <v xml:space="preserve"> </v>
      </c>
      <c r="CB808" s="101"/>
      <c r="CC808" s="100"/>
      <c r="CD808" s="167" t="str">
        <f t="shared" si="311"/>
        <v xml:space="preserve"> </v>
      </c>
      <c r="CE808" s="167" t="str">
        <f t="shared" si="311"/>
        <v xml:space="preserve"> </v>
      </c>
      <c r="CF808" s="167" t="str">
        <f t="shared" si="311"/>
        <v xml:space="preserve"> </v>
      </c>
      <c r="CG808" s="167" t="str">
        <f t="shared" si="311"/>
        <v xml:space="preserve"> </v>
      </c>
      <c r="CH808" s="167" t="str">
        <f t="shared" si="311"/>
        <v xml:space="preserve"> </v>
      </c>
      <c r="CI808" s="168" t="str">
        <f t="shared" si="311"/>
        <v xml:space="preserve"> </v>
      </c>
      <c r="CJ808" s="101"/>
      <c r="CK808" s="165"/>
    </row>
    <row r="809" spans="1:89">
      <c r="A809" s="238" t="str">
        <f t="shared" si="308"/>
        <v xml:space="preserve"> </v>
      </c>
      <c r="B809" s="253"/>
      <c r="C809" s="247"/>
      <c r="D809" s="240" t="str">
        <f t="shared" si="309"/>
        <v xml:space="preserve"> </v>
      </c>
      <c r="E809" s="240" t="str">
        <f t="shared" si="309"/>
        <v xml:space="preserve"> </v>
      </c>
      <c r="F809" s="240" t="str">
        <f t="shared" si="309"/>
        <v xml:space="preserve"> </v>
      </c>
      <c r="G809" s="240" t="str">
        <f t="shared" si="309"/>
        <v xml:space="preserve"> </v>
      </c>
      <c r="H809" s="240" t="str">
        <f t="shared" si="309"/>
        <v xml:space="preserve"> </v>
      </c>
      <c r="I809" s="251" t="str">
        <f t="shared" si="309"/>
        <v xml:space="preserve"> </v>
      </c>
      <c r="J809" s="253"/>
      <c r="K809" s="254"/>
      <c r="Z809" s="54"/>
      <c r="CA809" s="238" t="str">
        <f t="shared" si="310"/>
        <v xml:space="preserve"> </v>
      </c>
      <c r="CB809" s="253"/>
      <c r="CC809" s="247"/>
      <c r="CD809" s="240" t="str">
        <f t="shared" si="311"/>
        <v xml:space="preserve"> </v>
      </c>
      <c r="CE809" s="240" t="str">
        <f t="shared" si="311"/>
        <v xml:space="preserve"> </v>
      </c>
      <c r="CF809" s="240" t="str">
        <f t="shared" si="311"/>
        <v xml:space="preserve"> </v>
      </c>
      <c r="CG809" s="240" t="str">
        <f t="shared" si="311"/>
        <v xml:space="preserve"> </v>
      </c>
      <c r="CH809" s="240" t="str">
        <f t="shared" si="311"/>
        <v xml:space="preserve"> </v>
      </c>
      <c r="CI809" s="251" t="str">
        <f t="shared" si="311"/>
        <v xml:space="preserve"> </v>
      </c>
      <c r="CJ809" s="253"/>
      <c r="CK809" s="254"/>
    </row>
    <row r="810" spans="1:89">
      <c r="A810" s="166" t="str">
        <f t="shared" si="308"/>
        <v xml:space="preserve"> </v>
      </c>
      <c r="B810" s="101"/>
      <c r="C810" s="100"/>
      <c r="D810" s="167" t="str">
        <f t="shared" si="309"/>
        <v xml:space="preserve"> </v>
      </c>
      <c r="E810" s="167" t="str">
        <f t="shared" si="309"/>
        <v xml:space="preserve"> </v>
      </c>
      <c r="F810" s="167" t="str">
        <f t="shared" si="309"/>
        <v xml:space="preserve"> </v>
      </c>
      <c r="G810" s="167" t="str">
        <f t="shared" si="309"/>
        <v xml:space="preserve"> </v>
      </c>
      <c r="H810" s="167" t="str">
        <f t="shared" si="309"/>
        <v xml:space="preserve"> </v>
      </c>
      <c r="I810" s="168" t="str">
        <f t="shared" si="309"/>
        <v xml:space="preserve"> </v>
      </c>
      <c r="J810" s="101"/>
      <c r="K810" s="165"/>
      <c r="Z810" s="54"/>
      <c r="CA810" s="166" t="str">
        <f t="shared" si="310"/>
        <v xml:space="preserve"> </v>
      </c>
      <c r="CB810" s="101"/>
      <c r="CC810" s="100"/>
      <c r="CD810" s="167" t="str">
        <f t="shared" si="311"/>
        <v xml:space="preserve"> </v>
      </c>
      <c r="CE810" s="167" t="str">
        <f t="shared" si="311"/>
        <v xml:space="preserve"> </v>
      </c>
      <c r="CF810" s="167" t="str">
        <f t="shared" si="311"/>
        <v xml:space="preserve"> </v>
      </c>
      <c r="CG810" s="167" t="str">
        <f t="shared" si="311"/>
        <v xml:space="preserve"> </v>
      </c>
      <c r="CH810" s="167" t="str">
        <f t="shared" si="311"/>
        <v xml:space="preserve"> </v>
      </c>
      <c r="CI810" s="168" t="str">
        <f t="shared" si="311"/>
        <v xml:space="preserve"> </v>
      </c>
      <c r="CJ810" s="101"/>
      <c r="CK810" s="165"/>
    </row>
    <row r="811" spans="1:89">
      <c r="A811" s="238" t="str">
        <f t="shared" si="308"/>
        <v xml:space="preserve"> </v>
      </c>
      <c r="B811" s="253"/>
      <c r="C811" s="247"/>
      <c r="D811" s="240" t="str">
        <f t="shared" si="309"/>
        <v xml:space="preserve"> </v>
      </c>
      <c r="E811" s="240" t="str">
        <f t="shared" si="309"/>
        <v xml:space="preserve"> </v>
      </c>
      <c r="F811" s="240" t="str">
        <f t="shared" si="309"/>
        <v xml:space="preserve"> </v>
      </c>
      <c r="G811" s="240" t="str">
        <f t="shared" si="309"/>
        <v xml:space="preserve"> </v>
      </c>
      <c r="H811" s="240" t="str">
        <f t="shared" si="309"/>
        <v xml:space="preserve"> </v>
      </c>
      <c r="I811" s="251" t="str">
        <f t="shared" si="309"/>
        <v xml:space="preserve"> </v>
      </c>
      <c r="J811" s="253"/>
      <c r="K811" s="254"/>
      <c r="Z811" s="54"/>
      <c r="CA811" s="238" t="str">
        <f t="shared" si="310"/>
        <v xml:space="preserve"> </v>
      </c>
      <c r="CB811" s="253"/>
      <c r="CC811" s="247"/>
      <c r="CD811" s="240" t="str">
        <f t="shared" si="311"/>
        <v xml:space="preserve"> </v>
      </c>
      <c r="CE811" s="240" t="str">
        <f t="shared" si="311"/>
        <v xml:space="preserve"> </v>
      </c>
      <c r="CF811" s="240" t="str">
        <f t="shared" si="311"/>
        <v xml:space="preserve"> </v>
      </c>
      <c r="CG811" s="240" t="str">
        <f t="shared" si="311"/>
        <v xml:space="preserve"> </v>
      </c>
      <c r="CH811" s="240" t="str">
        <f t="shared" si="311"/>
        <v xml:space="preserve"> </v>
      </c>
      <c r="CI811" s="251" t="str">
        <f t="shared" si="311"/>
        <v xml:space="preserve"> </v>
      </c>
      <c r="CJ811" s="253"/>
      <c r="CK811" s="254"/>
    </row>
    <row r="812" spans="1:89">
      <c r="A812" s="166" t="str">
        <f t="shared" si="308"/>
        <v xml:space="preserve"> </v>
      </c>
      <c r="B812" s="101"/>
      <c r="C812" s="100"/>
      <c r="D812" s="167" t="str">
        <f t="shared" si="309"/>
        <v xml:space="preserve"> </v>
      </c>
      <c r="E812" s="167" t="str">
        <f t="shared" si="309"/>
        <v xml:space="preserve"> </v>
      </c>
      <c r="F812" s="167" t="str">
        <f t="shared" si="309"/>
        <v xml:space="preserve"> </v>
      </c>
      <c r="G812" s="167" t="str">
        <f t="shared" si="309"/>
        <v xml:space="preserve"> </v>
      </c>
      <c r="H812" s="167" t="str">
        <f t="shared" si="309"/>
        <v xml:space="preserve"> </v>
      </c>
      <c r="I812" s="168" t="str">
        <f t="shared" si="309"/>
        <v xml:space="preserve"> </v>
      </c>
      <c r="J812" s="101"/>
      <c r="K812" s="165"/>
      <c r="Z812" s="54"/>
      <c r="CA812" s="166" t="str">
        <f t="shared" si="310"/>
        <v xml:space="preserve"> </v>
      </c>
      <c r="CB812" s="101"/>
      <c r="CC812" s="100"/>
      <c r="CD812" s="167" t="str">
        <f t="shared" si="311"/>
        <v xml:space="preserve"> </v>
      </c>
      <c r="CE812" s="167" t="str">
        <f t="shared" si="311"/>
        <v xml:space="preserve"> </v>
      </c>
      <c r="CF812" s="167" t="str">
        <f t="shared" si="311"/>
        <v xml:space="preserve"> </v>
      </c>
      <c r="CG812" s="167" t="str">
        <f t="shared" si="311"/>
        <v xml:space="preserve"> </v>
      </c>
      <c r="CH812" s="167" t="str">
        <f t="shared" si="311"/>
        <v xml:space="preserve"> </v>
      </c>
      <c r="CI812" s="168" t="str">
        <f t="shared" si="311"/>
        <v xml:space="preserve"> </v>
      </c>
      <c r="CJ812" s="101"/>
      <c r="CK812" s="165"/>
    </row>
    <row r="813" spans="1:89">
      <c r="A813" s="238" t="str">
        <f t="shared" si="308"/>
        <v xml:space="preserve"> </v>
      </c>
      <c r="B813" s="253"/>
      <c r="C813" s="247"/>
      <c r="D813" s="240" t="str">
        <f t="shared" si="309"/>
        <v xml:space="preserve"> </v>
      </c>
      <c r="E813" s="240" t="str">
        <f t="shared" si="309"/>
        <v xml:space="preserve"> </v>
      </c>
      <c r="F813" s="240" t="str">
        <f t="shared" si="309"/>
        <v xml:space="preserve"> </v>
      </c>
      <c r="G813" s="240" t="str">
        <f t="shared" si="309"/>
        <v xml:space="preserve"> </v>
      </c>
      <c r="H813" s="240" t="str">
        <f t="shared" si="309"/>
        <v xml:space="preserve"> </v>
      </c>
      <c r="I813" s="251" t="str">
        <f t="shared" si="309"/>
        <v xml:space="preserve"> </v>
      </c>
      <c r="J813" s="253"/>
      <c r="K813" s="254"/>
      <c r="Z813" s="54"/>
      <c r="CA813" s="238" t="str">
        <f t="shared" si="310"/>
        <v xml:space="preserve"> </v>
      </c>
      <c r="CB813" s="253"/>
      <c r="CC813" s="247"/>
      <c r="CD813" s="240" t="str">
        <f t="shared" si="311"/>
        <v xml:space="preserve"> </v>
      </c>
      <c r="CE813" s="240" t="str">
        <f t="shared" si="311"/>
        <v xml:space="preserve"> </v>
      </c>
      <c r="CF813" s="240" t="str">
        <f t="shared" si="311"/>
        <v xml:space="preserve"> </v>
      </c>
      <c r="CG813" s="240" t="str">
        <f t="shared" si="311"/>
        <v xml:space="preserve"> </v>
      </c>
      <c r="CH813" s="240" t="str">
        <f t="shared" si="311"/>
        <v xml:space="preserve"> </v>
      </c>
      <c r="CI813" s="251" t="str">
        <f t="shared" si="311"/>
        <v xml:space="preserve"> </v>
      </c>
      <c r="CJ813" s="253"/>
      <c r="CK813" s="254"/>
    </row>
    <row r="814" spans="1:89">
      <c r="A814" s="166" t="str">
        <f t="shared" si="308"/>
        <v xml:space="preserve"> </v>
      </c>
      <c r="B814" s="101"/>
      <c r="C814" s="100"/>
      <c r="D814" s="167" t="str">
        <f t="shared" si="309"/>
        <v xml:space="preserve"> </v>
      </c>
      <c r="E814" s="167" t="str">
        <f t="shared" si="309"/>
        <v xml:space="preserve"> </v>
      </c>
      <c r="F814" s="167" t="str">
        <f t="shared" si="309"/>
        <v xml:space="preserve"> </v>
      </c>
      <c r="G814" s="167" t="str">
        <f t="shared" si="309"/>
        <v xml:space="preserve"> </v>
      </c>
      <c r="H814" s="167" t="str">
        <f t="shared" si="309"/>
        <v xml:space="preserve"> </v>
      </c>
      <c r="I814" s="168" t="str">
        <f t="shared" si="309"/>
        <v xml:space="preserve"> </v>
      </c>
      <c r="J814" s="101"/>
      <c r="K814" s="165"/>
      <c r="Z814" s="54"/>
      <c r="CA814" s="166" t="str">
        <f t="shared" si="310"/>
        <v xml:space="preserve"> </v>
      </c>
      <c r="CB814" s="101"/>
      <c r="CC814" s="100"/>
      <c r="CD814" s="167" t="str">
        <f t="shared" si="311"/>
        <v xml:space="preserve"> </v>
      </c>
      <c r="CE814" s="167" t="str">
        <f t="shared" si="311"/>
        <v xml:space="preserve"> </v>
      </c>
      <c r="CF814" s="167" t="str">
        <f t="shared" si="311"/>
        <v xml:space="preserve"> </v>
      </c>
      <c r="CG814" s="167" t="str">
        <f t="shared" si="311"/>
        <v xml:space="preserve"> </v>
      </c>
      <c r="CH814" s="167" t="str">
        <f t="shared" si="311"/>
        <v xml:space="preserve"> </v>
      </c>
      <c r="CI814" s="168" t="str">
        <f t="shared" si="311"/>
        <v xml:space="preserve"> </v>
      </c>
      <c r="CJ814" s="101"/>
      <c r="CK814" s="165"/>
    </row>
    <row r="815" spans="1:89">
      <c r="A815" s="238" t="str">
        <f t="shared" si="308"/>
        <v xml:space="preserve"> </v>
      </c>
      <c r="B815" s="253"/>
      <c r="C815" s="247"/>
      <c r="D815" s="240" t="str">
        <f t="shared" si="309"/>
        <v xml:space="preserve"> </v>
      </c>
      <c r="E815" s="240" t="str">
        <f t="shared" si="309"/>
        <v xml:space="preserve"> </v>
      </c>
      <c r="F815" s="240" t="str">
        <f t="shared" si="309"/>
        <v xml:space="preserve"> </v>
      </c>
      <c r="G815" s="240" t="str">
        <f t="shared" si="309"/>
        <v xml:space="preserve"> </v>
      </c>
      <c r="H815" s="240" t="str">
        <f t="shared" si="309"/>
        <v xml:space="preserve"> </v>
      </c>
      <c r="I815" s="251" t="str">
        <f t="shared" si="309"/>
        <v xml:space="preserve"> </v>
      </c>
      <c r="J815" s="253"/>
      <c r="K815" s="254"/>
      <c r="Z815" s="54"/>
      <c r="CA815" s="238" t="str">
        <f t="shared" si="310"/>
        <v xml:space="preserve"> </v>
      </c>
      <c r="CB815" s="253"/>
      <c r="CC815" s="247"/>
      <c r="CD815" s="240" t="str">
        <f t="shared" si="311"/>
        <v xml:space="preserve"> </v>
      </c>
      <c r="CE815" s="240" t="str">
        <f t="shared" si="311"/>
        <v xml:space="preserve"> </v>
      </c>
      <c r="CF815" s="240" t="str">
        <f t="shared" si="311"/>
        <v xml:space="preserve"> </v>
      </c>
      <c r="CG815" s="240" t="str">
        <f t="shared" si="311"/>
        <v xml:space="preserve"> </v>
      </c>
      <c r="CH815" s="240" t="str">
        <f t="shared" si="311"/>
        <v xml:space="preserve"> </v>
      </c>
      <c r="CI815" s="251" t="str">
        <f t="shared" si="311"/>
        <v xml:space="preserve"> </v>
      </c>
      <c r="CJ815" s="253"/>
      <c r="CK815" s="254"/>
    </row>
    <row r="816" spans="1:89">
      <c r="A816" s="179" t="s">
        <v>5217</v>
      </c>
      <c r="B816" s="102"/>
      <c r="C816" s="175" t="s">
        <v>5018</v>
      </c>
      <c r="D816" s="175" t="s">
        <v>5701</v>
      </c>
      <c r="E816" s="175" t="s">
        <v>5019</v>
      </c>
      <c r="F816" s="175" t="s">
        <v>5020</v>
      </c>
      <c r="G816" s="175" t="s">
        <v>5021</v>
      </c>
      <c r="H816" s="175" t="s">
        <v>5022</v>
      </c>
      <c r="I816" s="221" t="s">
        <v>5316</v>
      </c>
      <c r="J816" s="176"/>
      <c r="K816" s="180"/>
      <c r="Z816" s="54"/>
      <c r="CA816" s="179" t="s">
        <v>5217</v>
      </c>
      <c r="CB816" s="102"/>
      <c r="CC816" s="175" t="s">
        <v>5018</v>
      </c>
      <c r="CD816" s="175" t="s">
        <v>5701</v>
      </c>
      <c r="CE816" s="175" t="s">
        <v>5019</v>
      </c>
      <c r="CF816" s="175" t="s">
        <v>5020</v>
      </c>
      <c r="CG816" s="175" t="s">
        <v>5021</v>
      </c>
      <c r="CH816" s="175" t="s">
        <v>5022</v>
      </c>
      <c r="CI816" s="221" t="s">
        <v>5316</v>
      </c>
      <c r="CJ816" s="176"/>
      <c r="CK816" s="180"/>
    </row>
    <row r="817" spans="1:89">
      <c r="A817" s="166" t="str">
        <f t="shared" ref="A817:A832" si="312">IF(AND(A1617&gt;0,$E$134&gt;6),A1617," ")</f>
        <v>Spells, Circle 7</v>
      </c>
      <c r="B817" s="101"/>
      <c r="C817" s="100"/>
      <c r="D817" s="167" t="str">
        <f t="shared" ref="D817:I817" si="313">IF(AND(D1617&gt;0,$E$134&gt;6),D1617," ")</f>
        <v>Source</v>
      </c>
      <c r="E817" s="167" t="str">
        <f t="shared" si="313"/>
        <v>Threads</v>
      </c>
      <c r="F817" s="167" t="str">
        <f t="shared" si="313"/>
        <v>Weaving Diff</v>
      </c>
      <c r="G817" s="167" t="str">
        <f t="shared" si="313"/>
        <v>Range</v>
      </c>
      <c r="H817" s="167" t="str">
        <f t="shared" si="313"/>
        <v>Duration</v>
      </c>
      <c r="I817" s="168" t="str">
        <f t="shared" si="313"/>
        <v>Effect</v>
      </c>
      <c r="J817" s="101"/>
      <c r="K817" s="165"/>
      <c r="Z817" s="54"/>
      <c r="CA817" s="166" t="str">
        <f t="shared" ref="CA817:CA832" si="314">IF(AND(CA1617&gt;0,$E$134&gt;6),CA1617," ")</f>
        <v xml:space="preserve"> </v>
      </c>
      <c r="CB817" s="101"/>
      <c r="CC817" s="100"/>
      <c r="CD817" s="167" t="str">
        <f t="shared" ref="CD817:CI817" si="315">IF(AND(CD1617&gt;0,$E$134&gt;6),CD1617," ")</f>
        <v xml:space="preserve"> </v>
      </c>
      <c r="CE817" s="167" t="str">
        <f t="shared" si="315"/>
        <v xml:space="preserve"> </v>
      </c>
      <c r="CF817" s="167" t="str">
        <f t="shared" si="315"/>
        <v xml:space="preserve"> </v>
      </c>
      <c r="CG817" s="167" t="str">
        <f t="shared" si="315"/>
        <v xml:space="preserve"> </v>
      </c>
      <c r="CH817" s="167" t="str">
        <f t="shared" si="315"/>
        <v xml:space="preserve"> </v>
      </c>
      <c r="CI817" s="168" t="str">
        <f t="shared" si="315"/>
        <v xml:space="preserve"> </v>
      </c>
      <c r="CJ817" s="101"/>
      <c r="CK817" s="165"/>
    </row>
    <row r="818" spans="1:89">
      <c r="A818" s="238" t="str">
        <f t="shared" si="312"/>
        <v xml:space="preserve"> </v>
      </c>
      <c r="B818" s="253"/>
      <c r="C818" s="247"/>
      <c r="D818" s="240" t="str">
        <f t="shared" ref="D818:I831" si="316">IF(AND(D1618&gt;0,$E$134&gt;6),D1618," ")</f>
        <v xml:space="preserve"> </v>
      </c>
      <c r="E818" s="240" t="str">
        <f t="shared" si="316"/>
        <v xml:space="preserve"> </v>
      </c>
      <c r="F818" s="240" t="str">
        <f t="shared" si="316"/>
        <v xml:space="preserve"> </v>
      </c>
      <c r="G818" s="240" t="str">
        <f t="shared" si="316"/>
        <v xml:space="preserve"> </v>
      </c>
      <c r="H818" s="240" t="str">
        <f t="shared" si="316"/>
        <v xml:space="preserve"> </v>
      </c>
      <c r="I818" s="251" t="str">
        <f t="shared" si="316"/>
        <v xml:space="preserve"> </v>
      </c>
      <c r="J818" s="253"/>
      <c r="K818" s="254"/>
      <c r="Z818" s="54"/>
      <c r="CA818" s="238" t="str">
        <f t="shared" si="314"/>
        <v xml:space="preserve"> </v>
      </c>
      <c r="CB818" s="253"/>
      <c r="CC818" s="247"/>
      <c r="CD818" s="240" t="str">
        <f t="shared" ref="CD818:CI831" si="317">IF(AND(CD1618&gt;0,$E$134&gt;6),CD1618," ")</f>
        <v xml:space="preserve"> </v>
      </c>
      <c r="CE818" s="240" t="str">
        <f t="shared" si="317"/>
        <v xml:space="preserve"> </v>
      </c>
      <c r="CF818" s="240" t="str">
        <f t="shared" si="317"/>
        <v xml:space="preserve"> </v>
      </c>
      <c r="CG818" s="240" t="str">
        <f t="shared" si="317"/>
        <v xml:space="preserve"> </v>
      </c>
      <c r="CH818" s="240" t="str">
        <f t="shared" si="317"/>
        <v xml:space="preserve"> </v>
      </c>
      <c r="CI818" s="251" t="str">
        <f t="shared" si="317"/>
        <v xml:space="preserve"> </v>
      </c>
      <c r="CJ818" s="253"/>
      <c r="CK818" s="254"/>
    </row>
    <row r="819" spans="1:89">
      <c r="A819" s="166" t="str">
        <f t="shared" si="312"/>
        <v xml:space="preserve"> </v>
      </c>
      <c r="B819" s="101"/>
      <c r="C819" s="100"/>
      <c r="D819" s="167" t="str">
        <f t="shared" si="316"/>
        <v xml:space="preserve"> </v>
      </c>
      <c r="E819" s="167" t="str">
        <f t="shared" si="316"/>
        <v xml:space="preserve"> </v>
      </c>
      <c r="F819" s="167" t="str">
        <f t="shared" si="316"/>
        <v xml:space="preserve"> </v>
      </c>
      <c r="G819" s="167" t="str">
        <f t="shared" si="316"/>
        <v xml:space="preserve"> </v>
      </c>
      <c r="H819" s="167" t="str">
        <f t="shared" si="316"/>
        <v xml:space="preserve"> </v>
      </c>
      <c r="I819" s="168" t="str">
        <f t="shared" si="316"/>
        <v xml:space="preserve"> </v>
      </c>
      <c r="J819" s="101"/>
      <c r="K819" s="165"/>
      <c r="Z819" s="54"/>
      <c r="CA819" s="166" t="str">
        <f t="shared" si="314"/>
        <v xml:space="preserve"> </v>
      </c>
      <c r="CB819" s="101"/>
      <c r="CC819" s="100"/>
      <c r="CD819" s="167" t="str">
        <f t="shared" si="317"/>
        <v xml:space="preserve"> </v>
      </c>
      <c r="CE819" s="167" t="str">
        <f t="shared" si="317"/>
        <v xml:space="preserve"> </v>
      </c>
      <c r="CF819" s="167" t="str">
        <f t="shared" si="317"/>
        <v xml:space="preserve"> </v>
      </c>
      <c r="CG819" s="167" t="str">
        <f t="shared" si="317"/>
        <v xml:space="preserve"> </v>
      </c>
      <c r="CH819" s="167" t="str">
        <f t="shared" si="317"/>
        <v xml:space="preserve"> </v>
      </c>
      <c r="CI819" s="168" t="str">
        <f t="shared" si="317"/>
        <v xml:space="preserve"> </v>
      </c>
      <c r="CJ819" s="101"/>
      <c r="CK819" s="165"/>
    </row>
    <row r="820" spans="1:89">
      <c r="A820" s="238" t="str">
        <f t="shared" si="312"/>
        <v xml:space="preserve"> </v>
      </c>
      <c r="B820" s="253"/>
      <c r="C820" s="247"/>
      <c r="D820" s="240" t="str">
        <f t="shared" si="316"/>
        <v xml:space="preserve"> </v>
      </c>
      <c r="E820" s="240" t="str">
        <f t="shared" si="316"/>
        <v xml:space="preserve"> </v>
      </c>
      <c r="F820" s="240" t="str">
        <f t="shared" si="316"/>
        <v xml:space="preserve"> </v>
      </c>
      <c r="G820" s="240" t="str">
        <f t="shared" si="316"/>
        <v xml:space="preserve"> </v>
      </c>
      <c r="H820" s="240" t="str">
        <f t="shared" si="316"/>
        <v xml:space="preserve"> </v>
      </c>
      <c r="I820" s="251" t="str">
        <f t="shared" si="316"/>
        <v xml:space="preserve"> </v>
      </c>
      <c r="J820" s="253"/>
      <c r="K820" s="254"/>
      <c r="Z820" s="54"/>
      <c r="CA820" s="238" t="str">
        <f t="shared" si="314"/>
        <v xml:space="preserve"> </v>
      </c>
      <c r="CB820" s="253"/>
      <c r="CC820" s="247"/>
      <c r="CD820" s="240" t="str">
        <f t="shared" si="317"/>
        <v xml:space="preserve"> </v>
      </c>
      <c r="CE820" s="240" t="str">
        <f t="shared" si="317"/>
        <v xml:space="preserve"> </v>
      </c>
      <c r="CF820" s="240" t="str">
        <f t="shared" si="317"/>
        <v xml:space="preserve"> </v>
      </c>
      <c r="CG820" s="240" t="str">
        <f t="shared" si="317"/>
        <v xml:space="preserve"> </v>
      </c>
      <c r="CH820" s="240" t="str">
        <f t="shared" si="317"/>
        <v xml:space="preserve"> </v>
      </c>
      <c r="CI820" s="251" t="str">
        <f t="shared" si="317"/>
        <v xml:space="preserve"> </v>
      </c>
      <c r="CJ820" s="253"/>
      <c r="CK820" s="254"/>
    </row>
    <row r="821" spans="1:89">
      <c r="A821" s="166" t="str">
        <f t="shared" si="312"/>
        <v xml:space="preserve"> </v>
      </c>
      <c r="B821" s="101"/>
      <c r="C821" s="100"/>
      <c r="D821" s="167" t="str">
        <f t="shared" si="316"/>
        <v xml:space="preserve"> </v>
      </c>
      <c r="E821" s="167" t="str">
        <f t="shared" si="316"/>
        <v xml:space="preserve"> </v>
      </c>
      <c r="F821" s="167" t="str">
        <f t="shared" si="316"/>
        <v xml:space="preserve"> </v>
      </c>
      <c r="G821" s="167" t="str">
        <f t="shared" si="316"/>
        <v xml:space="preserve"> </v>
      </c>
      <c r="H821" s="167" t="str">
        <f t="shared" si="316"/>
        <v xml:space="preserve"> </v>
      </c>
      <c r="I821" s="168" t="str">
        <f t="shared" si="316"/>
        <v xml:space="preserve"> </v>
      </c>
      <c r="J821" s="101"/>
      <c r="K821" s="165"/>
      <c r="Z821" s="54"/>
      <c r="CA821" s="166" t="str">
        <f t="shared" si="314"/>
        <v xml:space="preserve"> </v>
      </c>
      <c r="CB821" s="101"/>
      <c r="CC821" s="100"/>
      <c r="CD821" s="167" t="str">
        <f t="shared" si="317"/>
        <v xml:space="preserve"> </v>
      </c>
      <c r="CE821" s="167" t="str">
        <f t="shared" si="317"/>
        <v xml:space="preserve"> </v>
      </c>
      <c r="CF821" s="167" t="str">
        <f t="shared" si="317"/>
        <v xml:space="preserve"> </v>
      </c>
      <c r="CG821" s="167" t="str">
        <f t="shared" si="317"/>
        <v xml:space="preserve"> </v>
      </c>
      <c r="CH821" s="167" t="str">
        <f t="shared" si="317"/>
        <v xml:space="preserve"> </v>
      </c>
      <c r="CI821" s="168" t="str">
        <f t="shared" si="317"/>
        <v xml:space="preserve"> </v>
      </c>
      <c r="CJ821" s="101"/>
      <c r="CK821" s="165"/>
    </row>
    <row r="822" spans="1:89">
      <c r="A822" s="238" t="str">
        <f t="shared" si="312"/>
        <v xml:space="preserve"> </v>
      </c>
      <c r="B822" s="253"/>
      <c r="C822" s="247"/>
      <c r="D822" s="240" t="str">
        <f t="shared" si="316"/>
        <v xml:space="preserve"> </v>
      </c>
      <c r="E822" s="240" t="str">
        <f t="shared" si="316"/>
        <v xml:space="preserve"> </v>
      </c>
      <c r="F822" s="240" t="str">
        <f t="shared" si="316"/>
        <v xml:space="preserve"> </v>
      </c>
      <c r="G822" s="240" t="str">
        <f t="shared" si="316"/>
        <v xml:space="preserve"> </v>
      </c>
      <c r="H822" s="240" t="str">
        <f t="shared" si="316"/>
        <v xml:space="preserve"> </v>
      </c>
      <c r="I822" s="251" t="str">
        <f t="shared" si="316"/>
        <v xml:space="preserve"> </v>
      </c>
      <c r="J822" s="253"/>
      <c r="K822" s="254"/>
      <c r="Z822" s="54"/>
      <c r="CA822" s="238" t="str">
        <f t="shared" si="314"/>
        <v xml:space="preserve"> </v>
      </c>
      <c r="CB822" s="253"/>
      <c r="CC822" s="247"/>
      <c r="CD822" s="240" t="str">
        <f t="shared" si="317"/>
        <v xml:space="preserve"> </v>
      </c>
      <c r="CE822" s="240" t="str">
        <f t="shared" si="317"/>
        <v xml:space="preserve"> </v>
      </c>
      <c r="CF822" s="240" t="str">
        <f t="shared" si="317"/>
        <v xml:space="preserve"> </v>
      </c>
      <c r="CG822" s="240" t="str">
        <f t="shared" si="317"/>
        <v xml:space="preserve"> </v>
      </c>
      <c r="CH822" s="240" t="str">
        <f t="shared" si="317"/>
        <v xml:space="preserve"> </v>
      </c>
      <c r="CI822" s="251" t="str">
        <f t="shared" si="317"/>
        <v xml:space="preserve"> </v>
      </c>
      <c r="CJ822" s="253"/>
      <c r="CK822" s="254"/>
    </row>
    <row r="823" spans="1:89">
      <c r="A823" s="166" t="str">
        <f t="shared" si="312"/>
        <v xml:space="preserve"> </v>
      </c>
      <c r="B823" s="101"/>
      <c r="C823" s="100"/>
      <c r="D823" s="167" t="str">
        <f t="shared" si="316"/>
        <v xml:space="preserve"> </v>
      </c>
      <c r="E823" s="167" t="str">
        <f t="shared" si="316"/>
        <v xml:space="preserve"> </v>
      </c>
      <c r="F823" s="167" t="str">
        <f t="shared" si="316"/>
        <v xml:space="preserve"> </v>
      </c>
      <c r="G823" s="167" t="str">
        <f t="shared" si="316"/>
        <v xml:space="preserve"> </v>
      </c>
      <c r="H823" s="167" t="str">
        <f t="shared" si="316"/>
        <v xml:space="preserve"> </v>
      </c>
      <c r="I823" s="168" t="str">
        <f t="shared" si="316"/>
        <v xml:space="preserve"> </v>
      </c>
      <c r="J823" s="101"/>
      <c r="K823" s="165"/>
      <c r="Z823" s="54"/>
      <c r="CA823" s="166" t="str">
        <f t="shared" si="314"/>
        <v xml:space="preserve"> </v>
      </c>
      <c r="CB823" s="101"/>
      <c r="CC823" s="100"/>
      <c r="CD823" s="167" t="str">
        <f t="shared" si="317"/>
        <v xml:space="preserve"> </v>
      </c>
      <c r="CE823" s="167" t="str">
        <f t="shared" si="317"/>
        <v xml:space="preserve"> </v>
      </c>
      <c r="CF823" s="167" t="str">
        <f t="shared" si="317"/>
        <v xml:space="preserve"> </v>
      </c>
      <c r="CG823" s="167" t="str">
        <f t="shared" si="317"/>
        <v xml:space="preserve"> </v>
      </c>
      <c r="CH823" s="167" t="str">
        <f t="shared" si="317"/>
        <v xml:space="preserve"> </v>
      </c>
      <c r="CI823" s="168" t="str">
        <f t="shared" si="317"/>
        <v xml:space="preserve"> </v>
      </c>
      <c r="CJ823" s="101"/>
      <c r="CK823" s="165"/>
    </row>
    <row r="824" spans="1:89">
      <c r="A824" s="238" t="str">
        <f t="shared" si="312"/>
        <v xml:space="preserve"> </v>
      </c>
      <c r="B824" s="253"/>
      <c r="C824" s="247"/>
      <c r="D824" s="240" t="str">
        <f t="shared" si="316"/>
        <v xml:space="preserve"> </v>
      </c>
      <c r="E824" s="240" t="str">
        <f t="shared" si="316"/>
        <v xml:space="preserve"> </v>
      </c>
      <c r="F824" s="240" t="str">
        <f t="shared" si="316"/>
        <v xml:space="preserve"> </v>
      </c>
      <c r="G824" s="240" t="str">
        <f t="shared" si="316"/>
        <v xml:space="preserve"> </v>
      </c>
      <c r="H824" s="240" t="str">
        <f t="shared" si="316"/>
        <v xml:space="preserve"> </v>
      </c>
      <c r="I824" s="251" t="str">
        <f t="shared" si="316"/>
        <v xml:space="preserve"> </v>
      </c>
      <c r="J824" s="253"/>
      <c r="K824" s="254"/>
      <c r="Z824" s="54"/>
      <c r="CA824" s="238" t="str">
        <f t="shared" si="314"/>
        <v xml:space="preserve"> </v>
      </c>
      <c r="CB824" s="253"/>
      <c r="CC824" s="247"/>
      <c r="CD824" s="240" t="str">
        <f t="shared" si="317"/>
        <v xml:space="preserve"> </v>
      </c>
      <c r="CE824" s="240" t="str">
        <f t="shared" si="317"/>
        <v xml:space="preserve"> </v>
      </c>
      <c r="CF824" s="240" t="str">
        <f t="shared" si="317"/>
        <v xml:space="preserve"> </v>
      </c>
      <c r="CG824" s="240" t="str">
        <f t="shared" si="317"/>
        <v xml:space="preserve"> </v>
      </c>
      <c r="CH824" s="240" t="str">
        <f t="shared" si="317"/>
        <v xml:space="preserve"> </v>
      </c>
      <c r="CI824" s="251" t="str">
        <f t="shared" si="317"/>
        <v xml:space="preserve"> </v>
      </c>
      <c r="CJ824" s="253"/>
      <c r="CK824" s="254"/>
    </row>
    <row r="825" spans="1:89">
      <c r="A825" s="166" t="str">
        <f t="shared" si="312"/>
        <v xml:space="preserve"> </v>
      </c>
      <c r="B825" s="101"/>
      <c r="C825" s="100"/>
      <c r="D825" s="167" t="str">
        <f t="shared" si="316"/>
        <v xml:space="preserve"> </v>
      </c>
      <c r="E825" s="167" t="str">
        <f t="shared" si="316"/>
        <v xml:space="preserve"> </v>
      </c>
      <c r="F825" s="167" t="str">
        <f t="shared" si="316"/>
        <v xml:space="preserve"> </v>
      </c>
      <c r="G825" s="167" t="str">
        <f t="shared" si="316"/>
        <v xml:space="preserve"> </v>
      </c>
      <c r="H825" s="167" t="str">
        <f t="shared" si="316"/>
        <v xml:space="preserve"> </v>
      </c>
      <c r="I825" s="168" t="str">
        <f t="shared" si="316"/>
        <v xml:space="preserve"> </v>
      </c>
      <c r="J825" s="101"/>
      <c r="K825" s="165"/>
      <c r="Z825" s="54"/>
      <c r="CA825" s="166" t="str">
        <f t="shared" si="314"/>
        <v xml:space="preserve"> </v>
      </c>
      <c r="CB825" s="101"/>
      <c r="CC825" s="100"/>
      <c r="CD825" s="167" t="str">
        <f t="shared" si="317"/>
        <v xml:space="preserve"> </v>
      </c>
      <c r="CE825" s="167" t="str">
        <f t="shared" si="317"/>
        <v xml:space="preserve"> </v>
      </c>
      <c r="CF825" s="167" t="str">
        <f t="shared" si="317"/>
        <v xml:space="preserve"> </v>
      </c>
      <c r="CG825" s="167" t="str">
        <f t="shared" si="317"/>
        <v xml:space="preserve"> </v>
      </c>
      <c r="CH825" s="167" t="str">
        <f t="shared" si="317"/>
        <v xml:space="preserve"> </v>
      </c>
      <c r="CI825" s="168" t="str">
        <f t="shared" si="317"/>
        <v xml:space="preserve"> </v>
      </c>
      <c r="CJ825" s="101"/>
      <c r="CK825" s="165"/>
    </row>
    <row r="826" spans="1:89">
      <c r="A826" s="238" t="str">
        <f t="shared" si="312"/>
        <v xml:space="preserve"> </v>
      </c>
      <c r="B826" s="253"/>
      <c r="C826" s="247"/>
      <c r="D826" s="240" t="str">
        <f t="shared" si="316"/>
        <v xml:space="preserve"> </v>
      </c>
      <c r="E826" s="240" t="str">
        <f t="shared" si="316"/>
        <v xml:space="preserve"> </v>
      </c>
      <c r="F826" s="240" t="str">
        <f t="shared" si="316"/>
        <v xml:space="preserve"> </v>
      </c>
      <c r="G826" s="240" t="str">
        <f t="shared" si="316"/>
        <v xml:space="preserve"> </v>
      </c>
      <c r="H826" s="240" t="str">
        <f t="shared" si="316"/>
        <v xml:space="preserve"> </v>
      </c>
      <c r="I826" s="251" t="str">
        <f t="shared" si="316"/>
        <v xml:space="preserve"> </v>
      </c>
      <c r="J826" s="253"/>
      <c r="K826" s="254"/>
      <c r="Z826" s="54"/>
      <c r="CA826" s="238" t="str">
        <f t="shared" si="314"/>
        <v xml:space="preserve"> </v>
      </c>
      <c r="CB826" s="253"/>
      <c r="CC826" s="247"/>
      <c r="CD826" s="240" t="str">
        <f t="shared" si="317"/>
        <v xml:space="preserve"> </v>
      </c>
      <c r="CE826" s="240" t="str">
        <f t="shared" si="317"/>
        <v xml:space="preserve"> </v>
      </c>
      <c r="CF826" s="240" t="str">
        <f t="shared" si="317"/>
        <v xml:space="preserve"> </v>
      </c>
      <c r="CG826" s="240" t="str">
        <f t="shared" si="317"/>
        <v xml:space="preserve"> </v>
      </c>
      <c r="CH826" s="240" t="str">
        <f t="shared" si="317"/>
        <v xml:space="preserve"> </v>
      </c>
      <c r="CI826" s="251" t="str">
        <f t="shared" si="317"/>
        <v xml:space="preserve"> </v>
      </c>
      <c r="CJ826" s="253"/>
      <c r="CK826" s="254"/>
    </row>
    <row r="827" spans="1:89">
      <c r="A827" s="166" t="str">
        <f t="shared" si="312"/>
        <v xml:space="preserve"> </v>
      </c>
      <c r="B827" s="101"/>
      <c r="C827" s="100"/>
      <c r="D827" s="167" t="str">
        <f t="shared" si="316"/>
        <v xml:space="preserve"> </v>
      </c>
      <c r="E827" s="167" t="str">
        <f t="shared" si="316"/>
        <v xml:space="preserve"> </v>
      </c>
      <c r="F827" s="167" t="str">
        <f t="shared" si="316"/>
        <v xml:space="preserve"> </v>
      </c>
      <c r="G827" s="167" t="str">
        <f t="shared" si="316"/>
        <v xml:space="preserve"> </v>
      </c>
      <c r="H827" s="167" t="str">
        <f t="shared" si="316"/>
        <v xml:space="preserve"> </v>
      </c>
      <c r="I827" s="168" t="str">
        <f t="shared" si="316"/>
        <v xml:space="preserve"> </v>
      </c>
      <c r="J827" s="101"/>
      <c r="K827" s="165"/>
      <c r="Z827" s="54"/>
      <c r="CA827" s="166" t="str">
        <f t="shared" si="314"/>
        <v xml:space="preserve"> </v>
      </c>
      <c r="CB827" s="101"/>
      <c r="CC827" s="100"/>
      <c r="CD827" s="167" t="str">
        <f t="shared" si="317"/>
        <v xml:space="preserve"> </v>
      </c>
      <c r="CE827" s="167" t="str">
        <f t="shared" si="317"/>
        <v xml:space="preserve"> </v>
      </c>
      <c r="CF827" s="167" t="str">
        <f t="shared" si="317"/>
        <v xml:space="preserve"> </v>
      </c>
      <c r="CG827" s="167" t="str">
        <f t="shared" si="317"/>
        <v xml:space="preserve"> </v>
      </c>
      <c r="CH827" s="167" t="str">
        <f t="shared" si="317"/>
        <v xml:space="preserve"> </v>
      </c>
      <c r="CI827" s="168" t="str">
        <f t="shared" si="317"/>
        <v xml:space="preserve"> </v>
      </c>
      <c r="CJ827" s="101"/>
      <c r="CK827" s="165"/>
    </row>
    <row r="828" spans="1:89">
      <c r="A828" s="238" t="str">
        <f t="shared" si="312"/>
        <v xml:space="preserve"> </v>
      </c>
      <c r="B828" s="253"/>
      <c r="C828" s="247"/>
      <c r="D828" s="240" t="str">
        <f t="shared" si="316"/>
        <v xml:space="preserve"> </v>
      </c>
      <c r="E828" s="240" t="str">
        <f t="shared" si="316"/>
        <v xml:space="preserve"> </v>
      </c>
      <c r="F828" s="240" t="str">
        <f t="shared" si="316"/>
        <v xml:space="preserve"> </v>
      </c>
      <c r="G828" s="240" t="str">
        <f t="shared" si="316"/>
        <v xml:space="preserve"> </v>
      </c>
      <c r="H828" s="240" t="str">
        <f t="shared" si="316"/>
        <v xml:space="preserve"> </v>
      </c>
      <c r="I828" s="251" t="str">
        <f t="shared" si="316"/>
        <v xml:space="preserve"> </v>
      </c>
      <c r="J828" s="253"/>
      <c r="K828" s="254"/>
      <c r="Z828" s="54"/>
      <c r="CA828" s="238" t="str">
        <f t="shared" si="314"/>
        <v xml:space="preserve"> </v>
      </c>
      <c r="CB828" s="253"/>
      <c r="CC828" s="247"/>
      <c r="CD828" s="240" t="str">
        <f t="shared" si="317"/>
        <v xml:space="preserve"> </v>
      </c>
      <c r="CE828" s="240" t="str">
        <f t="shared" si="317"/>
        <v xml:space="preserve"> </v>
      </c>
      <c r="CF828" s="240" t="str">
        <f t="shared" si="317"/>
        <v xml:space="preserve"> </v>
      </c>
      <c r="CG828" s="240" t="str">
        <f t="shared" si="317"/>
        <v xml:space="preserve"> </v>
      </c>
      <c r="CH828" s="240" t="str">
        <f t="shared" si="317"/>
        <v xml:space="preserve"> </v>
      </c>
      <c r="CI828" s="251" t="str">
        <f t="shared" si="317"/>
        <v xml:space="preserve"> </v>
      </c>
      <c r="CJ828" s="253"/>
      <c r="CK828" s="254"/>
    </row>
    <row r="829" spans="1:89">
      <c r="A829" s="166" t="str">
        <f t="shared" si="312"/>
        <v xml:space="preserve"> </v>
      </c>
      <c r="B829" s="101"/>
      <c r="C829" s="100"/>
      <c r="D829" s="167" t="str">
        <f t="shared" si="316"/>
        <v xml:space="preserve"> </v>
      </c>
      <c r="E829" s="167" t="str">
        <f t="shared" si="316"/>
        <v xml:space="preserve"> </v>
      </c>
      <c r="F829" s="167" t="str">
        <f t="shared" si="316"/>
        <v xml:space="preserve"> </v>
      </c>
      <c r="G829" s="167" t="str">
        <f t="shared" si="316"/>
        <v xml:space="preserve"> </v>
      </c>
      <c r="H829" s="167" t="str">
        <f t="shared" si="316"/>
        <v xml:space="preserve"> </v>
      </c>
      <c r="I829" s="168" t="str">
        <f t="shared" si="316"/>
        <v xml:space="preserve"> </v>
      </c>
      <c r="J829" s="101"/>
      <c r="K829" s="165"/>
      <c r="Z829" s="54"/>
      <c r="CA829" s="166" t="str">
        <f t="shared" si="314"/>
        <v xml:space="preserve"> </v>
      </c>
      <c r="CB829" s="101"/>
      <c r="CC829" s="100"/>
      <c r="CD829" s="167" t="str">
        <f t="shared" si="317"/>
        <v xml:space="preserve"> </v>
      </c>
      <c r="CE829" s="167" t="str">
        <f t="shared" si="317"/>
        <v xml:space="preserve"> </v>
      </c>
      <c r="CF829" s="167" t="str">
        <f t="shared" si="317"/>
        <v xml:space="preserve"> </v>
      </c>
      <c r="CG829" s="167" t="str">
        <f t="shared" si="317"/>
        <v xml:space="preserve"> </v>
      </c>
      <c r="CH829" s="167" t="str">
        <f t="shared" si="317"/>
        <v xml:space="preserve"> </v>
      </c>
      <c r="CI829" s="168" t="str">
        <f t="shared" si="317"/>
        <v xml:space="preserve"> </v>
      </c>
      <c r="CJ829" s="101"/>
      <c r="CK829" s="165"/>
    </row>
    <row r="830" spans="1:89">
      <c r="A830" s="238" t="str">
        <f t="shared" si="312"/>
        <v xml:space="preserve"> </v>
      </c>
      <c r="B830" s="253"/>
      <c r="C830" s="247"/>
      <c r="D830" s="240" t="str">
        <f t="shared" si="316"/>
        <v xml:space="preserve"> </v>
      </c>
      <c r="E830" s="240" t="str">
        <f t="shared" si="316"/>
        <v xml:space="preserve"> </v>
      </c>
      <c r="F830" s="240" t="str">
        <f t="shared" si="316"/>
        <v xml:space="preserve"> </v>
      </c>
      <c r="G830" s="240" t="str">
        <f t="shared" si="316"/>
        <v xml:space="preserve"> </v>
      </c>
      <c r="H830" s="240" t="str">
        <f t="shared" si="316"/>
        <v xml:space="preserve"> </v>
      </c>
      <c r="I830" s="251" t="str">
        <f t="shared" si="316"/>
        <v xml:space="preserve"> </v>
      </c>
      <c r="J830" s="253"/>
      <c r="K830" s="254"/>
      <c r="Z830" s="54"/>
      <c r="CA830" s="238" t="str">
        <f t="shared" si="314"/>
        <v xml:space="preserve"> </v>
      </c>
      <c r="CB830" s="253"/>
      <c r="CC830" s="247"/>
      <c r="CD830" s="240" t="str">
        <f t="shared" si="317"/>
        <v xml:space="preserve"> </v>
      </c>
      <c r="CE830" s="240" t="str">
        <f t="shared" si="317"/>
        <v xml:space="preserve"> </v>
      </c>
      <c r="CF830" s="240" t="str">
        <f t="shared" si="317"/>
        <v xml:space="preserve"> </v>
      </c>
      <c r="CG830" s="240" t="str">
        <f t="shared" si="317"/>
        <v xml:space="preserve"> </v>
      </c>
      <c r="CH830" s="240" t="str">
        <f t="shared" si="317"/>
        <v xml:space="preserve"> </v>
      </c>
      <c r="CI830" s="251" t="str">
        <f t="shared" si="317"/>
        <v xml:space="preserve"> </v>
      </c>
      <c r="CJ830" s="253"/>
      <c r="CK830" s="254"/>
    </row>
    <row r="831" spans="1:89">
      <c r="A831" s="166" t="str">
        <f t="shared" si="312"/>
        <v xml:space="preserve"> </v>
      </c>
      <c r="B831" s="101"/>
      <c r="C831" s="100"/>
      <c r="D831" s="167" t="str">
        <f t="shared" si="316"/>
        <v xml:space="preserve"> </v>
      </c>
      <c r="E831" s="167" t="str">
        <f t="shared" si="316"/>
        <v xml:space="preserve"> </v>
      </c>
      <c r="F831" s="167" t="str">
        <f t="shared" si="316"/>
        <v xml:space="preserve"> </v>
      </c>
      <c r="G831" s="167" t="str">
        <f t="shared" si="316"/>
        <v xml:space="preserve"> </v>
      </c>
      <c r="H831" s="167" t="str">
        <f t="shared" si="316"/>
        <v xml:space="preserve"> </v>
      </c>
      <c r="I831" s="168" t="str">
        <f t="shared" si="316"/>
        <v xml:space="preserve"> </v>
      </c>
      <c r="J831" s="101"/>
      <c r="K831" s="165"/>
      <c r="Z831" s="54"/>
      <c r="CA831" s="166" t="str">
        <f t="shared" si="314"/>
        <v xml:space="preserve"> </v>
      </c>
      <c r="CB831" s="101"/>
      <c r="CC831" s="100"/>
      <c r="CD831" s="167" t="str">
        <f t="shared" si="317"/>
        <v xml:space="preserve"> </v>
      </c>
      <c r="CE831" s="167" t="str">
        <f t="shared" si="317"/>
        <v xml:space="preserve"> </v>
      </c>
      <c r="CF831" s="167" t="str">
        <f t="shared" si="317"/>
        <v xml:space="preserve"> </v>
      </c>
      <c r="CG831" s="167" t="str">
        <f t="shared" si="317"/>
        <v xml:space="preserve"> </v>
      </c>
      <c r="CH831" s="167" t="str">
        <f t="shared" si="317"/>
        <v xml:space="preserve"> </v>
      </c>
      <c r="CI831" s="168" t="str">
        <f t="shared" si="317"/>
        <v xml:space="preserve"> </v>
      </c>
      <c r="CJ831" s="101"/>
      <c r="CK831" s="165"/>
    </row>
    <row r="832" spans="1:89">
      <c r="A832" s="246" t="str">
        <f t="shared" si="312"/>
        <v xml:space="preserve"> </v>
      </c>
      <c r="B832" s="258"/>
      <c r="C832" s="247"/>
      <c r="D832" s="247" t="str">
        <f t="shared" ref="D832:I832" si="318">IF(AND(D1632&gt;0,$E$134&gt;0),D1632," ")</f>
        <v xml:space="preserve"> </v>
      </c>
      <c r="E832" s="247" t="str">
        <f t="shared" si="318"/>
        <v xml:space="preserve"> </v>
      </c>
      <c r="F832" s="247" t="str">
        <f t="shared" si="318"/>
        <v xml:space="preserve"> </v>
      </c>
      <c r="G832" s="247" t="str">
        <f t="shared" si="318"/>
        <v xml:space="preserve"> </v>
      </c>
      <c r="H832" s="247" t="str">
        <f t="shared" si="318"/>
        <v xml:space="preserve"> </v>
      </c>
      <c r="I832" s="256" t="str">
        <f t="shared" si="318"/>
        <v xml:space="preserve"> </v>
      </c>
      <c r="J832" s="258"/>
      <c r="K832" s="259"/>
      <c r="Z832" s="54"/>
      <c r="CA832" s="246" t="str">
        <f t="shared" si="314"/>
        <v xml:space="preserve"> </v>
      </c>
      <c r="CB832" s="258"/>
      <c r="CC832" s="247"/>
      <c r="CD832" s="247" t="str">
        <f t="shared" ref="CD832:CI832" si="319">IF(AND(CD1632&gt;0,$E$134&gt;0),CD1632," ")</f>
        <v xml:space="preserve"> </v>
      </c>
      <c r="CE832" s="247" t="str">
        <f t="shared" si="319"/>
        <v xml:space="preserve"> </v>
      </c>
      <c r="CF832" s="247" t="str">
        <f t="shared" si="319"/>
        <v xml:space="preserve"> </v>
      </c>
      <c r="CG832" s="247" t="str">
        <f t="shared" si="319"/>
        <v xml:space="preserve"> </v>
      </c>
      <c r="CH832" s="247" t="str">
        <f t="shared" si="319"/>
        <v xml:space="preserve"> </v>
      </c>
      <c r="CI832" s="256" t="str">
        <f t="shared" si="319"/>
        <v xml:space="preserve"> </v>
      </c>
      <c r="CJ832" s="258"/>
      <c r="CK832" s="259"/>
    </row>
    <row r="833" spans="1:89">
      <c r="A833" s="179" t="s">
        <v>5212</v>
      </c>
      <c r="B833" s="102"/>
      <c r="C833" s="175" t="s">
        <v>5018</v>
      </c>
      <c r="D833" s="175" t="s">
        <v>5701</v>
      </c>
      <c r="E833" s="175" t="s">
        <v>5019</v>
      </c>
      <c r="F833" s="175" t="s">
        <v>5020</v>
      </c>
      <c r="G833" s="175" t="s">
        <v>5021</v>
      </c>
      <c r="H833" s="175" t="s">
        <v>5022</v>
      </c>
      <c r="I833" s="221" t="s">
        <v>5316</v>
      </c>
      <c r="J833" s="176"/>
      <c r="K833" s="180"/>
      <c r="Z833" s="54"/>
      <c r="CA833" s="179" t="s">
        <v>5212</v>
      </c>
      <c r="CB833" s="102"/>
      <c r="CC833" s="175" t="s">
        <v>5018</v>
      </c>
      <c r="CD833" s="175" t="s">
        <v>5701</v>
      </c>
      <c r="CE833" s="175" t="s">
        <v>5019</v>
      </c>
      <c r="CF833" s="175" t="s">
        <v>5020</v>
      </c>
      <c r="CG833" s="175" t="s">
        <v>5021</v>
      </c>
      <c r="CH833" s="175" t="s">
        <v>5022</v>
      </c>
      <c r="CI833" s="221" t="s">
        <v>5316</v>
      </c>
      <c r="CJ833" s="176"/>
      <c r="CK833" s="180"/>
    </row>
    <row r="834" spans="1:89">
      <c r="A834" s="166" t="str">
        <f t="shared" ref="A834:A845" si="320">IF(AND(A1634&gt;0,$E$134&gt;7),A1634," ")</f>
        <v xml:space="preserve"> </v>
      </c>
      <c r="B834" s="101"/>
      <c r="C834" s="100"/>
      <c r="D834" s="167" t="str">
        <f t="shared" ref="D834:I845" si="321">IF(AND(D1634&gt;0,$E$134&gt;7),D1634," ")</f>
        <v xml:space="preserve"> </v>
      </c>
      <c r="E834" s="167" t="str">
        <f t="shared" si="321"/>
        <v xml:space="preserve"> </v>
      </c>
      <c r="F834" s="167" t="str">
        <f t="shared" si="321"/>
        <v xml:space="preserve"> </v>
      </c>
      <c r="G834" s="167" t="str">
        <f t="shared" si="321"/>
        <v xml:space="preserve"> </v>
      </c>
      <c r="H834" s="167" t="str">
        <f t="shared" si="321"/>
        <v xml:space="preserve"> </v>
      </c>
      <c r="I834" s="168" t="str">
        <f t="shared" si="321"/>
        <v xml:space="preserve"> </v>
      </c>
      <c r="J834" s="101"/>
      <c r="K834" s="165"/>
      <c r="Z834" s="54"/>
      <c r="CA834" s="166" t="str">
        <f t="shared" ref="CA834:CA845" si="322">IF(AND(CA1634&gt;0,$E$134&gt;7),CA1634," ")</f>
        <v xml:space="preserve"> </v>
      </c>
      <c r="CB834" s="101"/>
      <c r="CC834" s="100"/>
      <c r="CD834" s="167" t="str">
        <f t="shared" ref="CD834:CI845" si="323">IF(AND(CD1634&gt;0,$E$134&gt;7),CD1634," ")</f>
        <v xml:space="preserve"> </v>
      </c>
      <c r="CE834" s="167" t="str">
        <f t="shared" si="323"/>
        <v xml:space="preserve"> </v>
      </c>
      <c r="CF834" s="167" t="str">
        <f t="shared" si="323"/>
        <v xml:space="preserve"> </v>
      </c>
      <c r="CG834" s="167" t="str">
        <f t="shared" si="323"/>
        <v xml:space="preserve"> </v>
      </c>
      <c r="CH834" s="167" t="str">
        <f t="shared" si="323"/>
        <v xml:space="preserve"> </v>
      </c>
      <c r="CI834" s="168" t="str">
        <f t="shared" si="323"/>
        <v xml:space="preserve"> </v>
      </c>
      <c r="CJ834" s="101"/>
      <c r="CK834" s="165"/>
    </row>
    <row r="835" spans="1:89">
      <c r="A835" s="238" t="str">
        <f t="shared" si="320"/>
        <v xml:space="preserve"> </v>
      </c>
      <c r="B835" s="253"/>
      <c r="C835" s="247"/>
      <c r="D835" s="240" t="str">
        <f t="shared" si="321"/>
        <v xml:space="preserve"> </v>
      </c>
      <c r="E835" s="240" t="str">
        <f t="shared" si="321"/>
        <v xml:space="preserve"> </v>
      </c>
      <c r="F835" s="240" t="str">
        <f t="shared" si="321"/>
        <v xml:space="preserve"> </v>
      </c>
      <c r="G835" s="240" t="str">
        <f t="shared" si="321"/>
        <v xml:space="preserve"> </v>
      </c>
      <c r="H835" s="240" t="str">
        <f t="shared" si="321"/>
        <v xml:space="preserve"> </v>
      </c>
      <c r="I835" s="251" t="str">
        <f t="shared" si="321"/>
        <v xml:space="preserve"> </v>
      </c>
      <c r="J835" s="253"/>
      <c r="K835" s="254"/>
      <c r="Z835" s="54"/>
      <c r="CA835" s="238" t="str">
        <f t="shared" si="322"/>
        <v xml:space="preserve"> </v>
      </c>
      <c r="CB835" s="253"/>
      <c r="CC835" s="247"/>
      <c r="CD835" s="240" t="str">
        <f t="shared" si="323"/>
        <v xml:space="preserve"> </v>
      </c>
      <c r="CE835" s="240" t="str">
        <f t="shared" si="323"/>
        <v xml:space="preserve"> </v>
      </c>
      <c r="CF835" s="240" t="str">
        <f t="shared" si="323"/>
        <v xml:space="preserve"> </v>
      </c>
      <c r="CG835" s="240" t="str">
        <f t="shared" si="323"/>
        <v xml:space="preserve"> </v>
      </c>
      <c r="CH835" s="240" t="str">
        <f t="shared" si="323"/>
        <v xml:space="preserve"> </v>
      </c>
      <c r="CI835" s="251" t="str">
        <f t="shared" si="323"/>
        <v xml:space="preserve"> </v>
      </c>
      <c r="CJ835" s="253"/>
      <c r="CK835" s="254"/>
    </row>
    <row r="836" spans="1:89">
      <c r="A836" s="166" t="str">
        <f t="shared" si="320"/>
        <v xml:space="preserve"> </v>
      </c>
      <c r="B836" s="101"/>
      <c r="C836" s="100"/>
      <c r="D836" s="167" t="str">
        <f t="shared" si="321"/>
        <v xml:space="preserve"> </v>
      </c>
      <c r="E836" s="167" t="str">
        <f t="shared" si="321"/>
        <v xml:space="preserve"> </v>
      </c>
      <c r="F836" s="167" t="str">
        <f t="shared" si="321"/>
        <v xml:space="preserve"> </v>
      </c>
      <c r="G836" s="167" t="str">
        <f t="shared" si="321"/>
        <v xml:space="preserve"> </v>
      </c>
      <c r="H836" s="167" t="str">
        <f t="shared" si="321"/>
        <v xml:space="preserve"> </v>
      </c>
      <c r="I836" s="168" t="str">
        <f t="shared" si="321"/>
        <v xml:space="preserve"> </v>
      </c>
      <c r="J836" s="101"/>
      <c r="K836" s="165"/>
      <c r="Z836" s="54"/>
      <c r="CA836" s="166" t="str">
        <f t="shared" si="322"/>
        <v xml:space="preserve"> </v>
      </c>
      <c r="CB836" s="101"/>
      <c r="CC836" s="100"/>
      <c r="CD836" s="167" t="str">
        <f t="shared" si="323"/>
        <v xml:space="preserve"> </v>
      </c>
      <c r="CE836" s="167" t="str">
        <f t="shared" si="323"/>
        <v xml:space="preserve"> </v>
      </c>
      <c r="CF836" s="167" t="str">
        <f t="shared" si="323"/>
        <v xml:space="preserve"> </v>
      </c>
      <c r="CG836" s="167" t="str">
        <f t="shared" si="323"/>
        <v xml:space="preserve"> </v>
      </c>
      <c r="CH836" s="167" t="str">
        <f t="shared" si="323"/>
        <v xml:space="preserve"> </v>
      </c>
      <c r="CI836" s="168" t="str">
        <f t="shared" si="323"/>
        <v xml:space="preserve"> </v>
      </c>
      <c r="CJ836" s="101"/>
      <c r="CK836" s="165"/>
    </row>
    <row r="837" spans="1:89">
      <c r="A837" s="238" t="str">
        <f t="shared" si="320"/>
        <v xml:space="preserve"> </v>
      </c>
      <c r="B837" s="253"/>
      <c r="C837" s="247"/>
      <c r="D837" s="240" t="str">
        <f t="shared" si="321"/>
        <v xml:space="preserve"> </v>
      </c>
      <c r="E837" s="240" t="str">
        <f t="shared" si="321"/>
        <v xml:space="preserve"> </v>
      </c>
      <c r="F837" s="240" t="str">
        <f t="shared" si="321"/>
        <v xml:space="preserve"> </v>
      </c>
      <c r="G837" s="240" t="str">
        <f t="shared" si="321"/>
        <v xml:space="preserve"> </v>
      </c>
      <c r="H837" s="240" t="str">
        <f t="shared" si="321"/>
        <v xml:space="preserve"> </v>
      </c>
      <c r="I837" s="251" t="str">
        <f t="shared" si="321"/>
        <v xml:space="preserve"> </v>
      </c>
      <c r="J837" s="253"/>
      <c r="K837" s="254"/>
      <c r="Z837" s="54"/>
      <c r="CA837" s="238" t="str">
        <f t="shared" si="322"/>
        <v xml:space="preserve"> </v>
      </c>
      <c r="CB837" s="253"/>
      <c r="CC837" s="247"/>
      <c r="CD837" s="240" t="str">
        <f t="shared" si="323"/>
        <v xml:space="preserve"> </v>
      </c>
      <c r="CE837" s="240" t="str">
        <f t="shared" si="323"/>
        <v xml:space="preserve"> </v>
      </c>
      <c r="CF837" s="240" t="str">
        <f t="shared" si="323"/>
        <v xml:space="preserve"> </v>
      </c>
      <c r="CG837" s="240" t="str">
        <f t="shared" si="323"/>
        <v xml:space="preserve"> </v>
      </c>
      <c r="CH837" s="240" t="str">
        <f t="shared" si="323"/>
        <v xml:space="preserve"> </v>
      </c>
      <c r="CI837" s="251" t="str">
        <f t="shared" si="323"/>
        <v xml:space="preserve"> </v>
      </c>
      <c r="CJ837" s="253"/>
      <c r="CK837" s="254"/>
    </row>
    <row r="838" spans="1:89">
      <c r="A838" s="166" t="str">
        <f t="shared" si="320"/>
        <v xml:space="preserve"> </v>
      </c>
      <c r="B838" s="101"/>
      <c r="C838" s="100"/>
      <c r="D838" s="167" t="str">
        <f t="shared" si="321"/>
        <v xml:space="preserve"> </v>
      </c>
      <c r="E838" s="167" t="str">
        <f t="shared" si="321"/>
        <v xml:space="preserve"> </v>
      </c>
      <c r="F838" s="167" t="str">
        <f t="shared" si="321"/>
        <v xml:space="preserve"> </v>
      </c>
      <c r="G838" s="167" t="str">
        <f t="shared" si="321"/>
        <v xml:space="preserve"> </v>
      </c>
      <c r="H838" s="167" t="str">
        <f t="shared" si="321"/>
        <v xml:space="preserve"> </v>
      </c>
      <c r="I838" s="168" t="str">
        <f t="shared" si="321"/>
        <v xml:space="preserve"> </v>
      </c>
      <c r="J838" s="101"/>
      <c r="K838" s="165"/>
      <c r="Z838" s="54"/>
      <c r="CA838" s="166" t="str">
        <f t="shared" si="322"/>
        <v xml:space="preserve"> </v>
      </c>
      <c r="CB838" s="101"/>
      <c r="CC838" s="100"/>
      <c r="CD838" s="167" t="str">
        <f t="shared" si="323"/>
        <v xml:space="preserve"> </v>
      </c>
      <c r="CE838" s="167" t="str">
        <f t="shared" si="323"/>
        <v xml:space="preserve"> </v>
      </c>
      <c r="CF838" s="167" t="str">
        <f t="shared" si="323"/>
        <v xml:space="preserve"> </v>
      </c>
      <c r="CG838" s="167" t="str">
        <f t="shared" si="323"/>
        <v xml:space="preserve"> </v>
      </c>
      <c r="CH838" s="167" t="str">
        <f t="shared" si="323"/>
        <v xml:space="preserve"> </v>
      </c>
      <c r="CI838" s="168" t="str">
        <f t="shared" si="323"/>
        <v xml:space="preserve"> </v>
      </c>
      <c r="CJ838" s="101"/>
      <c r="CK838" s="165"/>
    </row>
    <row r="839" spans="1:89">
      <c r="A839" s="238" t="str">
        <f t="shared" si="320"/>
        <v xml:space="preserve"> </v>
      </c>
      <c r="B839" s="253"/>
      <c r="C839" s="247"/>
      <c r="D839" s="240" t="str">
        <f t="shared" si="321"/>
        <v xml:space="preserve"> </v>
      </c>
      <c r="E839" s="240" t="str">
        <f t="shared" si="321"/>
        <v xml:space="preserve"> </v>
      </c>
      <c r="F839" s="240" t="str">
        <f t="shared" si="321"/>
        <v xml:space="preserve"> </v>
      </c>
      <c r="G839" s="240" t="str">
        <f t="shared" si="321"/>
        <v xml:space="preserve"> </v>
      </c>
      <c r="H839" s="240" t="str">
        <f t="shared" si="321"/>
        <v xml:space="preserve"> </v>
      </c>
      <c r="I839" s="251" t="str">
        <f t="shared" si="321"/>
        <v xml:space="preserve"> </v>
      </c>
      <c r="J839" s="253"/>
      <c r="K839" s="254"/>
      <c r="Z839" s="54"/>
      <c r="CA839" s="238" t="str">
        <f t="shared" si="322"/>
        <v xml:space="preserve"> </v>
      </c>
      <c r="CB839" s="253"/>
      <c r="CC839" s="247"/>
      <c r="CD839" s="240" t="str">
        <f t="shared" si="323"/>
        <v xml:space="preserve"> </v>
      </c>
      <c r="CE839" s="240" t="str">
        <f t="shared" si="323"/>
        <v xml:space="preserve"> </v>
      </c>
      <c r="CF839" s="240" t="str">
        <f t="shared" si="323"/>
        <v xml:space="preserve"> </v>
      </c>
      <c r="CG839" s="240" t="str">
        <f t="shared" si="323"/>
        <v xml:space="preserve"> </v>
      </c>
      <c r="CH839" s="240" t="str">
        <f t="shared" si="323"/>
        <v xml:space="preserve"> </v>
      </c>
      <c r="CI839" s="251" t="str">
        <f t="shared" si="323"/>
        <v xml:space="preserve"> </v>
      </c>
      <c r="CJ839" s="253"/>
      <c r="CK839" s="254"/>
    </row>
    <row r="840" spans="1:89">
      <c r="A840" s="166" t="str">
        <f t="shared" si="320"/>
        <v xml:space="preserve"> </v>
      </c>
      <c r="B840" s="101"/>
      <c r="C840" s="100"/>
      <c r="D840" s="167" t="str">
        <f t="shared" si="321"/>
        <v xml:space="preserve"> </v>
      </c>
      <c r="E840" s="167" t="str">
        <f t="shared" si="321"/>
        <v xml:space="preserve"> </v>
      </c>
      <c r="F840" s="167" t="str">
        <f t="shared" si="321"/>
        <v xml:space="preserve"> </v>
      </c>
      <c r="G840" s="167" t="str">
        <f t="shared" si="321"/>
        <v xml:space="preserve"> </v>
      </c>
      <c r="H840" s="167" t="str">
        <f t="shared" si="321"/>
        <v xml:space="preserve"> </v>
      </c>
      <c r="I840" s="168" t="str">
        <f t="shared" si="321"/>
        <v xml:space="preserve"> </v>
      </c>
      <c r="J840" s="101"/>
      <c r="K840" s="165"/>
      <c r="Z840" s="54"/>
      <c r="CA840" s="166" t="str">
        <f t="shared" si="322"/>
        <v xml:space="preserve"> </v>
      </c>
      <c r="CB840" s="101"/>
      <c r="CC840" s="100"/>
      <c r="CD840" s="167" t="str">
        <f t="shared" si="323"/>
        <v xml:space="preserve"> </v>
      </c>
      <c r="CE840" s="167" t="str">
        <f t="shared" si="323"/>
        <v xml:space="preserve"> </v>
      </c>
      <c r="CF840" s="167" t="str">
        <f t="shared" si="323"/>
        <v xml:space="preserve"> </v>
      </c>
      <c r="CG840" s="167" t="str">
        <f t="shared" si="323"/>
        <v xml:space="preserve"> </v>
      </c>
      <c r="CH840" s="167" t="str">
        <f t="shared" si="323"/>
        <v xml:space="preserve"> </v>
      </c>
      <c r="CI840" s="168" t="str">
        <f t="shared" si="323"/>
        <v xml:space="preserve"> </v>
      </c>
      <c r="CJ840" s="101"/>
      <c r="CK840" s="165"/>
    </row>
    <row r="841" spans="1:89">
      <c r="A841" s="238" t="str">
        <f t="shared" si="320"/>
        <v xml:space="preserve"> </v>
      </c>
      <c r="B841" s="253"/>
      <c r="C841" s="247"/>
      <c r="D841" s="240" t="str">
        <f t="shared" si="321"/>
        <v xml:space="preserve"> </v>
      </c>
      <c r="E841" s="240" t="str">
        <f t="shared" si="321"/>
        <v xml:space="preserve"> </v>
      </c>
      <c r="F841" s="240" t="str">
        <f t="shared" si="321"/>
        <v xml:space="preserve"> </v>
      </c>
      <c r="G841" s="240" t="str">
        <f t="shared" si="321"/>
        <v xml:space="preserve"> </v>
      </c>
      <c r="H841" s="240" t="str">
        <f t="shared" si="321"/>
        <v xml:space="preserve"> </v>
      </c>
      <c r="I841" s="251" t="str">
        <f t="shared" si="321"/>
        <v xml:space="preserve"> </v>
      </c>
      <c r="J841" s="253"/>
      <c r="K841" s="254"/>
      <c r="Z841" s="54"/>
      <c r="CA841" s="238" t="str">
        <f t="shared" si="322"/>
        <v xml:space="preserve"> </v>
      </c>
      <c r="CB841" s="253"/>
      <c r="CC841" s="247"/>
      <c r="CD841" s="240" t="str">
        <f t="shared" si="323"/>
        <v xml:space="preserve"> </v>
      </c>
      <c r="CE841" s="240" t="str">
        <f t="shared" si="323"/>
        <v xml:space="preserve"> </v>
      </c>
      <c r="CF841" s="240" t="str">
        <f t="shared" si="323"/>
        <v xml:space="preserve"> </v>
      </c>
      <c r="CG841" s="240" t="str">
        <f t="shared" si="323"/>
        <v xml:space="preserve"> </v>
      </c>
      <c r="CH841" s="240" t="str">
        <f t="shared" si="323"/>
        <v xml:space="preserve"> </v>
      </c>
      <c r="CI841" s="251" t="str">
        <f t="shared" si="323"/>
        <v xml:space="preserve"> </v>
      </c>
      <c r="CJ841" s="253"/>
      <c r="CK841" s="254"/>
    </row>
    <row r="842" spans="1:89">
      <c r="A842" s="166" t="str">
        <f t="shared" si="320"/>
        <v xml:space="preserve"> </v>
      </c>
      <c r="B842" s="101"/>
      <c r="C842" s="100"/>
      <c r="D842" s="167" t="str">
        <f t="shared" si="321"/>
        <v xml:space="preserve"> </v>
      </c>
      <c r="E842" s="167" t="str">
        <f t="shared" si="321"/>
        <v xml:space="preserve"> </v>
      </c>
      <c r="F842" s="167" t="str">
        <f t="shared" si="321"/>
        <v xml:space="preserve"> </v>
      </c>
      <c r="G842" s="167" t="str">
        <f t="shared" si="321"/>
        <v xml:space="preserve"> </v>
      </c>
      <c r="H842" s="167" t="str">
        <f t="shared" si="321"/>
        <v xml:space="preserve"> </v>
      </c>
      <c r="I842" s="168" t="str">
        <f t="shared" si="321"/>
        <v xml:space="preserve"> </v>
      </c>
      <c r="J842" s="101"/>
      <c r="K842" s="165"/>
      <c r="Z842" s="54"/>
      <c r="CA842" s="166" t="str">
        <f t="shared" si="322"/>
        <v xml:space="preserve"> </v>
      </c>
      <c r="CB842" s="101"/>
      <c r="CC842" s="100"/>
      <c r="CD842" s="167" t="str">
        <f t="shared" si="323"/>
        <v xml:space="preserve"> </v>
      </c>
      <c r="CE842" s="167" t="str">
        <f t="shared" si="323"/>
        <v xml:space="preserve"> </v>
      </c>
      <c r="CF842" s="167" t="str">
        <f t="shared" si="323"/>
        <v xml:space="preserve"> </v>
      </c>
      <c r="CG842" s="167" t="str">
        <f t="shared" si="323"/>
        <v xml:space="preserve"> </v>
      </c>
      <c r="CH842" s="167" t="str">
        <f t="shared" si="323"/>
        <v xml:space="preserve"> </v>
      </c>
      <c r="CI842" s="168" t="str">
        <f t="shared" si="323"/>
        <v xml:space="preserve"> </v>
      </c>
      <c r="CJ842" s="101"/>
      <c r="CK842" s="165"/>
    </row>
    <row r="843" spans="1:89">
      <c r="A843" s="238" t="str">
        <f t="shared" si="320"/>
        <v xml:space="preserve"> </v>
      </c>
      <c r="B843" s="253"/>
      <c r="C843" s="247"/>
      <c r="D843" s="240" t="str">
        <f t="shared" si="321"/>
        <v xml:space="preserve"> </v>
      </c>
      <c r="E843" s="240" t="str">
        <f t="shared" si="321"/>
        <v xml:space="preserve"> </v>
      </c>
      <c r="F843" s="240" t="str">
        <f t="shared" si="321"/>
        <v xml:space="preserve"> </v>
      </c>
      <c r="G843" s="240" t="str">
        <f t="shared" si="321"/>
        <v xml:space="preserve"> </v>
      </c>
      <c r="H843" s="240" t="str">
        <f t="shared" si="321"/>
        <v xml:space="preserve"> </v>
      </c>
      <c r="I843" s="251" t="str">
        <f t="shared" si="321"/>
        <v xml:space="preserve"> </v>
      </c>
      <c r="J843" s="253"/>
      <c r="K843" s="254"/>
      <c r="Z843" s="54"/>
      <c r="CA843" s="238" t="str">
        <f t="shared" si="322"/>
        <v xml:space="preserve"> </v>
      </c>
      <c r="CB843" s="253"/>
      <c r="CC843" s="247"/>
      <c r="CD843" s="240" t="str">
        <f t="shared" si="323"/>
        <v xml:space="preserve"> </v>
      </c>
      <c r="CE843" s="240" t="str">
        <f t="shared" si="323"/>
        <v xml:space="preserve"> </v>
      </c>
      <c r="CF843" s="240" t="str">
        <f t="shared" si="323"/>
        <v xml:space="preserve"> </v>
      </c>
      <c r="CG843" s="240" t="str">
        <f t="shared" si="323"/>
        <v xml:space="preserve"> </v>
      </c>
      <c r="CH843" s="240" t="str">
        <f t="shared" si="323"/>
        <v xml:space="preserve"> </v>
      </c>
      <c r="CI843" s="251" t="str">
        <f t="shared" si="323"/>
        <v xml:space="preserve"> </v>
      </c>
      <c r="CJ843" s="253"/>
      <c r="CK843" s="254"/>
    </row>
    <row r="844" spans="1:89">
      <c r="A844" s="166" t="str">
        <f t="shared" si="320"/>
        <v xml:space="preserve"> </v>
      </c>
      <c r="B844" s="101"/>
      <c r="C844" s="100"/>
      <c r="D844" s="167" t="str">
        <f t="shared" si="321"/>
        <v xml:space="preserve"> </v>
      </c>
      <c r="E844" s="167" t="str">
        <f t="shared" si="321"/>
        <v xml:space="preserve"> </v>
      </c>
      <c r="F844" s="167" t="str">
        <f t="shared" si="321"/>
        <v xml:space="preserve"> </v>
      </c>
      <c r="G844" s="167" t="str">
        <f t="shared" si="321"/>
        <v xml:space="preserve"> </v>
      </c>
      <c r="H844" s="167" t="str">
        <f t="shared" si="321"/>
        <v xml:space="preserve"> </v>
      </c>
      <c r="I844" s="168" t="str">
        <f t="shared" si="321"/>
        <v xml:space="preserve"> </v>
      </c>
      <c r="J844" s="101"/>
      <c r="K844" s="165"/>
      <c r="Z844" s="54"/>
      <c r="CA844" s="166" t="str">
        <f t="shared" si="322"/>
        <v xml:space="preserve"> </v>
      </c>
      <c r="CB844" s="101"/>
      <c r="CC844" s="100"/>
      <c r="CD844" s="167" t="str">
        <f t="shared" si="323"/>
        <v xml:space="preserve"> </v>
      </c>
      <c r="CE844" s="167" t="str">
        <f t="shared" si="323"/>
        <v xml:space="preserve"> </v>
      </c>
      <c r="CF844" s="167" t="str">
        <f t="shared" si="323"/>
        <v xml:space="preserve"> </v>
      </c>
      <c r="CG844" s="167" t="str">
        <f t="shared" si="323"/>
        <v xml:space="preserve"> </v>
      </c>
      <c r="CH844" s="167" t="str">
        <f t="shared" si="323"/>
        <v xml:space="preserve"> </v>
      </c>
      <c r="CI844" s="168" t="str">
        <f t="shared" si="323"/>
        <v xml:space="preserve"> </v>
      </c>
      <c r="CJ844" s="101"/>
      <c r="CK844" s="165"/>
    </row>
    <row r="845" spans="1:89">
      <c r="A845" s="246" t="str">
        <f t="shared" si="320"/>
        <v xml:space="preserve"> </v>
      </c>
      <c r="B845" s="258"/>
      <c r="C845" s="247"/>
      <c r="D845" s="247" t="str">
        <f t="shared" si="321"/>
        <v xml:space="preserve"> </v>
      </c>
      <c r="E845" s="247" t="str">
        <f t="shared" si="321"/>
        <v xml:space="preserve"> </v>
      </c>
      <c r="F845" s="247" t="str">
        <f t="shared" si="321"/>
        <v xml:space="preserve"> </v>
      </c>
      <c r="G845" s="247" t="str">
        <f t="shared" si="321"/>
        <v xml:space="preserve"> </v>
      </c>
      <c r="H845" s="247" t="str">
        <f t="shared" si="321"/>
        <v xml:space="preserve"> </v>
      </c>
      <c r="I845" s="256" t="str">
        <f t="shared" si="321"/>
        <v xml:space="preserve"> </v>
      </c>
      <c r="J845" s="258"/>
      <c r="K845" s="259"/>
      <c r="Z845" s="54"/>
      <c r="CA845" s="246" t="str">
        <f t="shared" si="322"/>
        <v xml:space="preserve"> </v>
      </c>
      <c r="CB845" s="258"/>
      <c r="CC845" s="247"/>
      <c r="CD845" s="247" t="str">
        <f t="shared" si="323"/>
        <v xml:space="preserve"> </v>
      </c>
      <c r="CE845" s="247" t="str">
        <f t="shared" si="323"/>
        <v xml:space="preserve"> </v>
      </c>
      <c r="CF845" s="247" t="str">
        <f t="shared" si="323"/>
        <v xml:space="preserve"> </v>
      </c>
      <c r="CG845" s="247" t="str">
        <f t="shared" si="323"/>
        <v xml:space="preserve"> </v>
      </c>
      <c r="CH845" s="247" t="str">
        <f t="shared" si="323"/>
        <v xml:space="preserve"> </v>
      </c>
      <c r="CI845" s="256" t="str">
        <f t="shared" si="323"/>
        <v xml:space="preserve"> </v>
      </c>
      <c r="CJ845" s="258"/>
      <c r="CK845" s="259"/>
    </row>
    <row r="846" spans="1:89">
      <c r="A846" s="179" t="s">
        <v>5213</v>
      </c>
      <c r="B846" s="102"/>
      <c r="C846" s="175" t="s">
        <v>5018</v>
      </c>
      <c r="D846" s="175" t="s">
        <v>5701</v>
      </c>
      <c r="E846" s="175" t="s">
        <v>5019</v>
      </c>
      <c r="F846" s="175" t="s">
        <v>5020</v>
      </c>
      <c r="G846" s="175" t="s">
        <v>5021</v>
      </c>
      <c r="H846" s="175" t="s">
        <v>5022</v>
      </c>
      <c r="I846" s="221" t="s">
        <v>5316</v>
      </c>
      <c r="J846" s="176"/>
      <c r="K846" s="180"/>
      <c r="Z846" s="54"/>
      <c r="CA846" s="179" t="s">
        <v>5213</v>
      </c>
      <c r="CB846" s="102"/>
      <c r="CC846" s="175" t="s">
        <v>5018</v>
      </c>
      <c r="CD846" s="175" t="s">
        <v>5701</v>
      </c>
      <c r="CE846" s="175" t="s">
        <v>5019</v>
      </c>
      <c r="CF846" s="175" t="s">
        <v>5020</v>
      </c>
      <c r="CG846" s="175" t="s">
        <v>5021</v>
      </c>
      <c r="CH846" s="175" t="s">
        <v>5022</v>
      </c>
      <c r="CI846" s="221" t="s">
        <v>5316</v>
      </c>
      <c r="CJ846" s="176"/>
      <c r="CK846" s="180"/>
    </row>
    <row r="847" spans="1:89">
      <c r="A847" s="166" t="str">
        <f t="shared" ref="A847:A857" si="324">IF(AND(A1647&gt;0,$E$134&gt;8),A1647," ")</f>
        <v xml:space="preserve"> </v>
      </c>
      <c r="B847" s="101"/>
      <c r="C847" s="100"/>
      <c r="D847" s="167" t="str">
        <f t="shared" ref="D847:I857" si="325">IF(AND(D1647&gt;0,$E$134&gt;8),D1647," ")</f>
        <v xml:space="preserve"> </v>
      </c>
      <c r="E847" s="167" t="str">
        <f t="shared" si="325"/>
        <v xml:space="preserve"> </v>
      </c>
      <c r="F847" s="167" t="str">
        <f t="shared" si="325"/>
        <v xml:space="preserve"> </v>
      </c>
      <c r="G847" s="167" t="str">
        <f t="shared" si="325"/>
        <v xml:space="preserve"> </v>
      </c>
      <c r="H847" s="167" t="str">
        <f t="shared" si="325"/>
        <v xml:space="preserve"> </v>
      </c>
      <c r="I847" s="168" t="str">
        <f t="shared" si="325"/>
        <v xml:space="preserve"> </v>
      </c>
      <c r="J847" s="101"/>
      <c r="K847" s="165"/>
      <c r="Z847" s="54"/>
      <c r="CA847" s="166" t="str">
        <f t="shared" ref="CA847:CA857" si="326">IF(AND(CA1647&gt;0,$E$134&gt;8),CA1647," ")</f>
        <v xml:space="preserve"> </v>
      </c>
      <c r="CB847" s="101"/>
      <c r="CC847" s="100"/>
      <c r="CD847" s="167" t="str">
        <f t="shared" ref="CD847:CI857" si="327">IF(AND(CD1647&gt;0,$E$134&gt;8),CD1647," ")</f>
        <v xml:space="preserve"> </v>
      </c>
      <c r="CE847" s="167" t="str">
        <f t="shared" si="327"/>
        <v xml:space="preserve"> </v>
      </c>
      <c r="CF847" s="167" t="str">
        <f t="shared" si="327"/>
        <v xml:space="preserve"> </v>
      </c>
      <c r="CG847" s="167" t="str">
        <f t="shared" si="327"/>
        <v xml:space="preserve"> </v>
      </c>
      <c r="CH847" s="167" t="str">
        <f t="shared" si="327"/>
        <v xml:space="preserve"> </v>
      </c>
      <c r="CI847" s="168" t="str">
        <f t="shared" si="327"/>
        <v xml:space="preserve"> </v>
      </c>
      <c r="CJ847" s="101"/>
      <c r="CK847" s="165"/>
    </row>
    <row r="848" spans="1:89">
      <c r="A848" s="238" t="str">
        <f t="shared" si="324"/>
        <v xml:space="preserve"> </v>
      </c>
      <c r="B848" s="253"/>
      <c r="C848" s="247"/>
      <c r="D848" s="240" t="str">
        <f t="shared" si="325"/>
        <v xml:space="preserve"> </v>
      </c>
      <c r="E848" s="240" t="str">
        <f t="shared" si="325"/>
        <v xml:space="preserve"> </v>
      </c>
      <c r="F848" s="240" t="str">
        <f t="shared" si="325"/>
        <v xml:space="preserve"> </v>
      </c>
      <c r="G848" s="240" t="str">
        <f t="shared" si="325"/>
        <v xml:space="preserve"> </v>
      </c>
      <c r="H848" s="240" t="str">
        <f t="shared" si="325"/>
        <v xml:space="preserve"> </v>
      </c>
      <c r="I848" s="251" t="str">
        <f t="shared" si="325"/>
        <v xml:space="preserve"> </v>
      </c>
      <c r="J848" s="253"/>
      <c r="K848" s="254"/>
      <c r="Z848" s="54"/>
      <c r="CA848" s="238" t="str">
        <f t="shared" si="326"/>
        <v xml:space="preserve"> </v>
      </c>
      <c r="CB848" s="253"/>
      <c r="CC848" s="247"/>
      <c r="CD848" s="240" t="str">
        <f t="shared" si="327"/>
        <v xml:space="preserve"> </v>
      </c>
      <c r="CE848" s="240" t="str">
        <f t="shared" si="327"/>
        <v xml:space="preserve"> </v>
      </c>
      <c r="CF848" s="240" t="str">
        <f t="shared" si="327"/>
        <v xml:space="preserve"> </v>
      </c>
      <c r="CG848" s="240" t="str">
        <f t="shared" si="327"/>
        <v xml:space="preserve"> </v>
      </c>
      <c r="CH848" s="240" t="str">
        <f t="shared" si="327"/>
        <v xml:space="preserve"> </v>
      </c>
      <c r="CI848" s="251" t="str">
        <f t="shared" si="327"/>
        <v xml:space="preserve"> </v>
      </c>
      <c r="CJ848" s="253"/>
      <c r="CK848" s="254"/>
    </row>
    <row r="849" spans="1:89">
      <c r="A849" s="166" t="str">
        <f t="shared" si="324"/>
        <v xml:space="preserve"> </v>
      </c>
      <c r="B849" s="101"/>
      <c r="C849" s="100"/>
      <c r="D849" s="167" t="str">
        <f t="shared" si="325"/>
        <v xml:space="preserve"> </v>
      </c>
      <c r="E849" s="167" t="str">
        <f t="shared" si="325"/>
        <v xml:space="preserve"> </v>
      </c>
      <c r="F849" s="167" t="str">
        <f t="shared" si="325"/>
        <v xml:space="preserve"> </v>
      </c>
      <c r="G849" s="167" t="str">
        <f t="shared" si="325"/>
        <v xml:space="preserve"> </v>
      </c>
      <c r="H849" s="167" t="str">
        <f t="shared" si="325"/>
        <v xml:space="preserve"> </v>
      </c>
      <c r="I849" s="168" t="str">
        <f t="shared" si="325"/>
        <v xml:space="preserve"> </v>
      </c>
      <c r="J849" s="101"/>
      <c r="K849" s="165"/>
      <c r="Z849" s="54"/>
      <c r="CA849" s="166" t="str">
        <f t="shared" si="326"/>
        <v xml:space="preserve"> </v>
      </c>
      <c r="CB849" s="101"/>
      <c r="CC849" s="100"/>
      <c r="CD849" s="167" t="str">
        <f t="shared" si="327"/>
        <v xml:space="preserve"> </v>
      </c>
      <c r="CE849" s="167" t="str">
        <f t="shared" si="327"/>
        <v xml:space="preserve"> </v>
      </c>
      <c r="CF849" s="167" t="str">
        <f t="shared" si="327"/>
        <v xml:space="preserve"> </v>
      </c>
      <c r="CG849" s="167" t="str">
        <f t="shared" si="327"/>
        <v xml:space="preserve"> </v>
      </c>
      <c r="CH849" s="167" t="str">
        <f t="shared" si="327"/>
        <v xml:space="preserve"> </v>
      </c>
      <c r="CI849" s="168" t="str">
        <f t="shared" si="327"/>
        <v xml:space="preserve"> </v>
      </c>
      <c r="CJ849" s="101"/>
      <c r="CK849" s="165"/>
    </row>
    <row r="850" spans="1:89">
      <c r="A850" s="238" t="str">
        <f t="shared" si="324"/>
        <v xml:space="preserve"> </v>
      </c>
      <c r="B850" s="253"/>
      <c r="C850" s="247"/>
      <c r="D850" s="240" t="str">
        <f t="shared" si="325"/>
        <v xml:space="preserve"> </v>
      </c>
      <c r="E850" s="240" t="str">
        <f t="shared" si="325"/>
        <v xml:space="preserve"> </v>
      </c>
      <c r="F850" s="240" t="str">
        <f t="shared" si="325"/>
        <v xml:space="preserve"> </v>
      </c>
      <c r="G850" s="240" t="str">
        <f t="shared" si="325"/>
        <v xml:space="preserve"> </v>
      </c>
      <c r="H850" s="240" t="str">
        <f t="shared" si="325"/>
        <v xml:space="preserve"> </v>
      </c>
      <c r="I850" s="251" t="str">
        <f t="shared" si="325"/>
        <v xml:space="preserve"> </v>
      </c>
      <c r="J850" s="253"/>
      <c r="K850" s="254"/>
      <c r="Z850" s="54"/>
      <c r="CA850" s="238" t="str">
        <f t="shared" si="326"/>
        <v xml:space="preserve"> </v>
      </c>
      <c r="CB850" s="253"/>
      <c r="CC850" s="247"/>
      <c r="CD850" s="240" t="str">
        <f t="shared" si="327"/>
        <v xml:space="preserve"> </v>
      </c>
      <c r="CE850" s="240" t="str">
        <f t="shared" si="327"/>
        <v xml:space="preserve"> </v>
      </c>
      <c r="CF850" s="240" t="str">
        <f t="shared" si="327"/>
        <v xml:space="preserve"> </v>
      </c>
      <c r="CG850" s="240" t="str">
        <f t="shared" si="327"/>
        <v xml:space="preserve"> </v>
      </c>
      <c r="CH850" s="240" t="str">
        <f t="shared" si="327"/>
        <v xml:space="preserve"> </v>
      </c>
      <c r="CI850" s="251" t="str">
        <f t="shared" si="327"/>
        <v xml:space="preserve"> </v>
      </c>
      <c r="CJ850" s="253"/>
      <c r="CK850" s="254"/>
    </row>
    <row r="851" spans="1:89">
      <c r="A851" s="166" t="str">
        <f t="shared" si="324"/>
        <v xml:space="preserve"> </v>
      </c>
      <c r="B851" s="101"/>
      <c r="C851" s="100"/>
      <c r="D851" s="167" t="str">
        <f t="shared" si="325"/>
        <v xml:space="preserve"> </v>
      </c>
      <c r="E851" s="167" t="str">
        <f t="shared" si="325"/>
        <v xml:space="preserve"> </v>
      </c>
      <c r="F851" s="167" t="str">
        <f t="shared" si="325"/>
        <v xml:space="preserve"> </v>
      </c>
      <c r="G851" s="167" t="str">
        <f t="shared" si="325"/>
        <v xml:space="preserve"> </v>
      </c>
      <c r="H851" s="167" t="str">
        <f t="shared" si="325"/>
        <v xml:space="preserve"> </v>
      </c>
      <c r="I851" s="168" t="str">
        <f t="shared" si="325"/>
        <v xml:space="preserve"> </v>
      </c>
      <c r="J851" s="101"/>
      <c r="K851" s="165"/>
      <c r="Z851" s="54"/>
      <c r="CA851" s="166" t="str">
        <f t="shared" si="326"/>
        <v xml:space="preserve"> </v>
      </c>
      <c r="CB851" s="101"/>
      <c r="CC851" s="100"/>
      <c r="CD851" s="167" t="str">
        <f t="shared" si="327"/>
        <v xml:space="preserve"> </v>
      </c>
      <c r="CE851" s="167" t="str">
        <f t="shared" si="327"/>
        <v xml:space="preserve"> </v>
      </c>
      <c r="CF851" s="167" t="str">
        <f t="shared" si="327"/>
        <v xml:space="preserve"> </v>
      </c>
      <c r="CG851" s="167" t="str">
        <f t="shared" si="327"/>
        <v xml:space="preserve"> </v>
      </c>
      <c r="CH851" s="167" t="str">
        <f t="shared" si="327"/>
        <v xml:space="preserve"> </v>
      </c>
      <c r="CI851" s="168" t="str">
        <f t="shared" si="327"/>
        <v xml:space="preserve"> </v>
      </c>
      <c r="CJ851" s="101"/>
      <c r="CK851" s="165"/>
    </row>
    <row r="852" spans="1:89">
      <c r="A852" s="238" t="str">
        <f t="shared" si="324"/>
        <v xml:space="preserve"> </v>
      </c>
      <c r="B852" s="253"/>
      <c r="C852" s="247"/>
      <c r="D852" s="240" t="str">
        <f t="shared" si="325"/>
        <v xml:space="preserve"> </v>
      </c>
      <c r="E852" s="240" t="str">
        <f t="shared" si="325"/>
        <v xml:space="preserve"> </v>
      </c>
      <c r="F852" s="240" t="str">
        <f t="shared" si="325"/>
        <v xml:space="preserve"> </v>
      </c>
      <c r="G852" s="240" t="str">
        <f t="shared" si="325"/>
        <v xml:space="preserve"> </v>
      </c>
      <c r="H852" s="240" t="str">
        <f t="shared" si="325"/>
        <v xml:space="preserve"> </v>
      </c>
      <c r="I852" s="251" t="str">
        <f t="shared" si="325"/>
        <v xml:space="preserve"> </v>
      </c>
      <c r="J852" s="253"/>
      <c r="K852" s="254"/>
      <c r="Z852" s="54"/>
      <c r="CA852" s="238" t="str">
        <f t="shared" si="326"/>
        <v xml:space="preserve"> </v>
      </c>
      <c r="CB852" s="253"/>
      <c r="CC852" s="247"/>
      <c r="CD852" s="240" t="str">
        <f t="shared" si="327"/>
        <v xml:space="preserve"> </v>
      </c>
      <c r="CE852" s="240" t="str">
        <f t="shared" si="327"/>
        <v xml:space="preserve"> </v>
      </c>
      <c r="CF852" s="240" t="str">
        <f t="shared" si="327"/>
        <v xml:space="preserve"> </v>
      </c>
      <c r="CG852" s="240" t="str">
        <f t="shared" si="327"/>
        <v xml:space="preserve"> </v>
      </c>
      <c r="CH852" s="240" t="str">
        <f t="shared" si="327"/>
        <v xml:space="preserve"> </v>
      </c>
      <c r="CI852" s="251" t="str">
        <f t="shared" si="327"/>
        <v xml:space="preserve"> </v>
      </c>
      <c r="CJ852" s="253"/>
      <c r="CK852" s="254"/>
    </row>
    <row r="853" spans="1:89">
      <c r="A853" s="166" t="str">
        <f t="shared" si="324"/>
        <v xml:space="preserve"> </v>
      </c>
      <c r="B853" s="101"/>
      <c r="C853" s="100"/>
      <c r="D853" s="167" t="str">
        <f t="shared" si="325"/>
        <v xml:space="preserve"> </v>
      </c>
      <c r="E853" s="167" t="str">
        <f t="shared" si="325"/>
        <v xml:space="preserve"> </v>
      </c>
      <c r="F853" s="167" t="str">
        <f t="shared" si="325"/>
        <v xml:space="preserve"> </v>
      </c>
      <c r="G853" s="167" t="str">
        <f t="shared" si="325"/>
        <v xml:space="preserve"> </v>
      </c>
      <c r="H853" s="167" t="str">
        <f t="shared" si="325"/>
        <v xml:space="preserve"> </v>
      </c>
      <c r="I853" s="168" t="str">
        <f t="shared" si="325"/>
        <v xml:space="preserve"> </v>
      </c>
      <c r="J853" s="101"/>
      <c r="K853" s="165"/>
      <c r="Z853" s="54"/>
      <c r="CA853" s="166" t="str">
        <f t="shared" si="326"/>
        <v xml:space="preserve"> </v>
      </c>
      <c r="CB853" s="101"/>
      <c r="CC853" s="100"/>
      <c r="CD853" s="167" t="str">
        <f t="shared" si="327"/>
        <v xml:space="preserve"> </v>
      </c>
      <c r="CE853" s="167" t="str">
        <f t="shared" si="327"/>
        <v xml:space="preserve"> </v>
      </c>
      <c r="CF853" s="167" t="str">
        <f t="shared" si="327"/>
        <v xml:space="preserve"> </v>
      </c>
      <c r="CG853" s="167" t="str">
        <f t="shared" si="327"/>
        <v xml:space="preserve"> </v>
      </c>
      <c r="CH853" s="167" t="str">
        <f t="shared" si="327"/>
        <v xml:space="preserve"> </v>
      </c>
      <c r="CI853" s="168" t="str">
        <f t="shared" si="327"/>
        <v xml:space="preserve"> </v>
      </c>
      <c r="CJ853" s="101"/>
      <c r="CK853" s="165"/>
    </row>
    <row r="854" spans="1:89">
      <c r="A854" s="238" t="str">
        <f t="shared" si="324"/>
        <v xml:space="preserve"> </v>
      </c>
      <c r="B854" s="253"/>
      <c r="C854" s="247"/>
      <c r="D854" s="240" t="str">
        <f t="shared" si="325"/>
        <v xml:space="preserve"> </v>
      </c>
      <c r="E854" s="240" t="str">
        <f t="shared" si="325"/>
        <v xml:space="preserve"> </v>
      </c>
      <c r="F854" s="240" t="str">
        <f t="shared" si="325"/>
        <v xml:space="preserve"> </v>
      </c>
      <c r="G854" s="240" t="str">
        <f t="shared" si="325"/>
        <v xml:space="preserve"> </v>
      </c>
      <c r="H854" s="240" t="str">
        <f t="shared" si="325"/>
        <v xml:space="preserve"> </v>
      </c>
      <c r="I854" s="251" t="str">
        <f t="shared" si="325"/>
        <v xml:space="preserve"> </v>
      </c>
      <c r="J854" s="253"/>
      <c r="K854" s="254"/>
      <c r="Z854" s="54"/>
      <c r="CA854" s="238" t="str">
        <f t="shared" si="326"/>
        <v xml:space="preserve"> </v>
      </c>
      <c r="CB854" s="253"/>
      <c r="CC854" s="247"/>
      <c r="CD854" s="240" t="str">
        <f t="shared" si="327"/>
        <v xml:space="preserve"> </v>
      </c>
      <c r="CE854" s="240" t="str">
        <f t="shared" si="327"/>
        <v xml:space="preserve"> </v>
      </c>
      <c r="CF854" s="240" t="str">
        <f t="shared" si="327"/>
        <v xml:space="preserve"> </v>
      </c>
      <c r="CG854" s="240" t="str">
        <f t="shared" si="327"/>
        <v xml:space="preserve"> </v>
      </c>
      <c r="CH854" s="240" t="str">
        <f t="shared" si="327"/>
        <v xml:space="preserve"> </v>
      </c>
      <c r="CI854" s="251" t="str">
        <f t="shared" si="327"/>
        <v xml:space="preserve"> </v>
      </c>
      <c r="CJ854" s="253"/>
      <c r="CK854" s="254"/>
    </row>
    <row r="855" spans="1:89">
      <c r="A855" s="166" t="str">
        <f t="shared" si="324"/>
        <v xml:space="preserve"> </v>
      </c>
      <c r="B855" s="101"/>
      <c r="C855" s="100"/>
      <c r="D855" s="167" t="str">
        <f t="shared" si="325"/>
        <v xml:space="preserve"> </v>
      </c>
      <c r="E855" s="167" t="str">
        <f t="shared" si="325"/>
        <v xml:space="preserve"> </v>
      </c>
      <c r="F855" s="167" t="str">
        <f t="shared" si="325"/>
        <v xml:space="preserve"> </v>
      </c>
      <c r="G855" s="167" t="str">
        <f t="shared" si="325"/>
        <v xml:space="preserve"> </v>
      </c>
      <c r="H855" s="167" t="str">
        <f t="shared" si="325"/>
        <v xml:space="preserve"> </v>
      </c>
      <c r="I855" s="168" t="str">
        <f t="shared" si="325"/>
        <v xml:space="preserve"> </v>
      </c>
      <c r="J855" s="101"/>
      <c r="K855" s="165"/>
      <c r="Z855" s="54"/>
      <c r="CA855" s="166" t="str">
        <f t="shared" si="326"/>
        <v xml:space="preserve"> </v>
      </c>
      <c r="CB855" s="101"/>
      <c r="CC855" s="100"/>
      <c r="CD855" s="167" t="str">
        <f t="shared" si="327"/>
        <v xml:space="preserve"> </v>
      </c>
      <c r="CE855" s="167" t="str">
        <f t="shared" si="327"/>
        <v xml:space="preserve"> </v>
      </c>
      <c r="CF855" s="167" t="str">
        <f t="shared" si="327"/>
        <v xml:space="preserve"> </v>
      </c>
      <c r="CG855" s="167" t="str">
        <f t="shared" si="327"/>
        <v xml:space="preserve"> </v>
      </c>
      <c r="CH855" s="167" t="str">
        <f t="shared" si="327"/>
        <v xml:space="preserve"> </v>
      </c>
      <c r="CI855" s="168" t="str">
        <f t="shared" si="327"/>
        <v xml:space="preserve"> </v>
      </c>
      <c r="CJ855" s="101"/>
      <c r="CK855" s="165"/>
    </row>
    <row r="856" spans="1:89">
      <c r="A856" s="238" t="str">
        <f t="shared" si="324"/>
        <v xml:space="preserve"> </v>
      </c>
      <c r="B856" s="253"/>
      <c r="C856" s="247"/>
      <c r="D856" s="240" t="str">
        <f t="shared" si="325"/>
        <v xml:space="preserve"> </v>
      </c>
      <c r="E856" s="240" t="str">
        <f t="shared" si="325"/>
        <v xml:space="preserve"> </v>
      </c>
      <c r="F856" s="240" t="str">
        <f t="shared" si="325"/>
        <v xml:space="preserve"> </v>
      </c>
      <c r="G856" s="240" t="str">
        <f t="shared" si="325"/>
        <v xml:space="preserve"> </v>
      </c>
      <c r="H856" s="240" t="str">
        <f t="shared" si="325"/>
        <v xml:space="preserve"> </v>
      </c>
      <c r="I856" s="251" t="str">
        <f t="shared" si="325"/>
        <v xml:space="preserve"> </v>
      </c>
      <c r="J856" s="253"/>
      <c r="K856" s="254"/>
      <c r="Z856" s="54"/>
      <c r="CA856" s="238" t="str">
        <f t="shared" si="326"/>
        <v xml:space="preserve"> </v>
      </c>
      <c r="CB856" s="253"/>
      <c r="CC856" s="247"/>
      <c r="CD856" s="240" t="str">
        <f t="shared" si="327"/>
        <v xml:space="preserve"> </v>
      </c>
      <c r="CE856" s="240" t="str">
        <f t="shared" si="327"/>
        <v xml:space="preserve"> </v>
      </c>
      <c r="CF856" s="240" t="str">
        <f t="shared" si="327"/>
        <v xml:space="preserve"> </v>
      </c>
      <c r="CG856" s="240" t="str">
        <f t="shared" si="327"/>
        <v xml:space="preserve"> </v>
      </c>
      <c r="CH856" s="240" t="str">
        <f t="shared" si="327"/>
        <v xml:space="preserve"> </v>
      </c>
      <c r="CI856" s="251" t="str">
        <f t="shared" si="327"/>
        <v xml:space="preserve"> </v>
      </c>
      <c r="CJ856" s="253"/>
      <c r="CK856" s="254"/>
    </row>
    <row r="857" spans="1:89">
      <c r="A857" s="181" t="str">
        <f t="shared" si="324"/>
        <v xml:space="preserve"> </v>
      </c>
      <c r="B857" s="103"/>
      <c r="C857" s="100"/>
      <c r="D857" s="100" t="str">
        <f t="shared" si="325"/>
        <v xml:space="preserve"> </v>
      </c>
      <c r="E857" s="100" t="str">
        <f t="shared" si="325"/>
        <v xml:space="preserve"> </v>
      </c>
      <c r="F857" s="100" t="str">
        <f t="shared" si="325"/>
        <v xml:space="preserve"> </v>
      </c>
      <c r="G857" s="100" t="str">
        <f t="shared" si="325"/>
        <v xml:space="preserve"> </v>
      </c>
      <c r="H857" s="100" t="str">
        <f t="shared" si="325"/>
        <v xml:space="preserve"> </v>
      </c>
      <c r="I857" s="177" t="str">
        <f t="shared" si="325"/>
        <v xml:space="preserve"> </v>
      </c>
      <c r="J857" s="103"/>
      <c r="K857" s="182"/>
      <c r="Z857" s="54"/>
      <c r="CA857" s="181" t="str">
        <f t="shared" si="326"/>
        <v xml:space="preserve"> </v>
      </c>
      <c r="CB857" s="103"/>
      <c r="CC857" s="100"/>
      <c r="CD857" s="100" t="str">
        <f t="shared" si="327"/>
        <v xml:space="preserve"> </v>
      </c>
      <c r="CE857" s="100" t="str">
        <f t="shared" si="327"/>
        <v xml:space="preserve"> </v>
      </c>
      <c r="CF857" s="100" t="str">
        <f t="shared" si="327"/>
        <v xml:space="preserve"> </v>
      </c>
      <c r="CG857" s="100" t="str">
        <f t="shared" si="327"/>
        <v xml:space="preserve"> </v>
      </c>
      <c r="CH857" s="100" t="str">
        <f t="shared" si="327"/>
        <v xml:space="preserve"> </v>
      </c>
      <c r="CI857" s="177" t="str">
        <f t="shared" si="327"/>
        <v xml:space="preserve"> </v>
      </c>
      <c r="CJ857" s="103"/>
      <c r="CK857" s="182"/>
    </row>
    <row r="858" spans="1:89">
      <c r="A858" s="179" t="s">
        <v>5214</v>
      </c>
      <c r="B858" s="102"/>
      <c r="C858" s="175" t="s">
        <v>5018</v>
      </c>
      <c r="D858" s="175" t="s">
        <v>5701</v>
      </c>
      <c r="E858" s="175" t="s">
        <v>5019</v>
      </c>
      <c r="F858" s="175" t="s">
        <v>5020</v>
      </c>
      <c r="G858" s="175" t="s">
        <v>5021</v>
      </c>
      <c r="H858" s="175" t="s">
        <v>5022</v>
      </c>
      <c r="I858" s="221" t="s">
        <v>5316</v>
      </c>
      <c r="J858" s="176"/>
      <c r="K858" s="180"/>
      <c r="Z858" s="54"/>
      <c r="CA858" s="179" t="s">
        <v>5214</v>
      </c>
      <c r="CB858" s="102"/>
      <c r="CC858" s="175" t="s">
        <v>5018</v>
      </c>
      <c r="CD858" s="175" t="s">
        <v>5701</v>
      </c>
      <c r="CE858" s="175" t="s">
        <v>5019</v>
      </c>
      <c r="CF858" s="175" t="s">
        <v>5020</v>
      </c>
      <c r="CG858" s="175" t="s">
        <v>5021</v>
      </c>
      <c r="CH858" s="175" t="s">
        <v>5022</v>
      </c>
      <c r="CI858" s="221" t="s">
        <v>5316</v>
      </c>
      <c r="CJ858" s="176"/>
      <c r="CK858" s="180"/>
    </row>
    <row r="859" spans="1:89">
      <c r="A859" s="166" t="str">
        <f t="shared" ref="A859:A870" si="328">IF(AND(A1659&gt;0,$E$134&gt;9),A1659," ")</f>
        <v xml:space="preserve"> </v>
      </c>
      <c r="B859" s="101"/>
      <c r="C859" s="100"/>
      <c r="D859" s="167" t="str">
        <f t="shared" ref="D859:I869" si="329">IF(AND(D1659&gt;0,$E$134&gt;9),D1659," ")</f>
        <v xml:space="preserve"> </v>
      </c>
      <c r="E859" s="167" t="str">
        <f t="shared" si="329"/>
        <v xml:space="preserve"> </v>
      </c>
      <c r="F859" s="167" t="str">
        <f t="shared" si="329"/>
        <v xml:space="preserve"> </v>
      </c>
      <c r="G859" s="167" t="str">
        <f t="shared" si="329"/>
        <v xml:space="preserve"> </v>
      </c>
      <c r="H859" s="167" t="str">
        <f t="shared" si="329"/>
        <v xml:space="preserve"> </v>
      </c>
      <c r="I859" s="168" t="str">
        <f t="shared" si="329"/>
        <v xml:space="preserve"> </v>
      </c>
      <c r="J859" s="101"/>
      <c r="K859" s="165"/>
      <c r="Z859" s="54"/>
      <c r="CA859" s="166" t="str">
        <f t="shared" ref="CA859:CA870" si="330">IF(AND(CA1659&gt;0,$E$134&gt;9),CA1659," ")</f>
        <v xml:space="preserve"> </v>
      </c>
      <c r="CB859" s="101"/>
      <c r="CC859" s="100"/>
      <c r="CD859" s="167" t="str">
        <f t="shared" ref="CD859:CI869" si="331">IF(AND(CD1659&gt;0,$E$134&gt;9),CD1659," ")</f>
        <v xml:space="preserve"> </v>
      </c>
      <c r="CE859" s="167" t="str">
        <f t="shared" si="331"/>
        <v xml:space="preserve"> </v>
      </c>
      <c r="CF859" s="167" t="str">
        <f t="shared" si="331"/>
        <v xml:space="preserve"> </v>
      </c>
      <c r="CG859" s="167" t="str">
        <f t="shared" si="331"/>
        <v xml:space="preserve"> </v>
      </c>
      <c r="CH859" s="167" t="str">
        <f t="shared" si="331"/>
        <v xml:space="preserve"> </v>
      </c>
      <c r="CI859" s="168" t="str">
        <f t="shared" si="331"/>
        <v xml:space="preserve"> </v>
      </c>
      <c r="CJ859" s="101"/>
      <c r="CK859" s="165"/>
    </row>
    <row r="860" spans="1:89">
      <c r="A860" s="238" t="str">
        <f t="shared" si="328"/>
        <v xml:space="preserve"> </v>
      </c>
      <c r="B860" s="253"/>
      <c r="C860" s="247"/>
      <c r="D860" s="240" t="str">
        <f t="shared" si="329"/>
        <v xml:space="preserve"> </v>
      </c>
      <c r="E860" s="240" t="str">
        <f t="shared" si="329"/>
        <v xml:space="preserve"> </v>
      </c>
      <c r="F860" s="240" t="str">
        <f t="shared" si="329"/>
        <v xml:space="preserve"> </v>
      </c>
      <c r="G860" s="240" t="str">
        <f t="shared" si="329"/>
        <v xml:space="preserve"> </v>
      </c>
      <c r="H860" s="240" t="str">
        <f t="shared" si="329"/>
        <v xml:space="preserve"> </v>
      </c>
      <c r="I860" s="251" t="str">
        <f t="shared" si="329"/>
        <v xml:space="preserve"> </v>
      </c>
      <c r="J860" s="253"/>
      <c r="K860" s="254"/>
      <c r="Z860" s="54"/>
      <c r="CA860" s="238" t="str">
        <f t="shared" si="330"/>
        <v xml:space="preserve"> </v>
      </c>
      <c r="CB860" s="253"/>
      <c r="CC860" s="247"/>
      <c r="CD860" s="240" t="str">
        <f t="shared" si="331"/>
        <v xml:space="preserve"> </v>
      </c>
      <c r="CE860" s="240" t="str">
        <f t="shared" si="331"/>
        <v xml:space="preserve"> </v>
      </c>
      <c r="CF860" s="240" t="str">
        <f t="shared" si="331"/>
        <v xml:space="preserve"> </v>
      </c>
      <c r="CG860" s="240" t="str">
        <f t="shared" si="331"/>
        <v xml:space="preserve"> </v>
      </c>
      <c r="CH860" s="240" t="str">
        <f t="shared" si="331"/>
        <v xml:space="preserve"> </v>
      </c>
      <c r="CI860" s="251" t="str">
        <f t="shared" si="331"/>
        <v xml:space="preserve"> </v>
      </c>
      <c r="CJ860" s="253"/>
      <c r="CK860" s="254"/>
    </row>
    <row r="861" spans="1:89">
      <c r="A861" s="166" t="str">
        <f t="shared" si="328"/>
        <v xml:space="preserve"> </v>
      </c>
      <c r="B861" s="101"/>
      <c r="C861" s="100"/>
      <c r="D861" s="167" t="str">
        <f t="shared" si="329"/>
        <v xml:space="preserve"> </v>
      </c>
      <c r="E861" s="167" t="str">
        <f t="shared" si="329"/>
        <v xml:space="preserve"> </v>
      </c>
      <c r="F861" s="167" t="str">
        <f t="shared" si="329"/>
        <v xml:space="preserve"> </v>
      </c>
      <c r="G861" s="167" t="str">
        <f t="shared" si="329"/>
        <v xml:space="preserve"> </v>
      </c>
      <c r="H861" s="167" t="str">
        <f t="shared" si="329"/>
        <v xml:space="preserve"> </v>
      </c>
      <c r="I861" s="168" t="str">
        <f t="shared" si="329"/>
        <v xml:space="preserve"> </v>
      </c>
      <c r="J861" s="101"/>
      <c r="K861" s="165"/>
      <c r="Z861" s="54"/>
      <c r="CA861" s="166" t="str">
        <f t="shared" si="330"/>
        <v xml:space="preserve"> </v>
      </c>
      <c r="CB861" s="101"/>
      <c r="CC861" s="100"/>
      <c r="CD861" s="167" t="str">
        <f t="shared" si="331"/>
        <v xml:space="preserve"> </v>
      </c>
      <c r="CE861" s="167" t="str">
        <f t="shared" si="331"/>
        <v xml:space="preserve"> </v>
      </c>
      <c r="CF861" s="167" t="str">
        <f t="shared" si="331"/>
        <v xml:space="preserve"> </v>
      </c>
      <c r="CG861" s="167" t="str">
        <f t="shared" si="331"/>
        <v xml:space="preserve"> </v>
      </c>
      <c r="CH861" s="167" t="str">
        <f t="shared" si="331"/>
        <v xml:space="preserve"> </v>
      </c>
      <c r="CI861" s="168" t="str">
        <f t="shared" si="331"/>
        <v xml:space="preserve"> </v>
      </c>
      <c r="CJ861" s="101"/>
      <c r="CK861" s="165"/>
    </row>
    <row r="862" spans="1:89">
      <c r="A862" s="238" t="str">
        <f t="shared" si="328"/>
        <v xml:space="preserve"> </v>
      </c>
      <c r="B862" s="253"/>
      <c r="C862" s="247"/>
      <c r="D862" s="240" t="str">
        <f t="shared" si="329"/>
        <v xml:space="preserve"> </v>
      </c>
      <c r="E862" s="240" t="str">
        <f t="shared" si="329"/>
        <v xml:space="preserve"> </v>
      </c>
      <c r="F862" s="240" t="str">
        <f t="shared" si="329"/>
        <v xml:space="preserve"> </v>
      </c>
      <c r="G862" s="240" t="str">
        <f t="shared" si="329"/>
        <v xml:space="preserve"> </v>
      </c>
      <c r="H862" s="240" t="str">
        <f t="shared" si="329"/>
        <v xml:space="preserve"> </v>
      </c>
      <c r="I862" s="251" t="str">
        <f t="shared" si="329"/>
        <v xml:space="preserve"> </v>
      </c>
      <c r="J862" s="253"/>
      <c r="K862" s="254"/>
      <c r="Z862" s="54"/>
      <c r="CA862" s="238" t="str">
        <f t="shared" si="330"/>
        <v xml:space="preserve"> </v>
      </c>
      <c r="CB862" s="253"/>
      <c r="CC862" s="247"/>
      <c r="CD862" s="240" t="str">
        <f t="shared" si="331"/>
        <v xml:space="preserve"> </v>
      </c>
      <c r="CE862" s="240" t="str">
        <f t="shared" si="331"/>
        <v xml:space="preserve"> </v>
      </c>
      <c r="CF862" s="240" t="str">
        <f t="shared" si="331"/>
        <v xml:space="preserve"> </v>
      </c>
      <c r="CG862" s="240" t="str">
        <f t="shared" si="331"/>
        <v xml:space="preserve"> </v>
      </c>
      <c r="CH862" s="240" t="str">
        <f t="shared" si="331"/>
        <v xml:space="preserve"> </v>
      </c>
      <c r="CI862" s="251" t="str">
        <f t="shared" si="331"/>
        <v xml:space="preserve"> </v>
      </c>
      <c r="CJ862" s="253"/>
      <c r="CK862" s="254"/>
    </row>
    <row r="863" spans="1:89">
      <c r="A863" s="166" t="str">
        <f t="shared" si="328"/>
        <v xml:space="preserve"> </v>
      </c>
      <c r="B863" s="101"/>
      <c r="C863" s="100"/>
      <c r="D863" s="167" t="str">
        <f t="shared" si="329"/>
        <v xml:space="preserve"> </v>
      </c>
      <c r="E863" s="167" t="str">
        <f t="shared" si="329"/>
        <v xml:space="preserve"> </v>
      </c>
      <c r="F863" s="167" t="str">
        <f t="shared" si="329"/>
        <v xml:space="preserve"> </v>
      </c>
      <c r="G863" s="167" t="str">
        <f t="shared" si="329"/>
        <v xml:space="preserve"> </v>
      </c>
      <c r="H863" s="167" t="str">
        <f t="shared" si="329"/>
        <v xml:space="preserve"> </v>
      </c>
      <c r="I863" s="168" t="str">
        <f t="shared" si="329"/>
        <v xml:space="preserve"> </v>
      </c>
      <c r="J863" s="101"/>
      <c r="K863" s="165"/>
      <c r="Z863" s="54"/>
      <c r="CA863" s="166" t="str">
        <f t="shared" si="330"/>
        <v xml:space="preserve"> </v>
      </c>
      <c r="CB863" s="101"/>
      <c r="CC863" s="100"/>
      <c r="CD863" s="167" t="str">
        <f t="shared" si="331"/>
        <v xml:space="preserve"> </v>
      </c>
      <c r="CE863" s="167" t="str">
        <f t="shared" si="331"/>
        <v xml:space="preserve"> </v>
      </c>
      <c r="CF863" s="167" t="str">
        <f t="shared" si="331"/>
        <v xml:space="preserve"> </v>
      </c>
      <c r="CG863" s="167" t="str">
        <f t="shared" si="331"/>
        <v xml:space="preserve"> </v>
      </c>
      <c r="CH863" s="167" t="str">
        <f t="shared" si="331"/>
        <v xml:space="preserve"> </v>
      </c>
      <c r="CI863" s="168" t="str">
        <f t="shared" si="331"/>
        <v xml:space="preserve"> </v>
      </c>
      <c r="CJ863" s="101"/>
      <c r="CK863" s="165"/>
    </row>
    <row r="864" spans="1:89">
      <c r="A864" s="238" t="str">
        <f t="shared" si="328"/>
        <v xml:space="preserve"> </v>
      </c>
      <c r="B864" s="253"/>
      <c r="C864" s="247"/>
      <c r="D864" s="240" t="str">
        <f t="shared" si="329"/>
        <v xml:space="preserve"> </v>
      </c>
      <c r="E864" s="240" t="str">
        <f t="shared" si="329"/>
        <v xml:space="preserve"> </v>
      </c>
      <c r="F864" s="240" t="str">
        <f t="shared" si="329"/>
        <v xml:space="preserve"> </v>
      </c>
      <c r="G864" s="240" t="str">
        <f t="shared" si="329"/>
        <v xml:space="preserve"> </v>
      </c>
      <c r="H864" s="240" t="str">
        <f t="shared" si="329"/>
        <v xml:space="preserve"> </v>
      </c>
      <c r="I864" s="251" t="str">
        <f t="shared" si="329"/>
        <v xml:space="preserve"> </v>
      </c>
      <c r="J864" s="253"/>
      <c r="K864" s="254"/>
      <c r="Z864" s="54"/>
      <c r="CA864" s="238" t="str">
        <f t="shared" si="330"/>
        <v xml:space="preserve"> </v>
      </c>
      <c r="CB864" s="253"/>
      <c r="CC864" s="247"/>
      <c r="CD864" s="240" t="str">
        <f t="shared" si="331"/>
        <v xml:space="preserve"> </v>
      </c>
      <c r="CE864" s="240" t="str">
        <f t="shared" si="331"/>
        <v xml:space="preserve"> </v>
      </c>
      <c r="CF864" s="240" t="str">
        <f t="shared" si="331"/>
        <v xml:space="preserve"> </v>
      </c>
      <c r="CG864" s="240" t="str">
        <f t="shared" si="331"/>
        <v xml:space="preserve"> </v>
      </c>
      <c r="CH864" s="240" t="str">
        <f t="shared" si="331"/>
        <v xml:space="preserve"> </v>
      </c>
      <c r="CI864" s="251" t="str">
        <f t="shared" si="331"/>
        <v xml:space="preserve"> </v>
      </c>
      <c r="CJ864" s="253"/>
      <c r="CK864" s="254"/>
    </row>
    <row r="865" spans="1:89">
      <c r="A865" s="166" t="str">
        <f t="shared" si="328"/>
        <v xml:space="preserve"> </v>
      </c>
      <c r="B865" s="101"/>
      <c r="C865" s="100"/>
      <c r="D865" s="167" t="str">
        <f t="shared" si="329"/>
        <v xml:space="preserve"> </v>
      </c>
      <c r="E865" s="167" t="str">
        <f t="shared" si="329"/>
        <v xml:space="preserve"> </v>
      </c>
      <c r="F865" s="167" t="str">
        <f t="shared" si="329"/>
        <v xml:space="preserve"> </v>
      </c>
      <c r="G865" s="167" t="str">
        <f t="shared" si="329"/>
        <v xml:space="preserve"> </v>
      </c>
      <c r="H865" s="167" t="str">
        <f t="shared" si="329"/>
        <v xml:space="preserve"> </v>
      </c>
      <c r="I865" s="168" t="str">
        <f t="shared" si="329"/>
        <v xml:space="preserve"> </v>
      </c>
      <c r="J865" s="101"/>
      <c r="K865" s="165"/>
      <c r="Z865" s="54"/>
      <c r="CA865" s="166" t="str">
        <f t="shared" si="330"/>
        <v xml:space="preserve"> </v>
      </c>
      <c r="CB865" s="101"/>
      <c r="CC865" s="100"/>
      <c r="CD865" s="167" t="str">
        <f t="shared" si="331"/>
        <v xml:space="preserve"> </v>
      </c>
      <c r="CE865" s="167" t="str">
        <f t="shared" si="331"/>
        <v xml:space="preserve"> </v>
      </c>
      <c r="CF865" s="167" t="str">
        <f t="shared" si="331"/>
        <v xml:space="preserve"> </v>
      </c>
      <c r="CG865" s="167" t="str">
        <f t="shared" si="331"/>
        <v xml:space="preserve"> </v>
      </c>
      <c r="CH865" s="167" t="str">
        <f t="shared" si="331"/>
        <v xml:space="preserve"> </v>
      </c>
      <c r="CI865" s="168" t="str">
        <f t="shared" si="331"/>
        <v xml:space="preserve"> </v>
      </c>
      <c r="CJ865" s="101"/>
      <c r="CK865" s="165"/>
    </row>
    <row r="866" spans="1:89">
      <c r="A866" s="238" t="str">
        <f t="shared" si="328"/>
        <v xml:space="preserve"> </v>
      </c>
      <c r="B866" s="253"/>
      <c r="C866" s="247"/>
      <c r="D866" s="240" t="str">
        <f t="shared" si="329"/>
        <v xml:space="preserve"> </v>
      </c>
      <c r="E866" s="240" t="str">
        <f t="shared" si="329"/>
        <v xml:space="preserve"> </v>
      </c>
      <c r="F866" s="240" t="str">
        <f t="shared" si="329"/>
        <v xml:space="preserve"> </v>
      </c>
      <c r="G866" s="240" t="str">
        <f t="shared" si="329"/>
        <v xml:space="preserve"> </v>
      </c>
      <c r="H866" s="240" t="str">
        <f t="shared" si="329"/>
        <v xml:space="preserve"> </v>
      </c>
      <c r="I866" s="251" t="str">
        <f t="shared" si="329"/>
        <v xml:space="preserve"> </v>
      </c>
      <c r="J866" s="253"/>
      <c r="K866" s="254"/>
      <c r="Z866" s="54"/>
      <c r="CA866" s="238" t="str">
        <f t="shared" si="330"/>
        <v xml:space="preserve"> </v>
      </c>
      <c r="CB866" s="253"/>
      <c r="CC866" s="247"/>
      <c r="CD866" s="240" t="str">
        <f t="shared" si="331"/>
        <v xml:space="preserve"> </v>
      </c>
      <c r="CE866" s="240" t="str">
        <f t="shared" si="331"/>
        <v xml:space="preserve"> </v>
      </c>
      <c r="CF866" s="240" t="str">
        <f t="shared" si="331"/>
        <v xml:space="preserve"> </v>
      </c>
      <c r="CG866" s="240" t="str">
        <f t="shared" si="331"/>
        <v xml:space="preserve"> </v>
      </c>
      <c r="CH866" s="240" t="str">
        <f t="shared" si="331"/>
        <v xml:space="preserve"> </v>
      </c>
      <c r="CI866" s="251" t="str">
        <f t="shared" si="331"/>
        <v xml:space="preserve"> </v>
      </c>
      <c r="CJ866" s="253"/>
      <c r="CK866" s="254"/>
    </row>
    <row r="867" spans="1:89">
      <c r="A867" s="166" t="str">
        <f t="shared" si="328"/>
        <v xml:space="preserve"> </v>
      </c>
      <c r="B867" s="101"/>
      <c r="C867" s="100"/>
      <c r="D867" s="167" t="str">
        <f t="shared" si="329"/>
        <v xml:space="preserve"> </v>
      </c>
      <c r="E867" s="167" t="str">
        <f t="shared" si="329"/>
        <v xml:space="preserve"> </v>
      </c>
      <c r="F867" s="167" t="str">
        <f t="shared" si="329"/>
        <v xml:space="preserve"> </v>
      </c>
      <c r="G867" s="167" t="str">
        <f t="shared" si="329"/>
        <v xml:space="preserve"> </v>
      </c>
      <c r="H867" s="167" t="str">
        <f t="shared" si="329"/>
        <v xml:space="preserve"> </v>
      </c>
      <c r="I867" s="168" t="str">
        <f t="shared" si="329"/>
        <v xml:space="preserve"> </v>
      </c>
      <c r="J867" s="101"/>
      <c r="K867" s="165"/>
      <c r="CA867" s="166" t="str">
        <f t="shared" si="330"/>
        <v xml:space="preserve"> </v>
      </c>
      <c r="CB867" s="101"/>
      <c r="CC867" s="100"/>
      <c r="CD867" s="167" t="str">
        <f t="shared" si="331"/>
        <v xml:space="preserve"> </v>
      </c>
      <c r="CE867" s="167" t="str">
        <f t="shared" si="331"/>
        <v xml:space="preserve"> </v>
      </c>
      <c r="CF867" s="167" t="str">
        <f t="shared" si="331"/>
        <v xml:space="preserve"> </v>
      </c>
      <c r="CG867" s="167" t="str">
        <f t="shared" si="331"/>
        <v xml:space="preserve"> </v>
      </c>
      <c r="CH867" s="167" t="str">
        <f t="shared" si="331"/>
        <v xml:space="preserve"> </v>
      </c>
      <c r="CI867" s="168" t="str">
        <f t="shared" si="331"/>
        <v xml:space="preserve"> </v>
      </c>
      <c r="CJ867" s="101"/>
      <c r="CK867" s="165"/>
    </row>
    <row r="868" spans="1:89">
      <c r="A868" s="238" t="str">
        <f t="shared" si="328"/>
        <v xml:space="preserve"> </v>
      </c>
      <c r="B868" s="253"/>
      <c r="C868" s="247"/>
      <c r="D868" s="240" t="str">
        <f t="shared" si="329"/>
        <v xml:space="preserve"> </v>
      </c>
      <c r="E868" s="240" t="str">
        <f t="shared" si="329"/>
        <v xml:space="preserve"> </v>
      </c>
      <c r="F868" s="240" t="str">
        <f t="shared" si="329"/>
        <v xml:space="preserve"> </v>
      </c>
      <c r="G868" s="240" t="str">
        <f t="shared" si="329"/>
        <v xml:space="preserve"> </v>
      </c>
      <c r="H868" s="240" t="str">
        <f t="shared" si="329"/>
        <v xml:space="preserve"> </v>
      </c>
      <c r="I868" s="251" t="str">
        <f t="shared" si="329"/>
        <v xml:space="preserve"> </v>
      </c>
      <c r="J868" s="253"/>
      <c r="K868" s="254"/>
      <c r="CA868" s="238" t="str">
        <f t="shared" si="330"/>
        <v xml:space="preserve"> </v>
      </c>
      <c r="CB868" s="253"/>
      <c r="CC868" s="247"/>
      <c r="CD868" s="240" t="str">
        <f t="shared" si="331"/>
        <v xml:space="preserve"> </v>
      </c>
      <c r="CE868" s="240" t="str">
        <f t="shared" si="331"/>
        <v xml:space="preserve"> </v>
      </c>
      <c r="CF868" s="240" t="str">
        <f t="shared" si="331"/>
        <v xml:space="preserve"> </v>
      </c>
      <c r="CG868" s="240" t="str">
        <f t="shared" si="331"/>
        <v xml:space="preserve"> </v>
      </c>
      <c r="CH868" s="240" t="str">
        <f t="shared" si="331"/>
        <v xml:space="preserve"> </v>
      </c>
      <c r="CI868" s="251" t="str">
        <f t="shared" si="331"/>
        <v xml:space="preserve"> </v>
      </c>
      <c r="CJ868" s="253"/>
      <c r="CK868" s="254"/>
    </row>
    <row r="869" spans="1:89">
      <c r="A869" s="166" t="str">
        <f t="shared" si="328"/>
        <v xml:space="preserve"> </v>
      </c>
      <c r="B869" s="101"/>
      <c r="C869" s="100"/>
      <c r="D869" s="167" t="str">
        <f t="shared" si="329"/>
        <v xml:space="preserve"> </v>
      </c>
      <c r="E869" s="167" t="str">
        <f t="shared" si="329"/>
        <v xml:space="preserve"> </v>
      </c>
      <c r="F869" s="167" t="str">
        <f t="shared" si="329"/>
        <v xml:space="preserve"> </v>
      </c>
      <c r="G869" s="167" t="str">
        <f t="shared" si="329"/>
        <v xml:space="preserve"> </v>
      </c>
      <c r="H869" s="167" t="str">
        <f t="shared" si="329"/>
        <v xml:space="preserve"> </v>
      </c>
      <c r="I869" s="168" t="str">
        <f t="shared" si="329"/>
        <v xml:space="preserve"> </v>
      </c>
      <c r="J869" s="101"/>
      <c r="K869" s="165"/>
      <c r="CA869" s="166" t="str">
        <f t="shared" si="330"/>
        <v xml:space="preserve"> </v>
      </c>
      <c r="CB869" s="101"/>
      <c r="CC869" s="100"/>
      <c r="CD869" s="167" t="str">
        <f t="shared" si="331"/>
        <v xml:space="preserve"> </v>
      </c>
      <c r="CE869" s="167" t="str">
        <f t="shared" si="331"/>
        <v xml:space="preserve"> </v>
      </c>
      <c r="CF869" s="167" t="str">
        <f t="shared" si="331"/>
        <v xml:space="preserve"> </v>
      </c>
      <c r="CG869" s="167" t="str">
        <f t="shared" si="331"/>
        <v xml:space="preserve"> </v>
      </c>
      <c r="CH869" s="167" t="str">
        <f t="shared" si="331"/>
        <v xml:space="preserve"> </v>
      </c>
      <c r="CI869" s="168" t="str">
        <f t="shared" si="331"/>
        <v xml:space="preserve"> </v>
      </c>
      <c r="CJ869" s="101"/>
      <c r="CK869" s="165"/>
    </row>
    <row r="870" spans="1:89">
      <c r="A870" s="246" t="str">
        <f t="shared" si="328"/>
        <v xml:space="preserve"> </v>
      </c>
      <c r="B870" s="258"/>
      <c r="C870" s="247"/>
      <c r="D870" s="247" t="str">
        <f t="shared" ref="D870:I870" si="332">IF(AND(D1670&gt;0,$E$134&gt;0),D1670," ")</f>
        <v xml:space="preserve"> </v>
      </c>
      <c r="E870" s="247" t="str">
        <f t="shared" si="332"/>
        <v xml:space="preserve"> </v>
      </c>
      <c r="F870" s="247" t="str">
        <f t="shared" si="332"/>
        <v xml:space="preserve"> </v>
      </c>
      <c r="G870" s="247" t="str">
        <f t="shared" si="332"/>
        <v xml:space="preserve"> </v>
      </c>
      <c r="H870" s="247" t="str">
        <f t="shared" si="332"/>
        <v xml:space="preserve"> </v>
      </c>
      <c r="I870" s="256" t="str">
        <f t="shared" si="332"/>
        <v xml:space="preserve"> </v>
      </c>
      <c r="J870" s="258"/>
      <c r="K870" s="259"/>
      <c r="CA870" s="246" t="str">
        <f t="shared" si="330"/>
        <v xml:space="preserve"> </v>
      </c>
      <c r="CB870" s="258"/>
      <c r="CC870" s="247"/>
      <c r="CD870" s="247" t="str">
        <f t="shared" ref="CD870:CI870" si="333">IF(AND(CD1670&gt;0,$E$134&gt;0),CD1670," ")</f>
        <v xml:space="preserve"> </v>
      </c>
      <c r="CE870" s="247" t="str">
        <f t="shared" si="333"/>
        <v xml:space="preserve"> </v>
      </c>
      <c r="CF870" s="247" t="str">
        <f t="shared" si="333"/>
        <v xml:space="preserve"> </v>
      </c>
      <c r="CG870" s="247" t="str">
        <f t="shared" si="333"/>
        <v xml:space="preserve"> </v>
      </c>
      <c r="CH870" s="247" t="str">
        <f t="shared" si="333"/>
        <v xml:space="preserve"> </v>
      </c>
      <c r="CI870" s="256" t="str">
        <f t="shared" si="333"/>
        <v xml:space="preserve"> </v>
      </c>
      <c r="CJ870" s="258"/>
      <c r="CK870" s="259"/>
    </row>
    <row r="871" spans="1:89">
      <c r="A871" s="179" t="s">
        <v>5215</v>
      </c>
      <c r="B871" s="102"/>
      <c r="C871" s="175" t="s">
        <v>5018</v>
      </c>
      <c r="D871" s="175" t="s">
        <v>5701</v>
      </c>
      <c r="E871" s="175" t="s">
        <v>5019</v>
      </c>
      <c r="F871" s="175" t="s">
        <v>5020</v>
      </c>
      <c r="G871" s="175" t="s">
        <v>5021</v>
      </c>
      <c r="H871" s="175" t="s">
        <v>5022</v>
      </c>
      <c r="I871" s="221" t="s">
        <v>5316</v>
      </c>
      <c r="J871" s="176"/>
      <c r="K871" s="180"/>
      <c r="CA871" s="179" t="s">
        <v>5215</v>
      </c>
      <c r="CB871" s="102"/>
      <c r="CC871" s="175" t="s">
        <v>5018</v>
      </c>
      <c r="CD871" s="175" t="s">
        <v>5701</v>
      </c>
      <c r="CE871" s="175" t="s">
        <v>5019</v>
      </c>
      <c r="CF871" s="175" t="s">
        <v>5020</v>
      </c>
      <c r="CG871" s="175" t="s">
        <v>5021</v>
      </c>
      <c r="CH871" s="175" t="s">
        <v>5022</v>
      </c>
      <c r="CI871" s="221" t="s">
        <v>5316</v>
      </c>
      <c r="CJ871" s="176"/>
      <c r="CK871" s="180"/>
    </row>
    <row r="872" spans="1:89">
      <c r="A872" s="166" t="str">
        <f>IF(AND(A1672&gt;0,$E$134&gt;10),A1672," ")</f>
        <v xml:space="preserve"> </v>
      </c>
      <c r="B872" s="101"/>
      <c r="C872" s="100"/>
      <c r="D872" s="167" t="str">
        <f t="shared" ref="D872:I876" si="334">IF(AND(D1672&gt;0,$E$134&gt;10),D1672," ")</f>
        <v xml:space="preserve"> </v>
      </c>
      <c r="E872" s="167" t="str">
        <f t="shared" si="334"/>
        <v xml:space="preserve"> </v>
      </c>
      <c r="F872" s="167" t="str">
        <f t="shared" si="334"/>
        <v xml:space="preserve"> </v>
      </c>
      <c r="G872" s="167" t="str">
        <f t="shared" si="334"/>
        <v xml:space="preserve"> </v>
      </c>
      <c r="H872" s="167" t="str">
        <f t="shared" si="334"/>
        <v xml:space="preserve"> </v>
      </c>
      <c r="I872" s="168" t="str">
        <f t="shared" si="334"/>
        <v xml:space="preserve"> </v>
      </c>
      <c r="J872" s="101"/>
      <c r="K872" s="165"/>
      <c r="CA872" s="166" t="str">
        <f>IF(AND(CA1672&gt;0,$E$134&gt;10),CA1672," ")</f>
        <v xml:space="preserve"> </v>
      </c>
      <c r="CB872" s="101"/>
      <c r="CC872" s="100"/>
      <c r="CD872" s="167" t="str">
        <f t="shared" ref="CD872:CI876" si="335">IF(AND(CD1672&gt;0,$E$134&gt;10),CD1672," ")</f>
        <v xml:space="preserve"> </v>
      </c>
      <c r="CE872" s="167" t="str">
        <f t="shared" si="335"/>
        <v xml:space="preserve"> </v>
      </c>
      <c r="CF872" s="167" t="str">
        <f t="shared" si="335"/>
        <v xml:space="preserve"> </v>
      </c>
      <c r="CG872" s="167" t="str">
        <f t="shared" si="335"/>
        <v xml:space="preserve"> </v>
      </c>
      <c r="CH872" s="167" t="str">
        <f t="shared" si="335"/>
        <v xml:space="preserve"> </v>
      </c>
      <c r="CI872" s="168" t="str">
        <f t="shared" si="335"/>
        <v xml:space="preserve"> </v>
      </c>
      <c r="CJ872" s="101"/>
      <c r="CK872" s="165"/>
    </row>
    <row r="873" spans="1:89">
      <c r="A873" s="238" t="str">
        <f>IF(AND(A1673&gt;0,$E$134&gt;10),A1673," ")</f>
        <v xml:space="preserve"> </v>
      </c>
      <c r="B873" s="253"/>
      <c r="C873" s="247"/>
      <c r="D873" s="240" t="str">
        <f t="shared" si="334"/>
        <v xml:space="preserve"> </v>
      </c>
      <c r="E873" s="240" t="str">
        <f t="shared" si="334"/>
        <v xml:space="preserve"> </v>
      </c>
      <c r="F873" s="240" t="str">
        <f t="shared" si="334"/>
        <v xml:space="preserve"> </v>
      </c>
      <c r="G873" s="240" t="str">
        <f t="shared" si="334"/>
        <v xml:space="preserve"> </v>
      </c>
      <c r="H873" s="240" t="str">
        <f t="shared" si="334"/>
        <v xml:space="preserve"> </v>
      </c>
      <c r="I873" s="251" t="str">
        <f t="shared" si="334"/>
        <v xml:space="preserve"> </v>
      </c>
      <c r="J873" s="253"/>
      <c r="K873" s="254"/>
      <c r="CA873" s="238" t="str">
        <f>IF(AND(CA1673&gt;0,$E$134&gt;10),CA1673," ")</f>
        <v xml:space="preserve"> </v>
      </c>
      <c r="CB873" s="253"/>
      <c r="CC873" s="247"/>
      <c r="CD873" s="240" t="str">
        <f t="shared" si="335"/>
        <v xml:space="preserve"> </v>
      </c>
      <c r="CE873" s="240" t="str">
        <f t="shared" si="335"/>
        <v xml:space="preserve"> </v>
      </c>
      <c r="CF873" s="240" t="str">
        <f t="shared" si="335"/>
        <v xml:space="preserve"> </v>
      </c>
      <c r="CG873" s="240" t="str">
        <f t="shared" si="335"/>
        <v xml:space="preserve"> </v>
      </c>
      <c r="CH873" s="240" t="str">
        <f t="shared" si="335"/>
        <v xml:space="preserve"> </v>
      </c>
      <c r="CI873" s="251" t="str">
        <f t="shared" si="335"/>
        <v xml:space="preserve"> </v>
      </c>
      <c r="CJ873" s="253"/>
      <c r="CK873" s="254"/>
    </row>
    <row r="874" spans="1:89">
      <c r="A874" s="166" t="str">
        <f>IF(AND(A1674&gt;0,$E$134&gt;10),A1674," ")</f>
        <v xml:space="preserve"> </v>
      </c>
      <c r="B874" s="101"/>
      <c r="C874" s="100"/>
      <c r="D874" s="167" t="str">
        <f t="shared" si="334"/>
        <v xml:space="preserve"> </v>
      </c>
      <c r="E874" s="167" t="str">
        <f t="shared" si="334"/>
        <v xml:space="preserve"> </v>
      </c>
      <c r="F874" s="167" t="str">
        <f t="shared" si="334"/>
        <v xml:space="preserve"> </v>
      </c>
      <c r="G874" s="167" t="str">
        <f t="shared" si="334"/>
        <v xml:space="preserve"> </v>
      </c>
      <c r="H874" s="167" t="str">
        <f t="shared" si="334"/>
        <v xml:space="preserve"> </v>
      </c>
      <c r="I874" s="168" t="str">
        <f t="shared" si="334"/>
        <v xml:space="preserve"> </v>
      </c>
      <c r="J874" s="101"/>
      <c r="K874" s="165"/>
      <c r="CA874" s="166" t="str">
        <f>IF(AND(CA1674&gt;0,$E$134&gt;10),CA1674," ")</f>
        <v xml:space="preserve"> </v>
      </c>
      <c r="CB874" s="101"/>
      <c r="CC874" s="100"/>
      <c r="CD874" s="167" t="str">
        <f t="shared" si="335"/>
        <v xml:space="preserve"> </v>
      </c>
      <c r="CE874" s="167" t="str">
        <f t="shared" si="335"/>
        <v xml:space="preserve"> </v>
      </c>
      <c r="CF874" s="167" t="str">
        <f t="shared" si="335"/>
        <v xml:space="preserve"> </v>
      </c>
      <c r="CG874" s="167" t="str">
        <f t="shared" si="335"/>
        <v xml:space="preserve"> </v>
      </c>
      <c r="CH874" s="167" t="str">
        <f t="shared" si="335"/>
        <v xml:space="preserve"> </v>
      </c>
      <c r="CI874" s="168" t="str">
        <f t="shared" si="335"/>
        <v xml:space="preserve"> </v>
      </c>
      <c r="CJ874" s="101"/>
      <c r="CK874" s="165"/>
    </row>
    <row r="875" spans="1:89">
      <c r="A875" s="238" t="str">
        <f>IF(AND(A1675&gt;0,$E$134&gt;10),A1675," ")</f>
        <v xml:space="preserve"> </v>
      </c>
      <c r="B875" s="253"/>
      <c r="C875" s="247"/>
      <c r="D875" s="240" t="str">
        <f t="shared" si="334"/>
        <v xml:space="preserve"> </v>
      </c>
      <c r="E875" s="240" t="str">
        <f t="shared" si="334"/>
        <v xml:space="preserve"> </v>
      </c>
      <c r="F875" s="240" t="str">
        <f t="shared" si="334"/>
        <v xml:space="preserve"> </v>
      </c>
      <c r="G875" s="240" t="str">
        <f t="shared" si="334"/>
        <v xml:space="preserve"> </v>
      </c>
      <c r="H875" s="240" t="str">
        <f t="shared" si="334"/>
        <v xml:space="preserve"> </v>
      </c>
      <c r="I875" s="251" t="str">
        <f t="shared" si="334"/>
        <v xml:space="preserve"> </v>
      </c>
      <c r="J875" s="253"/>
      <c r="K875" s="254"/>
      <c r="CA875" s="238" t="str">
        <f>IF(AND(CA1675&gt;0,$E$134&gt;10),CA1675," ")</f>
        <v xml:space="preserve"> </v>
      </c>
      <c r="CB875" s="253"/>
      <c r="CC875" s="247"/>
      <c r="CD875" s="240" t="str">
        <f t="shared" si="335"/>
        <v xml:space="preserve"> </v>
      </c>
      <c r="CE875" s="240" t="str">
        <f t="shared" si="335"/>
        <v xml:space="preserve"> </v>
      </c>
      <c r="CF875" s="240" t="str">
        <f t="shared" si="335"/>
        <v xml:space="preserve"> </v>
      </c>
      <c r="CG875" s="240" t="str">
        <f t="shared" si="335"/>
        <v xml:space="preserve"> </v>
      </c>
      <c r="CH875" s="240" t="str">
        <f t="shared" si="335"/>
        <v xml:space="preserve"> </v>
      </c>
      <c r="CI875" s="251" t="str">
        <f t="shared" si="335"/>
        <v xml:space="preserve"> </v>
      </c>
      <c r="CJ875" s="253"/>
      <c r="CK875" s="254"/>
    </row>
    <row r="876" spans="1:89">
      <c r="A876" s="181" t="str">
        <f>IF(AND(A1676&gt;0,$E$134&gt;10),A1676," ")</f>
        <v xml:space="preserve"> </v>
      </c>
      <c r="B876" s="103"/>
      <c r="C876" s="100"/>
      <c r="D876" s="100" t="str">
        <f t="shared" si="334"/>
        <v xml:space="preserve"> </v>
      </c>
      <c r="E876" s="100" t="str">
        <f t="shared" si="334"/>
        <v xml:space="preserve"> </v>
      </c>
      <c r="F876" s="100" t="str">
        <f t="shared" si="334"/>
        <v xml:space="preserve"> </v>
      </c>
      <c r="G876" s="100" t="str">
        <f t="shared" si="334"/>
        <v xml:space="preserve"> </v>
      </c>
      <c r="H876" s="100" t="str">
        <f t="shared" si="334"/>
        <v xml:space="preserve"> </v>
      </c>
      <c r="I876" s="177" t="str">
        <f t="shared" si="334"/>
        <v xml:space="preserve"> </v>
      </c>
      <c r="J876" s="103"/>
      <c r="K876" s="182"/>
      <c r="CA876" s="181" t="str">
        <f>IF(AND(CA1676&gt;0,$E$134&gt;10),CA1676," ")</f>
        <v xml:space="preserve"> </v>
      </c>
      <c r="CB876" s="103"/>
      <c r="CC876" s="100"/>
      <c r="CD876" s="100" t="str">
        <f t="shared" si="335"/>
        <v xml:space="preserve"> </v>
      </c>
      <c r="CE876" s="100" t="str">
        <f t="shared" si="335"/>
        <v xml:space="preserve"> </v>
      </c>
      <c r="CF876" s="100" t="str">
        <f t="shared" si="335"/>
        <v xml:space="preserve"> </v>
      </c>
      <c r="CG876" s="100" t="str">
        <f t="shared" si="335"/>
        <v xml:space="preserve"> </v>
      </c>
      <c r="CH876" s="100" t="str">
        <f t="shared" si="335"/>
        <v xml:space="preserve"> </v>
      </c>
      <c r="CI876" s="177" t="str">
        <f t="shared" si="335"/>
        <v xml:space="preserve"> </v>
      </c>
      <c r="CJ876" s="103"/>
      <c r="CK876" s="182"/>
    </row>
    <row r="877" spans="1:89">
      <c r="A877" s="179" t="s">
        <v>5216</v>
      </c>
      <c r="B877" s="102"/>
      <c r="C877" s="175" t="s">
        <v>5018</v>
      </c>
      <c r="D877" s="175" t="s">
        <v>5701</v>
      </c>
      <c r="E877" s="175" t="s">
        <v>5019</v>
      </c>
      <c r="F877" s="175" t="s">
        <v>5020</v>
      </c>
      <c r="G877" s="175" t="s">
        <v>5021</v>
      </c>
      <c r="H877" s="175" t="s">
        <v>5022</v>
      </c>
      <c r="I877" s="221" t="s">
        <v>5316</v>
      </c>
      <c r="J877" s="176"/>
      <c r="K877" s="180"/>
      <c r="CA877" s="179" t="s">
        <v>5216</v>
      </c>
      <c r="CB877" s="102"/>
      <c r="CC877" s="175" t="s">
        <v>5018</v>
      </c>
      <c r="CD877" s="175" t="s">
        <v>5701</v>
      </c>
      <c r="CE877" s="175" t="s">
        <v>5019</v>
      </c>
      <c r="CF877" s="175" t="s">
        <v>5020</v>
      </c>
      <c r="CG877" s="175" t="s">
        <v>5021</v>
      </c>
      <c r="CH877" s="175" t="s">
        <v>5022</v>
      </c>
      <c r="CI877" s="221" t="s">
        <v>5316</v>
      </c>
      <c r="CJ877" s="176"/>
      <c r="CK877" s="180"/>
    </row>
    <row r="878" spans="1:89">
      <c r="A878" s="166" t="str">
        <f>IF(AND(A1678&gt;0,$E$134&gt;11),A1678," ")</f>
        <v xml:space="preserve"> </v>
      </c>
      <c r="B878" s="101"/>
      <c r="C878" s="100"/>
      <c r="D878" s="167" t="str">
        <f t="shared" ref="D878:I882" si="336">IF(AND(D1678&gt;0,$E$134&gt;11),D1678," ")</f>
        <v xml:space="preserve"> </v>
      </c>
      <c r="E878" s="167" t="str">
        <f t="shared" si="336"/>
        <v xml:space="preserve"> </v>
      </c>
      <c r="F878" s="167" t="str">
        <f t="shared" si="336"/>
        <v xml:space="preserve"> </v>
      </c>
      <c r="G878" s="167" t="str">
        <f t="shared" si="336"/>
        <v xml:space="preserve"> </v>
      </c>
      <c r="H878" s="167" t="str">
        <f t="shared" si="336"/>
        <v xml:space="preserve"> </v>
      </c>
      <c r="I878" s="168" t="str">
        <f t="shared" si="336"/>
        <v xml:space="preserve"> </v>
      </c>
      <c r="J878" s="101"/>
      <c r="K878" s="165"/>
      <c r="CA878" s="166" t="str">
        <f>IF(AND(CA1678&gt;0,$E$134&gt;11),CA1678," ")</f>
        <v xml:space="preserve"> </v>
      </c>
      <c r="CB878" s="101"/>
      <c r="CC878" s="100"/>
      <c r="CD878" s="167" t="str">
        <f t="shared" ref="CD878:CI882" si="337">IF(AND(CD1678&gt;0,$E$134&gt;11),CD1678," ")</f>
        <v xml:space="preserve"> </v>
      </c>
      <c r="CE878" s="167" t="str">
        <f t="shared" si="337"/>
        <v xml:space="preserve"> </v>
      </c>
      <c r="CF878" s="167" t="str">
        <f t="shared" si="337"/>
        <v xml:space="preserve"> </v>
      </c>
      <c r="CG878" s="167" t="str">
        <f t="shared" si="337"/>
        <v xml:space="preserve"> </v>
      </c>
      <c r="CH878" s="167" t="str">
        <f t="shared" si="337"/>
        <v xml:space="preserve"> </v>
      </c>
      <c r="CI878" s="168" t="str">
        <f t="shared" si="337"/>
        <v xml:space="preserve"> </v>
      </c>
      <c r="CJ878" s="101"/>
      <c r="CK878" s="165"/>
    </row>
    <row r="879" spans="1:89">
      <c r="A879" s="238" t="str">
        <f>IF(AND(A1679&gt;0,$E$134&gt;11),A1679," ")</f>
        <v xml:space="preserve"> </v>
      </c>
      <c r="B879" s="253"/>
      <c r="C879" s="247"/>
      <c r="D879" s="240" t="str">
        <f t="shared" si="336"/>
        <v xml:space="preserve"> </v>
      </c>
      <c r="E879" s="240" t="str">
        <f t="shared" si="336"/>
        <v xml:space="preserve"> </v>
      </c>
      <c r="F879" s="240" t="str">
        <f t="shared" si="336"/>
        <v xml:space="preserve"> </v>
      </c>
      <c r="G879" s="240" t="str">
        <f t="shared" si="336"/>
        <v xml:space="preserve"> </v>
      </c>
      <c r="H879" s="240" t="str">
        <f t="shared" si="336"/>
        <v xml:space="preserve"> </v>
      </c>
      <c r="I879" s="251" t="str">
        <f t="shared" si="336"/>
        <v xml:space="preserve"> </v>
      </c>
      <c r="J879" s="253"/>
      <c r="K879" s="254"/>
      <c r="CA879" s="238" t="str">
        <f>IF(AND(CA1679&gt;0,$E$134&gt;11),CA1679," ")</f>
        <v xml:space="preserve"> </v>
      </c>
      <c r="CB879" s="253"/>
      <c r="CC879" s="247"/>
      <c r="CD879" s="240" t="str">
        <f t="shared" si="337"/>
        <v xml:space="preserve"> </v>
      </c>
      <c r="CE879" s="240" t="str">
        <f t="shared" si="337"/>
        <v xml:space="preserve"> </v>
      </c>
      <c r="CF879" s="240" t="str">
        <f t="shared" si="337"/>
        <v xml:space="preserve"> </v>
      </c>
      <c r="CG879" s="240" t="str">
        <f t="shared" si="337"/>
        <v xml:space="preserve"> </v>
      </c>
      <c r="CH879" s="240" t="str">
        <f t="shared" si="337"/>
        <v xml:space="preserve"> </v>
      </c>
      <c r="CI879" s="251" t="str">
        <f t="shared" si="337"/>
        <v xml:space="preserve"> </v>
      </c>
      <c r="CJ879" s="253"/>
      <c r="CK879" s="254"/>
    </row>
    <row r="880" spans="1:89">
      <c r="A880" s="166" t="str">
        <f>IF(AND(A1680&gt;0,$E$134&gt;11),A1680," ")</f>
        <v xml:space="preserve"> </v>
      </c>
      <c r="B880" s="101"/>
      <c r="C880" s="100"/>
      <c r="D880" s="167" t="str">
        <f t="shared" si="336"/>
        <v xml:space="preserve"> </v>
      </c>
      <c r="E880" s="167" t="str">
        <f t="shared" si="336"/>
        <v xml:space="preserve"> </v>
      </c>
      <c r="F880" s="167" t="str">
        <f t="shared" si="336"/>
        <v xml:space="preserve"> </v>
      </c>
      <c r="G880" s="167" t="str">
        <f t="shared" si="336"/>
        <v xml:space="preserve"> </v>
      </c>
      <c r="H880" s="167" t="str">
        <f t="shared" si="336"/>
        <v xml:space="preserve"> </v>
      </c>
      <c r="I880" s="168" t="str">
        <f t="shared" si="336"/>
        <v xml:space="preserve"> </v>
      </c>
      <c r="J880" s="101"/>
      <c r="K880" s="165"/>
      <c r="CA880" s="166" t="str">
        <f>IF(AND(CA1680&gt;0,$E$134&gt;11),CA1680," ")</f>
        <v xml:space="preserve"> </v>
      </c>
      <c r="CB880" s="101"/>
      <c r="CC880" s="100"/>
      <c r="CD880" s="167" t="str">
        <f t="shared" si="337"/>
        <v xml:space="preserve"> </v>
      </c>
      <c r="CE880" s="167" t="str">
        <f t="shared" si="337"/>
        <v xml:space="preserve"> </v>
      </c>
      <c r="CF880" s="167" t="str">
        <f t="shared" si="337"/>
        <v xml:space="preserve"> </v>
      </c>
      <c r="CG880" s="167" t="str">
        <f t="shared" si="337"/>
        <v xml:space="preserve"> </v>
      </c>
      <c r="CH880" s="167" t="str">
        <f t="shared" si="337"/>
        <v xml:space="preserve"> </v>
      </c>
      <c r="CI880" s="168" t="str">
        <f t="shared" si="337"/>
        <v xml:space="preserve"> </v>
      </c>
      <c r="CJ880" s="101"/>
      <c r="CK880" s="165"/>
    </row>
    <row r="881" spans="1:89">
      <c r="A881" s="238" t="str">
        <f>IF(AND(A1681&gt;0,$E$134&gt;11),A1681," ")</f>
        <v xml:space="preserve"> </v>
      </c>
      <c r="B881" s="253"/>
      <c r="C881" s="247"/>
      <c r="D881" s="240" t="str">
        <f t="shared" si="336"/>
        <v xml:space="preserve"> </v>
      </c>
      <c r="E881" s="240" t="str">
        <f t="shared" si="336"/>
        <v xml:space="preserve"> </v>
      </c>
      <c r="F881" s="240" t="str">
        <f t="shared" si="336"/>
        <v xml:space="preserve"> </v>
      </c>
      <c r="G881" s="240" t="str">
        <f t="shared" si="336"/>
        <v xml:space="preserve"> </v>
      </c>
      <c r="H881" s="240" t="str">
        <f t="shared" si="336"/>
        <v xml:space="preserve"> </v>
      </c>
      <c r="I881" s="251" t="str">
        <f t="shared" si="336"/>
        <v xml:space="preserve"> </v>
      </c>
      <c r="J881" s="253"/>
      <c r="K881" s="254"/>
      <c r="CA881" s="238" t="str">
        <f>IF(AND(CA1681&gt;0,$E$134&gt;11),CA1681," ")</f>
        <v xml:space="preserve"> </v>
      </c>
      <c r="CB881" s="253"/>
      <c r="CC881" s="247"/>
      <c r="CD881" s="240" t="str">
        <f t="shared" si="337"/>
        <v xml:space="preserve"> </v>
      </c>
      <c r="CE881" s="240" t="str">
        <f t="shared" si="337"/>
        <v xml:space="preserve"> </v>
      </c>
      <c r="CF881" s="240" t="str">
        <f t="shared" si="337"/>
        <v xml:space="preserve"> </v>
      </c>
      <c r="CG881" s="240" t="str">
        <f t="shared" si="337"/>
        <v xml:space="preserve"> </v>
      </c>
      <c r="CH881" s="240" t="str">
        <f t="shared" si="337"/>
        <v xml:space="preserve"> </v>
      </c>
      <c r="CI881" s="251" t="str">
        <f t="shared" si="337"/>
        <v xml:space="preserve"> </v>
      </c>
      <c r="CJ881" s="253"/>
      <c r="CK881" s="254"/>
    </row>
    <row r="882" spans="1:89">
      <c r="A882" s="181" t="str">
        <f>IF(AND(A1682&gt;0,$E$134&gt;11),A1682," ")</f>
        <v xml:space="preserve"> </v>
      </c>
      <c r="B882" s="103"/>
      <c r="C882" s="100"/>
      <c r="D882" s="100" t="str">
        <f t="shared" si="336"/>
        <v xml:space="preserve"> </v>
      </c>
      <c r="E882" s="100" t="str">
        <f t="shared" si="336"/>
        <v xml:space="preserve"> </v>
      </c>
      <c r="F882" s="100" t="str">
        <f t="shared" si="336"/>
        <v xml:space="preserve"> </v>
      </c>
      <c r="G882" s="100" t="str">
        <f t="shared" si="336"/>
        <v xml:space="preserve"> </v>
      </c>
      <c r="H882" s="100" t="str">
        <f t="shared" si="336"/>
        <v xml:space="preserve"> </v>
      </c>
      <c r="I882" s="177" t="str">
        <f t="shared" si="336"/>
        <v xml:space="preserve"> </v>
      </c>
      <c r="J882" s="103"/>
      <c r="K882" s="182"/>
      <c r="CA882" s="181" t="str">
        <f>IF(AND(CA1682&gt;0,$E$134&gt;11),CA1682," ")</f>
        <v xml:space="preserve"> </v>
      </c>
      <c r="CB882" s="103"/>
      <c r="CC882" s="100"/>
      <c r="CD882" s="100" t="str">
        <f t="shared" si="337"/>
        <v xml:space="preserve"> </v>
      </c>
      <c r="CE882" s="100" t="str">
        <f t="shared" si="337"/>
        <v xml:space="preserve"> </v>
      </c>
      <c r="CF882" s="100" t="str">
        <f t="shared" si="337"/>
        <v xml:space="preserve"> </v>
      </c>
      <c r="CG882" s="100" t="str">
        <f t="shared" si="337"/>
        <v xml:space="preserve"> </v>
      </c>
      <c r="CH882" s="100" t="str">
        <f t="shared" si="337"/>
        <v xml:space="preserve"> </v>
      </c>
      <c r="CI882" s="177" t="str">
        <f t="shared" si="337"/>
        <v xml:space="preserve"> </v>
      </c>
      <c r="CJ882" s="103"/>
      <c r="CK882" s="182"/>
    </row>
    <row r="883" spans="1:89">
      <c r="A883" s="179" t="s">
        <v>5418</v>
      </c>
      <c r="B883" s="102"/>
      <c r="C883" s="175" t="s">
        <v>5018</v>
      </c>
      <c r="D883" s="175" t="s">
        <v>5701</v>
      </c>
      <c r="E883" s="175" t="s">
        <v>5019</v>
      </c>
      <c r="F883" s="175" t="s">
        <v>5020</v>
      </c>
      <c r="G883" s="175" t="s">
        <v>5021</v>
      </c>
      <c r="H883" s="175" t="s">
        <v>5022</v>
      </c>
      <c r="I883" s="221" t="s">
        <v>5316</v>
      </c>
      <c r="J883" s="176"/>
      <c r="K883" s="180"/>
      <c r="AF883" s="10"/>
      <c r="AG883" s="10"/>
      <c r="AH883" s="10"/>
      <c r="CA883" s="179" t="s">
        <v>5418</v>
      </c>
      <c r="CB883" s="102"/>
      <c r="CC883" s="175" t="s">
        <v>5018</v>
      </c>
      <c r="CD883" s="175" t="s">
        <v>5701</v>
      </c>
      <c r="CE883" s="175" t="s">
        <v>5019</v>
      </c>
      <c r="CF883" s="175" t="s">
        <v>5020</v>
      </c>
      <c r="CG883" s="175" t="s">
        <v>5021</v>
      </c>
      <c r="CH883" s="175" t="s">
        <v>5022</v>
      </c>
      <c r="CI883" s="221" t="s">
        <v>5316</v>
      </c>
      <c r="CJ883" s="176"/>
      <c r="CK883" s="180"/>
    </row>
    <row r="884" spans="1:89">
      <c r="A884" s="166" t="str">
        <f>IF(AND(A1684&gt;0,$E$134&gt;12),A1684," ")</f>
        <v xml:space="preserve"> </v>
      </c>
      <c r="B884" s="101"/>
      <c r="C884" s="100"/>
      <c r="D884" s="167" t="str">
        <f t="shared" ref="D884:I888" si="338">IF(AND(D1684&gt;0,$E$134&gt;12),D1684," ")</f>
        <v xml:space="preserve"> </v>
      </c>
      <c r="E884" s="167" t="str">
        <f t="shared" si="338"/>
        <v xml:space="preserve"> </v>
      </c>
      <c r="F884" s="167" t="str">
        <f t="shared" si="338"/>
        <v xml:space="preserve"> </v>
      </c>
      <c r="G884" s="167" t="str">
        <f t="shared" si="338"/>
        <v xml:space="preserve"> </v>
      </c>
      <c r="H884" s="167" t="str">
        <f t="shared" si="338"/>
        <v xml:space="preserve"> </v>
      </c>
      <c r="I884" s="168" t="str">
        <f t="shared" si="338"/>
        <v xml:space="preserve"> </v>
      </c>
      <c r="J884" s="101"/>
      <c r="K884" s="165"/>
      <c r="CA884" s="166" t="str">
        <f>IF(AND(CA1684&gt;0,$E$134&gt;12),CA1684," ")</f>
        <v xml:space="preserve"> </v>
      </c>
      <c r="CB884" s="101"/>
      <c r="CC884" s="100"/>
      <c r="CD884" s="167" t="str">
        <f t="shared" ref="CD884:CI888" si="339">IF(AND(CD1684&gt;0,$E$134&gt;12),CD1684," ")</f>
        <v xml:space="preserve"> </v>
      </c>
      <c r="CE884" s="167" t="str">
        <f t="shared" si="339"/>
        <v xml:space="preserve"> </v>
      </c>
      <c r="CF884" s="167" t="str">
        <f t="shared" si="339"/>
        <v xml:space="preserve"> </v>
      </c>
      <c r="CG884" s="167" t="str">
        <f t="shared" si="339"/>
        <v xml:space="preserve"> </v>
      </c>
      <c r="CH884" s="167" t="str">
        <f t="shared" si="339"/>
        <v xml:space="preserve"> </v>
      </c>
      <c r="CI884" s="168" t="str">
        <f t="shared" si="339"/>
        <v xml:space="preserve"> </v>
      </c>
      <c r="CJ884" s="101"/>
      <c r="CK884" s="165"/>
    </row>
    <row r="885" spans="1:89">
      <c r="A885" s="238" t="str">
        <f>IF(AND(A1685&gt;0,$E$134&gt;12),A1685," ")</f>
        <v xml:space="preserve"> </v>
      </c>
      <c r="B885" s="253"/>
      <c r="C885" s="247"/>
      <c r="D885" s="240" t="str">
        <f t="shared" si="338"/>
        <v xml:space="preserve"> </v>
      </c>
      <c r="E885" s="240" t="str">
        <f t="shared" si="338"/>
        <v xml:space="preserve"> </v>
      </c>
      <c r="F885" s="240" t="str">
        <f t="shared" si="338"/>
        <v xml:space="preserve"> </v>
      </c>
      <c r="G885" s="240" t="str">
        <f t="shared" si="338"/>
        <v xml:space="preserve"> </v>
      </c>
      <c r="H885" s="240" t="str">
        <f t="shared" si="338"/>
        <v xml:space="preserve"> </v>
      </c>
      <c r="I885" s="251" t="str">
        <f t="shared" si="338"/>
        <v xml:space="preserve"> </v>
      </c>
      <c r="J885" s="253"/>
      <c r="K885" s="254"/>
      <c r="CA885" s="238" t="str">
        <f>IF(AND(CA1685&gt;0,$E$134&gt;12),CA1685," ")</f>
        <v xml:space="preserve"> </v>
      </c>
      <c r="CB885" s="253"/>
      <c r="CC885" s="247"/>
      <c r="CD885" s="240" t="str">
        <f t="shared" si="339"/>
        <v xml:space="preserve"> </v>
      </c>
      <c r="CE885" s="240" t="str">
        <f t="shared" si="339"/>
        <v xml:space="preserve"> </v>
      </c>
      <c r="CF885" s="240" t="str">
        <f t="shared" si="339"/>
        <v xml:space="preserve"> </v>
      </c>
      <c r="CG885" s="240" t="str">
        <f t="shared" si="339"/>
        <v xml:space="preserve"> </v>
      </c>
      <c r="CH885" s="240" t="str">
        <f t="shared" si="339"/>
        <v xml:space="preserve"> </v>
      </c>
      <c r="CI885" s="251" t="str">
        <f t="shared" si="339"/>
        <v xml:space="preserve"> </v>
      </c>
      <c r="CJ885" s="253"/>
      <c r="CK885" s="254"/>
    </row>
    <row r="886" spans="1:89">
      <c r="A886" s="166" t="str">
        <f>IF(AND(A1686&gt;0,$E$134&gt;12),A1686," ")</f>
        <v xml:space="preserve"> </v>
      </c>
      <c r="B886" s="101"/>
      <c r="C886" s="100"/>
      <c r="D886" s="167" t="str">
        <f t="shared" si="338"/>
        <v xml:space="preserve"> </v>
      </c>
      <c r="E886" s="167" t="str">
        <f t="shared" si="338"/>
        <v xml:space="preserve"> </v>
      </c>
      <c r="F886" s="167" t="str">
        <f t="shared" si="338"/>
        <v xml:space="preserve"> </v>
      </c>
      <c r="G886" s="167" t="str">
        <f t="shared" si="338"/>
        <v xml:space="preserve"> </v>
      </c>
      <c r="H886" s="167" t="str">
        <f t="shared" si="338"/>
        <v xml:space="preserve"> </v>
      </c>
      <c r="I886" s="168" t="str">
        <f t="shared" si="338"/>
        <v xml:space="preserve"> </v>
      </c>
      <c r="J886" s="101"/>
      <c r="K886" s="165"/>
      <c r="CA886" s="166" t="str">
        <f>IF(AND(CA1686&gt;0,$E$134&gt;12),CA1686," ")</f>
        <v xml:space="preserve"> </v>
      </c>
      <c r="CB886" s="101"/>
      <c r="CC886" s="100"/>
      <c r="CD886" s="167" t="str">
        <f t="shared" si="339"/>
        <v xml:space="preserve"> </v>
      </c>
      <c r="CE886" s="167" t="str">
        <f t="shared" si="339"/>
        <v xml:space="preserve"> </v>
      </c>
      <c r="CF886" s="167" t="str">
        <f t="shared" si="339"/>
        <v xml:space="preserve"> </v>
      </c>
      <c r="CG886" s="167" t="str">
        <f t="shared" si="339"/>
        <v xml:space="preserve"> </v>
      </c>
      <c r="CH886" s="167" t="str">
        <f t="shared" si="339"/>
        <v xml:space="preserve"> </v>
      </c>
      <c r="CI886" s="168" t="str">
        <f t="shared" si="339"/>
        <v xml:space="preserve"> </v>
      </c>
      <c r="CJ886" s="101"/>
      <c r="CK886" s="165"/>
    </row>
    <row r="887" spans="1:89">
      <c r="A887" s="238" t="str">
        <f>IF(AND(A1687&gt;0,$E$134&gt;12),A1687," ")</f>
        <v xml:space="preserve"> </v>
      </c>
      <c r="B887" s="253"/>
      <c r="C887" s="247"/>
      <c r="D887" s="240" t="str">
        <f t="shared" si="338"/>
        <v xml:space="preserve"> </v>
      </c>
      <c r="E887" s="240" t="str">
        <f t="shared" si="338"/>
        <v xml:space="preserve"> </v>
      </c>
      <c r="F887" s="240" t="str">
        <f t="shared" si="338"/>
        <v xml:space="preserve"> </v>
      </c>
      <c r="G887" s="240" t="str">
        <f t="shared" si="338"/>
        <v xml:space="preserve"> </v>
      </c>
      <c r="H887" s="240" t="str">
        <f t="shared" si="338"/>
        <v xml:space="preserve"> </v>
      </c>
      <c r="I887" s="251" t="str">
        <f t="shared" si="338"/>
        <v xml:space="preserve"> </v>
      </c>
      <c r="J887" s="253"/>
      <c r="K887" s="254"/>
      <c r="CA887" s="238" t="str">
        <f>IF(AND(CA1687&gt;0,$E$134&gt;12),CA1687," ")</f>
        <v xml:space="preserve"> </v>
      </c>
      <c r="CB887" s="253"/>
      <c r="CC887" s="247"/>
      <c r="CD887" s="240" t="str">
        <f t="shared" si="339"/>
        <v xml:space="preserve"> </v>
      </c>
      <c r="CE887" s="240" t="str">
        <f t="shared" si="339"/>
        <v xml:space="preserve"> </v>
      </c>
      <c r="CF887" s="240" t="str">
        <f t="shared" si="339"/>
        <v xml:space="preserve"> </v>
      </c>
      <c r="CG887" s="240" t="str">
        <f t="shared" si="339"/>
        <v xml:space="preserve"> </v>
      </c>
      <c r="CH887" s="240" t="str">
        <f t="shared" si="339"/>
        <v xml:space="preserve"> </v>
      </c>
      <c r="CI887" s="251" t="str">
        <f t="shared" si="339"/>
        <v xml:space="preserve"> </v>
      </c>
      <c r="CJ887" s="253"/>
      <c r="CK887" s="254"/>
    </row>
    <row r="888" spans="1:89">
      <c r="A888" s="181" t="str">
        <f>IF(AND(A1688&gt;0,$E$134&gt;12),A1688," ")</f>
        <v xml:space="preserve"> </v>
      </c>
      <c r="B888" s="103"/>
      <c r="C888" s="100"/>
      <c r="D888" s="100" t="str">
        <f t="shared" si="338"/>
        <v xml:space="preserve"> </v>
      </c>
      <c r="E888" s="100" t="str">
        <f t="shared" si="338"/>
        <v xml:space="preserve"> </v>
      </c>
      <c r="F888" s="100" t="str">
        <f t="shared" si="338"/>
        <v xml:space="preserve"> </v>
      </c>
      <c r="G888" s="100" t="str">
        <f t="shared" si="338"/>
        <v xml:space="preserve"> </v>
      </c>
      <c r="H888" s="100" t="str">
        <f t="shared" si="338"/>
        <v xml:space="preserve"> </v>
      </c>
      <c r="I888" s="177" t="str">
        <f t="shared" si="338"/>
        <v xml:space="preserve"> </v>
      </c>
      <c r="J888" s="178"/>
      <c r="K888" s="182"/>
      <c r="CA888" s="181" t="str">
        <f>IF(AND(CA1688&gt;0,$E$134&gt;12),CA1688," ")</f>
        <v xml:space="preserve"> </v>
      </c>
      <c r="CB888" s="103"/>
      <c r="CC888" s="100"/>
      <c r="CD888" s="100" t="str">
        <f t="shared" si="339"/>
        <v xml:space="preserve"> </v>
      </c>
      <c r="CE888" s="100" t="str">
        <f t="shared" si="339"/>
        <v xml:space="preserve"> </v>
      </c>
      <c r="CF888" s="100" t="str">
        <f t="shared" si="339"/>
        <v xml:space="preserve"> </v>
      </c>
      <c r="CG888" s="100" t="str">
        <f t="shared" si="339"/>
        <v xml:space="preserve"> </v>
      </c>
      <c r="CH888" s="100" t="str">
        <f t="shared" si="339"/>
        <v xml:space="preserve"> </v>
      </c>
      <c r="CI888" s="177" t="str">
        <f t="shared" si="339"/>
        <v xml:space="preserve"> </v>
      </c>
      <c r="CJ888" s="178"/>
      <c r="CK888" s="182"/>
    </row>
    <row r="889" spans="1:89">
      <c r="A889" s="179" t="s">
        <v>5419</v>
      </c>
      <c r="B889" s="102"/>
      <c r="C889" s="175" t="s">
        <v>5018</v>
      </c>
      <c r="D889" s="175" t="s">
        <v>5701</v>
      </c>
      <c r="E889" s="175" t="s">
        <v>5019</v>
      </c>
      <c r="F889" s="175" t="s">
        <v>5020</v>
      </c>
      <c r="G889" s="175" t="s">
        <v>5021</v>
      </c>
      <c r="H889" s="175" t="s">
        <v>5022</v>
      </c>
      <c r="I889" s="221" t="s">
        <v>5316</v>
      </c>
      <c r="J889" s="176"/>
      <c r="K889" s="180"/>
      <c r="CA889" s="179" t="s">
        <v>5419</v>
      </c>
      <c r="CB889" s="102"/>
      <c r="CC889" s="175" t="s">
        <v>5018</v>
      </c>
      <c r="CD889" s="175" t="s">
        <v>5701</v>
      </c>
      <c r="CE889" s="175" t="s">
        <v>5019</v>
      </c>
      <c r="CF889" s="175" t="s">
        <v>5020</v>
      </c>
      <c r="CG889" s="175" t="s">
        <v>5021</v>
      </c>
      <c r="CH889" s="175" t="s">
        <v>5022</v>
      </c>
      <c r="CI889" s="221" t="s">
        <v>5316</v>
      </c>
      <c r="CJ889" s="176"/>
      <c r="CK889" s="180"/>
    </row>
    <row r="890" spans="1:89">
      <c r="A890" s="166" t="str">
        <f>IF(AND(A1690&gt;0,$E$134&gt;13),A1690," ")</f>
        <v xml:space="preserve"> </v>
      </c>
      <c r="B890" s="101"/>
      <c r="C890" s="100"/>
      <c r="D890" s="167" t="str">
        <f t="shared" ref="D890:I894" si="340">IF(AND(D1690&gt;0,$E$134&gt;13),D1690," ")</f>
        <v xml:space="preserve"> </v>
      </c>
      <c r="E890" s="167" t="str">
        <f t="shared" si="340"/>
        <v xml:space="preserve"> </v>
      </c>
      <c r="F890" s="167" t="str">
        <f t="shared" si="340"/>
        <v xml:space="preserve"> </v>
      </c>
      <c r="G890" s="167" t="str">
        <f t="shared" si="340"/>
        <v xml:space="preserve"> </v>
      </c>
      <c r="H890" s="167" t="str">
        <f t="shared" si="340"/>
        <v xml:space="preserve"> </v>
      </c>
      <c r="I890" s="168" t="str">
        <f t="shared" si="340"/>
        <v xml:space="preserve"> </v>
      </c>
      <c r="J890" s="101"/>
      <c r="K890" s="165"/>
      <c r="CA890" s="166" t="str">
        <f>IF(AND(CA1690&gt;0,$E$134&gt;13),CA1690," ")</f>
        <v xml:space="preserve"> </v>
      </c>
      <c r="CB890" s="101"/>
      <c r="CC890" s="100"/>
      <c r="CD890" s="167" t="str">
        <f t="shared" ref="CD890:CI894" si="341">IF(AND(CD1690&gt;0,$E$134&gt;13),CD1690," ")</f>
        <v xml:space="preserve"> </v>
      </c>
      <c r="CE890" s="167" t="str">
        <f t="shared" si="341"/>
        <v xml:space="preserve"> </v>
      </c>
      <c r="CF890" s="167" t="str">
        <f t="shared" si="341"/>
        <v xml:space="preserve"> </v>
      </c>
      <c r="CG890" s="167" t="str">
        <f t="shared" si="341"/>
        <v xml:space="preserve"> </v>
      </c>
      <c r="CH890" s="167" t="str">
        <f t="shared" si="341"/>
        <v xml:space="preserve"> </v>
      </c>
      <c r="CI890" s="168" t="str">
        <f t="shared" si="341"/>
        <v xml:space="preserve"> </v>
      </c>
      <c r="CJ890" s="101"/>
      <c r="CK890" s="165"/>
    </row>
    <row r="891" spans="1:89">
      <c r="A891" s="238" t="str">
        <f>IF(AND(A1691&gt;0,$E$134&gt;13),A1691," ")</f>
        <v xml:space="preserve"> </v>
      </c>
      <c r="B891" s="253"/>
      <c r="C891" s="247"/>
      <c r="D891" s="240" t="str">
        <f t="shared" si="340"/>
        <v xml:space="preserve"> </v>
      </c>
      <c r="E891" s="240" t="str">
        <f t="shared" si="340"/>
        <v xml:space="preserve"> </v>
      </c>
      <c r="F891" s="240" t="str">
        <f t="shared" si="340"/>
        <v xml:space="preserve"> </v>
      </c>
      <c r="G891" s="240" t="str">
        <f t="shared" si="340"/>
        <v xml:space="preserve"> </v>
      </c>
      <c r="H891" s="240" t="str">
        <f t="shared" si="340"/>
        <v xml:space="preserve"> </v>
      </c>
      <c r="I891" s="251" t="str">
        <f t="shared" si="340"/>
        <v xml:space="preserve"> </v>
      </c>
      <c r="J891" s="253"/>
      <c r="K891" s="254"/>
      <c r="CA891" s="238" t="str">
        <f>IF(AND(CA1691&gt;0,$E$134&gt;13),CA1691," ")</f>
        <v xml:space="preserve"> </v>
      </c>
      <c r="CB891" s="253"/>
      <c r="CC891" s="247"/>
      <c r="CD891" s="240" t="str">
        <f t="shared" si="341"/>
        <v xml:space="preserve"> </v>
      </c>
      <c r="CE891" s="240" t="str">
        <f t="shared" si="341"/>
        <v xml:space="preserve"> </v>
      </c>
      <c r="CF891" s="240" t="str">
        <f t="shared" si="341"/>
        <v xml:space="preserve"> </v>
      </c>
      <c r="CG891" s="240" t="str">
        <f t="shared" si="341"/>
        <v xml:space="preserve"> </v>
      </c>
      <c r="CH891" s="240" t="str">
        <f t="shared" si="341"/>
        <v xml:space="preserve"> </v>
      </c>
      <c r="CI891" s="251" t="str">
        <f t="shared" si="341"/>
        <v xml:space="preserve"> </v>
      </c>
      <c r="CJ891" s="253"/>
      <c r="CK891" s="254"/>
    </row>
    <row r="892" spans="1:89">
      <c r="A892" s="166" t="str">
        <f>IF(AND(A1692&gt;0,$E$134&gt;13),A1692," ")</f>
        <v xml:space="preserve"> </v>
      </c>
      <c r="B892" s="101"/>
      <c r="C892" s="100"/>
      <c r="D892" s="167" t="str">
        <f t="shared" si="340"/>
        <v xml:space="preserve"> </v>
      </c>
      <c r="E892" s="167" t="str">
        <f t="shared" si="340"/>
        <v xml:space="preserve"> </v>
      </c>
      <c r="F892" s="167" t="str">
        <f t="shared" si="340"/>
        <v xml:space="preserve"> </v>
      </c>
      <c r="G892" s="167" t="str">
        <f t="shared" si="340"/>
        <v xml:space="preserve"> </v>
      </c>
      <c r="H892" s="167" t="str">
        <f t="shared" si="340"/>
        <v xml:space="preserve"> </v>
      </c>
      <c r="I892" s="168" t="str">
        <f t="shared" si="340"/>
        <v xml:space="preserve"> </v>
      </c>
      <c r="J892" s="101"/>
      <c r="K892" s="165"/>
      <c r="CA892" s="166" t="str">
        <f>IF(AND(CA1692&gt;0,$E$134&gt;13),CA1692," ")</f>
        <v xml:space="preserve"> </v>
      </c>
      <c r="CB892" s="101"/>
      <c r="CC892" s="100"/>
      <c r="CD892" s="167" t="str">
        <f t="shared" si="341"/>
        <v xml:space="preserve"> </v>
      </c>
      <c r="CE892" s="167" t="str">
        <f t="shared" si="341"/>
        <v xml:space="preserve"> </v>
      </c>
      <c r="CF892" s="167" t="str">
        <f t="shared" si="341"/>
        <v xml:space="preserve"> </v>
      </c>
      <c r="CG892" s="167" t="str">
        <f t="shared" si="341"/>
        <v xml:space="preserve"> </v>
      </c>
      <c r="CH892" s="167" t="str">
        <f t="shared" si="341"/>
        <v xml:space="preserve"> </v>
      </c>
      <c r="CI892" s="168" t="str">
        <f t="shared" si="341"/>
        <v xml:space="preserve"> </v>
      </c>
      <c r="CJ892" s="101"/>
      <c r="CK892" s="165"/>
    </row>
    <row r="893" spans="1:89">
      <c r="A893" s="238" t="str">
        <f>IF(AND(A1693&gt;0,$E$134&gt;13),A1693," ")</f>
        <v xml:space="preserve"> </v>
      </c>
      <c r="B893" s="253"/>
      <c r="C893" s="247"/>
      <c r="D893" s="240" t="str">
        <f t="shared" si="340"/>
        <v xml:space="preserve"> </v>
      </c>
      <c r="E893" s="240" t="str">
        <f t="shared" si="340"/>
        <v xml:space="preserve"> </v>
      </c>
      <c r="F893" s="240" t="str">
        <f t="shared" si="340"/>
        <v xml:space="preserve"> </v>
      </c>
      <c r="G893" s="240" t="str">
        <f t="shared" si="340"/>
        <v xml:space="preserve"> </v>
      </c>
      <c r="H893" s="240" t="str">
        <f t="shared" si="340"/>
        <v xml:space="preserve"> </v>
      </c>
      <c r="I893" s="251" t="str">
        <f t="shared" si="340"/>
        <v xml:space="preserve"> </v>
      </c>
      <c r="J893" s="253"/>
      <c r="K893" s="254"/>
      <c r="CA893" s="238" t="str">
        <f>IF(AND(CA1693&gt;0,$E$134&gt;13),CA1693," ")</f>
        <v xml:space="preserve"> </v>
      </c>
      <c r="CB893" s="253"/>
      <c r="CC893" s="247"/>
      <c r="CD893" s="240" t="str">
        <f t="shared" si="341"/>
        <v xml:space="preserve"> </v>
      </c>
      <c r="CE893" s="240" t="str">
        <f t="shared" si="341"/>
        <v xml:space="preserve"> </v>
      </c>
      <c r="CF893" s="240" t="str">
        <f t="shared" si="341"/>
        <v xml:space="preserve"> </v>
      </c>
      <c r="CG893" s="240" t="str">
        <f t="shared" si="341"/>
        <v xml:space="preserve"> </v>
      </c>
      <c r="CH893" s="240" t="str">
        <f t="shared" si="341"/>
        <v xml:space="preserve"> </v>
      </c>
      <c r="CI893" s="251" t="str">
        <f t="shared" si="341"/>
        <v xml:space="preserve"> </v>
      </c>
      <c r="CJ893" s="253"/>
      <c r="CK893" s="254"/>
    </row>
    <row r="894" spans="1:89">
      <c r="A894" s="181" t="str">
        <f>IF(AND(A1694&gt;0,$E$134&gt;13),A1694," ")</f>
        <v xml:space="preserve"> </v>
      </c>
      <c r="B894" s="103"/>
      <c r="C894" s="100"/>
      <c r="D894" s="100" t="str">
        <f t="shared" si="340"/>
        <v xml:space="preserve"> </v>
      </c>
      <c r="E894" s="100" t="str">
        <f t="shared" si="340"/>
        <v xml:space="preserve"> </v>
      </c>
      <c r="F894" s="100" t="str">
        <f t="shared" si="340"/>
        <v xml:space="preserve"> </v>
      </c>
      <c r="G894" s="100" t="str">
        <f t="shared" si="340"/>
        <v xml:space="preserve"> </v>
      </c>
      <c r="H894" s="100" t="str">
        <f t="shared" si="340"/>
        <v xml:space="preserve"> </v>
      </c>
      <c r="I894" s="177" t="str">
        <f t="shared" si="340"/>
        <v xml:space="preserve"> </v>
      </c>
      <c r="J894" s="178"/>
      <c r="K894" s="182"/>
      <c r="CA894" s="181" t="str">
        <f>IF(AND(CA1694&gt;0,$E$134&gt;13),CA1694," ")</f>
        <v xml:space="preserve"> </v>
      </c>
      <c r="CB894" s="103"/>
      <c r="CC894" s="100"/>
      <c r="CD894" s="100" t="str">
        <f t="shared" si="341"/>
        <v xml:space="preserve"> </v>
      </c>
      <c r="CE894" s="100" t="str">
        <f t="shared" si="341"/>
        <v xml:space="preserve"> </v>
      </c>
      <c r="CF894" s="100" t="str">
        <f t="shared" si="341"/>
        <v xml:space="preserve"> </v>
      </c>
      <c r="CG894" s="100" t="str">
        <f t="shared" si="341"/>
        <v xml:space="preserve"> </v>
      </c>
      <c r="CH894" s="100" t="str">
        <f t="shared" si="341"/>
        <v xml:space="preserve"> </v>
      </c>
      <c r="CI894" s="177" t="str">
        <f t="shared" si="341"/>
        <v xml:space="preserve"> </v>
      </c>
      <c r="CJ894" s="178"/>
      <c r="CK894" s="182"/>
    </row>
    <row r="895" spans="1:89">
      <c r="A895" s="179" t="s">
        <v>5420</v>
      </c>
      <c r="B895" s="102"/>
      <c r="C895" s="175" t="s">
        <v>5018</v>
      </c>
      <c r="D895" s="175" t="s">
        <v>5701</v>
      </c>
      <c r="E895" s="175" t="s">
        <v>5019</v>
      </c>
      <c r="F895" s="175" t="s">
        <v>5020</v>
      </c>
      <c r="G895" s="175" t="s">
        <v>5021</v>
      </c>
      <c r="H895" s="175" t="s">
        <v>5022</v>
      </c>
      <c r="I895" s="221" t="s">
        <v>5316</v>
      </c>
      <c r="J895" s="176"/>
      <c r="K895" s="180"/>
      <c r="CA895" s="179" t="s">
        <v>5420</v>
      </c>
      <c r="CB895" s="102"/>
      <c r="CC895" s="175" t="s">
        <v>5018</v>
      </c>
      <c r="CD895" s="175" t="s">
        <v>5701</v>
      </c>
      <c r="CE895" s="175" t="s">
        <v>5019</v>
      </c>
      <c r="CF895" s="175" t="s">
        <v>5020</v>
      </c>
      <c r="CG895" s="175" t="s">
        <v>5021</v>
      </c>
      <c r="CH895" s="175" t="s">
        <v>5022</v>
      </c>
      <c r="CI895" s="221" t="s">
        <v>5316</v>
      </c>
      <c r="CJ895" s="176"/>
      <c r="CK895" s="180"/>
    </row>
    <row r="896" spans="1:89">
      <c r="A896" s="166" t="str">
        <f>IF(AND(A1696&gt;0,$E$134&gt;14),A1696," ")</f>
        <v xml:space="preserve"> </v>
      </c>
      <c r="B896" s="101"/>
      <c r="C896" s="100"/>
      <c r="D896" s="167" t="str">
        <f t="shared" ref="D896:I900" si="342">IF(AND(D1696&gt;0,$E$134&gt;14),D1696," ")</f>
        <v xml:space="preserve"> </v>
      </c>
      <c r="E896" s="167" t="str">
        <f t="shared" si="342"/>
        <v xml:space="preserve"> </v>
      </c>
      <c r="F896" s="167" t="str">
        <f t="shared" si="342"/>
        <v xml:space="preserve"> </v>
      </c>
      <c r="G896" s="167" t="str">
        <f t="shared" si="342"/>
        <v xml:space="preserve"> </v>
      </c>
      <c r="H896" s="167" t="str">
        <f t="shared" si="342"/>
        <v xml:space="preserve"> </v>
      </c>
      <c r="I896" s="168" t="str">
        <f t="shared" si="342"/>
        <v xml:space="preserve"> </v>
      </c>
      <c r="J896" s="101"/>
      <c r="K896" s="165"/>
      <c r="CA896" s="166" t="str">
        <f>IF(AND(CA1696&gt;0,$E$134&gt;14),CA1696," ")</f>
        <v xml:space="preserve"> </v>
      </c>
      <c r="CB896" s="101"/>
      <c r="CC896" s="100"/>
      <c r="CD896" s="167" t="str">
        <f t="shared" ref="CD896:CI900" si="343">IF(AND(CD1696&gt;0,$E$134&gt;14),CD1696," ")</f>
        <v xml:space="preserve"> </v>
      </c>
      <c r="CE896" s="167" t="str">
        <f t="shared" si="343"/>
        <v xml:space="preserve"> </v>
      </c>
      <c r="CF896" s="167" t="str">
        <f t="shared" si="343"/>
        <v xml:space="preserve"> </v>
      </c>
      <c r="CG896" s="167" t="str">
        <f t="shared" si="343"/>
        <v xml:space="preserve"> </v>
      </c>
      <c r="CH896" s="167" t="str">
        <f t="shared" si="343"/>
        <v xml:space="preserve"> </v>
      </c>
      <c r="CI896" s="168" t="str">
        <f t="shared" si="343"/>
        <v xml:space="preserve"> </v>
      </c>
      <c r="CJ896" s="101"/>
      <c r="CK896" s="165"/>
    </row>
    <row r="897" spans="1:89">
      <c r="A897" s="238" t="str">
        <f>IF(AND(A1697&gt;0,$E$134&gt;14),A1697," ")</f>
        <v xml:space="preserve"> </v>
      </c>
      <c r="B897" s="253"/>
      <c r="C897" s="247"/>
      <c r="D897" s="240" t="str">
        <f t="shared" si="342"/>
        <v xml:space="preserve"> </v>
      </c>
      <c r="E897" s="240" t="str">
        <f t="shared" si="342"/>
        <v xml:space="preserve"> </v>
      </c>
      <c r="F897" s="240" t="str">
        <f t="shared" si="342"/>
        <v xml:space="preserve"> </v>
      </c>
      <c r="G897" s="240" t="str">
        <f t="shared" si="342"/>
        <v xml:space="preserve"> </v>
      </c>
      <c r="H897" s="240" t="str">
        <f t="shared" si="342"/>
        <v xml:space="preserve"> </v>
      </c>
      <c r="I897" s="251" t="str">
        <f t="shared" si="342"/>
        <v xml:space="preserve"> </v>
      </c>
      <c r="J897" s="253"/>
      <c r="K897" s="254"/>
      <c r="CA897" s="238" t="str">
        <f>IF(AND(CA1697&gt;0,$E$134&gt;14),CA1697," ")</f>
        <v xml:space="preserve"> </v>
      </c>
      <c r="CB897" s="253"/>
      <c r="CC897" s="247"/>
      <c r="CD897" s="240" t="str">
        <f t="shared" si="343"/>
        <v xml:space="preserve"> </v>
      </c>
      <c r="CE897" s="240" t="str">
        <f t="shared" si="343"/>
        <v xml:space="preserve"> </v>
      </c>
      <c r="CF897" s="240" t="str">
        <f t="shared" si="343"/>
        <v xml:space="preserve"> </v>
      </c>
      <c r="CG897" s="240" t="str">
        <f t="shared" si="343"/>
        <v xml:space="preserve"> </v>
      </c>
      <c r="CH897" s="240" t="str">
        <f t="shared" si="343"/>
        <v xml:space="preserve"> </v>
      </c>
      <c r="CI897" s="251" t="str">
        <f t="shared" si="343"/>
        <v xml:space="preserve"> </v>
      </c>
      <c r="CJ897" s="253"/>
      <c r="CK897" s="254"/>
    </row>
    <row r="898" spans="1:89">
      <c r="A898" s="166" t="str">
        <f>IF(AND(A1698&gt;0,$E$134&gt;14),A1698," ")</f>
        <v xml:space="preserve"> </v>
      </c>
      <c r="B898" s="101"/>
      <c r="C898" s="100"/>
      <c r="D898" s="167" t="str">
        <f t="shared" si="342"/>
        <v xml:space="preserve"> </v>
      </c>
      <c r="E898" s="167" t="str">
        <f t="shared" si="342"/>
        <v xml:space="preserve"> </v>
      </c>
      <c r="F898" s="167" t="str">
        <f t="shared" si="342"/>
        <v xml:space="preserve"> </v>
      </c>
      <c r="G898" s="167" t="str">
        <f t="shared" si="342"/>
        <v xml:space="preserve"> </v>
      </c>
      <c r="H898" s="167" t="str">
        <f t="shared" si="342"/>
        <v xml:space="preserve"> </v>
      </c>
      <c r="I898" s="168" t="str">
        <f t="shared" si="342"/>
        <v xml:space="preserve"> </v>
      </c>
      <c r="J898" s="101"/>
      <c r="K898" s="165"/>
      <c r="CA898" s="166" t="str">
        <f>IF(AND(CA1698&gt;0,$E$134&gt;14),CA1698," ")</f>
        <v xml:space="preserve"> </v>
      </c>
      <c r="CB898" s="101"/>
      <c r="CC898" s="100"/>
      <c r="CD898" s="167" t="str">
        <f t="shared" si="343"/>
        <v xml:space="preserve"> </v>
      </c>
      <c r="CE898" s="167" t="str">
        <f t="shared" si="343"/>
        <v xml:space="preserve"> </v>
      </c>
      <c r="CF898" s="167" t="str">
        <f t="shared" si="343"/>
        <v xml:space="preserve"> </v>
      </c>
      <c r="CG898" s="167" t="str">
        <f t="shared" si="343"/>
        <v xml:space="preserve"> </v>
      </c>
      <c r="CH898" s="167" t="str">
        <f t="shared" si="343"/>
        <v xml:space="preserve"> </v>
      </c>
      <c r="CI898" s="168" t="str">
        <f t="shared" si="343"/>
        <v xml:space="preserve"> </v>
      </c>
      <c r="CJ898" s="101"/>
      <c r="CK898" s="165"/>
    </row>
    <row r="899" spans="1:89">
      <c r="A899" s="238" t="str">
        <f>IF(AND(A1699&gt;0,$E$134&gt;14),A1699," ")</f>
        <v xml:space="preserve"> </v>
      </c>
      <c r="B899" s="253"/>
      <c r="C899" s="247"/>
      <c r="D899" s="240" t="str">
        <f t="shared" si="342"/>
        <v xml:space="preserve"> </v>
      </c>
      <c r="E899" s="240" t="str">
        <f t="shared" si="342"/>
        <v xml:space="preserve"> </v>
      </c>
      <c r="F899" s="240" t="str">
        <f t="shared" si="342"/>
        <v xml:space="preserve"> </v>
      </c>
      <c r="G899" s="240" t="str">
        <f t="shared" si="342"/>
        <v xml:space="preserve"> </v>
      </c>
      <c r="H899" s="240" t="str">
        <f t="shared" si="342"/>
        <v xml:space="preserve"> </v>
      </c>
      <c r="I899" s="251" t="str">
        <f t="shared" si="342"/>
        <v xml:space="preserve"> </v>
      </c>
      <c r="J899" s="253"/>
      <c r="K899" s="254"/>
      <c r="CA899" s="238" t="str">
        <f>IF(AND(CA1699&gt;0,$E$134&gt;14),CA1699," ")</f>
        <v xml:space="preserve"> </v>
      </c>
      <c r="CB899" s="253"/>
      <c r="CC899" s="247"/>
      <c r="CD899" s="240" t="str">
        <f t="shared" si="343"/>
        <v xml:space="preserve"> </v>
      </c>
      <c r="CE899" s="240" t="str">
        <f t="shared" si="343"/>
        <v xml:space="preserve"> </v>
      </c>
      <c r="CF899" s="240" t="str">
        <f t="shared" si="343"/>
        <v xml:space="preserve"> </v>
      </c>
      <c r="CG899" s="240" t="str">
        <f t="shared" si="343"/>
        <v xml:space="preserve"> </v>
      </c>
      <c r="CH899" s="240" t="str">
        <f t="shared" si="343"/>
        <v xml:space="preserve"> </v>
      </c>
      <c r="CI899" s="251" t="str">
        <f t="shared" si="343"/>
        <v xml:space="preserve"> </v>
      </c>
      <c r="CJ899" s="253"/>
      <c r="CK899" s="254"/>
    </row>
    <row r="900" spans="1:89" ht="14" thickBot="1">
      <c r="A900" s="170" t="str">
        <f>IF(AND(A1700&gt;0,$E$134&gt;14),A1700," ")</f>
        <v xml:space="preserve"> </v>
      </c>
      <c r="B900" s="171"/>
      <c r="C900" s="172"/>
      <c r="D900" s="172" t="str">
        <f t="shared" si="342"/>
        <v xml:space="preserve"> </v>
      </c>
      <c r="E900" s="172" t="str">
        <f t="shared" si="342"/>
        <v xml:space="preserve"> </v>
      </c>
      <c r="F900" s="172" t="str">
        <f t="shared" si="342"/>
        <v xml:space="preserve"> </v>
      </c>
      <c r="G900" s="172" t="str">
        <f t="shared" si="342"/>
        <v xml:space="preserve"> </v>
      </c>
      <c r="H900" s="172" t="str">
        <f t="shared" si="342"/>
        <v xml:space="preserve"> </v>
      </c>
      <c r="I900" s="173" t="str">
        <f t="shared" si="342"/>
        <v xml:space="preserve"> </v>
      </c>
      <c r="J900" s="171"/>
      <c r="K900" s="174"/>
      <c r="CA900" s="181" t="str">
        <f>IF(AND(CA1700&gt;0,$E$134&gt;14),CA1700," ")</f>
        <v xml:space="preserve"> </v>
      </c>
      <c r="CB900" s="103"/>
      <c r="CC900" s="100"/>
      <c r="CD900" s="100" t="str">
        <f t="shared" si="343"/>
        <v xml:space="preserve"> </v>
      </c>
      <c r="CE900" s="100" t="str">
        <f t="shared" si="343"/>
        <v xml:space="preserve"> </v>
      </c>
      <c r="CF900" s="100" t="str">
        <f t="shared" si="343"/>
        <v xml:space="preserve"> </v>
      </c>
      <c r="CG900" s="100" t="str">
        <f t="shared" si="343"/>
        <v xml:space="preserve"> </v>
      </c>
      <c r="CH900" s="100" t="str">
        <f t="shared" si="343"/>
        <v xml:space="preserve"> </v>
      </c>
      <c r="CI900" s="177" t="str">
        <f t="shared" si="343"/>
        <v xml:space="preserve"> </v>
      </c>
      <c r="CJ900" s="103"/>
      <c r="CK900" s="182"/>
    </row>
    <row r="901" spans="1:89">
      <c r="A901" s="4" t="s">
        <v>5223</v>
      </c>
      <c r="B901" s="1" t="s">
        <v>5348</v>
      </c>
      <c r="C901" s="1" t="s">
        <v>5353</v>
      </c>
      <c r="D901" s="231"/>
      <c r="E901" s="231"/>
      <c r="F901" s="231"/>
      <c r="G901" s="231"/>
      <c r="H901" s="231"/>
      <c r="CA901" s="4" t="s">
        <v>5223</v>
      </c>
      <c r="CB901" s="1" t="s">
        <v>5348</v>
      </c>
      <c r="CC901" s="1" t="s">
        <v>5353</v>
      </c>
      <c r="CD901" s="231"/>
      <c r="CE901" s="231"/>
      <c r="CF901" s="231"/>
      <c r="CG901" s="231"/>
      <c r="CH901" s="231"/>
    </row>
    <row r="902" spans="1:89">
      <c r="A902" s="231" t="s">
        <v>5224</v>
      </c>
      <c r="B902" s="5">
        <v>1</v>
      </c>
      <c r="C902" s="5" t="s">
        <v>5225</v>
      </c>
      <c r="D902" s="231"/>
      <c r="E902" s="231"/>
      <c r="F902" s="231"/>
      <c r="G902" s="231"/>
      <c r="H902" s="231"/>
      <c r="CA902" s="231"/>
      <c r="CB902" s="5"/>
      <c r="CC902" s="5"/>
      <c r="CD902" s="231"/>
      <c r="CE902" s="231"/>
      <c r="CF902" s="231"/>
      <c r="CG902" s="231"/>
      <c r="CH902" s="231"/>
    </row>
    <row r="903" spans="1:89">
      <c r="A903" s="231" t="s">
        <v>5226</v>
      </c>
      <c r="B903" s="5">
        <v>1</v>
      </c>
      <c r="C903" s="5" t="s">
        <v>5227</v>
      </c>
      <c r="D903" s="231"/>
      <c r="E903" s="231"/>
      <c r="F903" s="231"/>
      <c r="G903" s="231"/>
      <c r="H903" s="231"/>
      <c r="CA903" s="231"/>
      <c r="CB903" s="5"/>
      <c r="CC903" s="5"/>
      <c r="CD903" s="231"/>
      <c r="CE903" s="231"/>
      <c r="CF903" s="231"/>
      <c r="CG903" s="231"/>
      <c r="CH903" s="231"/>
    </row>
    <row r="904" spans="1:89">
      <c r="A904" s="231" t="s">
        <v>5228</v>
      </c>
      <c r="B904" s="5">
        <v>1</v>
      </c>
      <c r="C904" s="5" t="s">
        <v>5227</v>
      </c>
      <c r="D904" s="231"/>
      <c r="E904" s="231"/>
      <c r="F904" s="231"/>
      <c r="G904" s="231"/>
      <c r="H904" s="231"/>
      <c r="CA904" s="231"/>
      <c r="CB904" s="5"/>
      <c r="CC904" s="5"/>
      <c r="CD904" s="231"/>
      <c r="CE904" s="231"/>
      <c r="CF904" s="231"/>
      <c r="CG904" s="231"/>
      <c r="CH904" s="231"/>
    </row>
    <row r="905" spans="1:89">
      <c r="A905" s="231" t="s">
        <v>5229</v>
      </c>
      <c r="B905" s="5">
        <v>1</v>
      </c>
      <c r="C905" s="5" t="s">
        <v>5227</v>
      </c>
      <c r="D905" s="231"/>
      <c r="E905" s="231"/>
      <c r="F905" s="231"/>
      <c r="G905" s="231"/>
      <c r="H905" s="231"/>
      <c r="CA905" s="231"/>
      <c r="CB905" s="5"/>
      <c r="CC905" s="5"/>
      <c r="CD905" s="231"/>
      <c r="CE905" s="231"/>
      <c r="CF905" s="231"/>
      <c r="CG905" s="231"/>
      <c r="CH905" s="231"/>
    </row>
    <row r="906" spans="1:89">
      <c r="A906" s="231" t="s">
        <v>5230</v>
      </c>
      <c r="B906" s="5">
        <v>1</v>
      </c>
      <c r="C906" s="5" t="s">
        <v>5225</v>
      </c>
      <c r="D906" s="231"/>
      <c r="E906" s="231"/>
      <c r="F906" s="231"/>
      <c r="G906" s="231"/>
      <c r="H906" s="231"/>
      <c r="CA906" s="231"/>
      <c r="CB906" s="5"/>
      <c r="CC906" s="5"/>
      <c r="CD906" s="231"/>
      <c r="CE906" s="231"/>
      <c r="CF906" s="231"/>
      <c r="CG906" s="231"/>
      <c r="CH906" s="231"/>
    </row>
    <row r="907" spans="1:89">
      <c r="A907" s="231" t="s">
        <v>5433</v>
      </c>
      <c r="B907" s="5">
        <v>1</v>
      </c>
      <c r="C907" s="5" t="s">
        <v>5225</v>
      </c>
      <c r="D907" s="231"/>
      <c r="E907" s="231"/>
      <c r="F907" s="231"/>
      <c r="G907" s="231"/>
      <c r="H907" s="231"/>
      <c r="CA907" s="231"/>
      <c r="CB907" s="5"/>
      <c r="CC907" s="5"/>
      <c r="CD907" s="231"/>
      <c r="CE907" s="231"/>
      <c r="CF907" s="231"/>
      <c r="CG907" s="231"/>
      <c r="CH907" s="231"/>
    </row>
    <row r="908" spans="1:89">
      <c r="A908" s="231" t="s">
        <v>5434</v>
      </c>
      <c r="B908" s="5">
        <v>2</v>
      </c>
      <c r="C908" s="5" t="s">
        <v>5225</v>
      </c>
      <c r="D908" s="231"/>
      <c r="E908" s="231"/>
      <c r="F908" s="231"/>
      <c r="G908" s="231"/>
      <c r="H908" s="231"/>
      <c r="CA908" s="231"/>
      <c r="CB908" s="5"/>
      <c r="CC908" s="5"/>
      <c r="CD908" s="231"/>
      <c r="CE908" s="231"/>
      <c r="CF908" s="231"/>
      <c r="CG908" s="231"/>
      <c r="CH908" s="231"/>
    </row>
    <row r="909" spans="1:89" ht="14" thickBot="1">
      <c r="A909" s="231" t="s">
        <v>5435</v>
      </c>
      <c r="B909" s="5">
        <v>2</v>
      </c>
      <c r="C909" s="5" t="s">
        <v>5225</v>
      </c>
      <c r="D909" s="231"/>
      <c r="E909" s="231"/>
      <c r="F909" s="231"/>
      <c r="G909" s="231"/>
      <c r="H909" s="231"/>
      <c r="CA909" s="231"/>
      <c r="CB909" s="5"/>
      <c r="CC909" s="5"/>
      <c r="CD909" s="231"/>
      <c r="CE909" s="231"/>
      <c r="CF909" s="231"/>
      <c r="CG909" s="231"/>
      <c r="CH909" s="231"/>
    </row>
    <row r="910" spans="1:89" ht="15" thickTop="1" thickBot="1">
      <c r="A910" s="231" t="s">
        <v>5436</v>
      </c>
      <c r="B910" s="5">
        <v>2</v>
      </c>
      <c r="C910" s="5" t="s">
        <v>5225</v>
      </c>
      <c r="D910" s="231"/>
      <c r="E910" s="231"/>
      <c r="F910" s="9" t="s">
        <v>5390</v>
      </c>
      <c r="G910" s="8">
        <v>13</v>
      </c>
      <c r="H910" s="231"/>
      <c r="CA910" s="231"/>
      <c r="CB910" s="5"/>
      <c r="CC910" s="5"/>
      <c r="CD910" s="231"/>
      <c r="CE910" s="231"/>
      <c r="CG910" s="8"/>
      <c r="CH910" s="231"/>
    </row>
    <row r="911" spans="1:89" ht="15" thickTop="1" thickBot="1">
      <c r="A911" s="231" t="s">
        <v>5237</v>
      </c>
      <c r="B911" s="5">
        <v>3</v>
      </c>
      <c r="C911" s="5" t="s">
        <v>5225</v>
      </c>
      <c r="D911" s="231"/>
      <c r="E911" s="231"/>
      <c r="F911" s="231" t="s">
        <v>5596</v>
      </c>
      <c r="G911" s="8">
        <v>12</v>
      </c>
      <c r="H911" s="231"/>
      <c r="CA911" s="231"/>
      <c r="CB911" s="5"/>
      <c r="CC911" s="5"/>
      <c r="CD911" s="231"/>
      <c r="CE911" s="231"/>
      <c r="CF911" s="231"/>
      <c r="CG911" s="8"/>
      <c r="CH911" s="231"/>
    </row>
    <row r="912" spans="1:89" ht="15" thickTop="1" thickBot="1">
      <c r="A912" s="231" t="s">
        <v>5048</v>
      </c>
      <c r="B912" s="5">
        <v>3</v>
      </c>
      <c r="C912" s="5" t="s">
        <v>5227</v>
      </c>
      <c r="D912" s="231"/>
      <c r="E912" s="231"/>
      <c r="F912" s="231" t="s">
        <v>5597</v>
      </c>
      <c r="G912" s="8">
        <v>13</v>
      </c>
      <c r="H912" s="231"/>
      <c r="CA912" s="231"/>
      <c r="CB912" s="5"/>
      <c r="CC912" s="5"/>
      <c r="CD912" s="231"/>
      <c r="CE912" s="231"/>
      <c r="CF912" s="231"/>
      <c r="CG912" s="8"/>
      <c r="CH912" s="231"/>
    </row>
    <row r="913" spans="1:89" ht="15" thickTop="1" thickBot="1">
      <c r="A913" s="231" t="s">
        <v>5049</v>
      </c>
      <c r="B913" s="5">
        <v>4</v>
      </c>
      <c r="C913" s="5" t="s">
        <v>5227</v>
      </c>
      <c r="D913" s="231"/>
      <c r="E913" s="231"/>
      <c r="F913" s="231" t="s">
        <v>5786</v>
      </c>
      <c r="G913" s="8">
        <v>11</v>
      </c>
      <c r="H913" s="231"/>
      <c r="AF913" s="10"/>
      <c r="AG913" s="10"/>
      <c r="AH913" s="10"/>
      <c r="CA913" s="231"/>
      <c r="CB913" s="5"/>
      <c r="CC913" s="5"/>
      <c r="CD913" s="231"/>
      <c r="CE913" s="231"/>
      <c r="CF913" s="231"/>
      <c r="CG913" s="8"/>
      <c r="CH913" s="231"/>
    </row>
    <row r="914" spans="1:89" ht="15" thickTop="1" thickBot="1">
      <c r="A914" s="231" t="s">
        <v>4829</v>
      </c>
      <c r="B914" s="5">
        <v>4</v>
      </c>
      <c r="C914" s="5" t="s">
        <v>5227</v>
      </c>
      <c r="D914" s="231"/>
      <c r="E914" s="231"/>
      <c r="F914" s="231" t="s">
        <v>5787</v>
      </c>
      <c r="G914" s="8">
        <v>15</v>
      </c>
      <c r="H914" s="231"/>
      <c r="CA914" s="231"/>
      <c r="CB914" s="5"/>
      <c r="CC914" s="5"/>
      <c r="CD914" s="231"/>
      <c r="CE914" s="231"/>
      <c r="CF914" s="231"/>
      <c r="CG914" s="8"/>
      <c r="CH914" s="231"/>
    </row>
    <row r="915" spans="1:89" ht="15" thickTop="1" thickBot="1">
      <c r="A915" s="231" t="s">
        <v>5050</v>
      </c>
      <c r="B915" s="5">
        <v>5</v>
      </c>
      <c r="C915" s="5" t="s">
        <v>5225</v>
      </c>
      <c r="D915" s="231"/>
      <c r="E915" s="231"/>
      <c r="F915" s="231" t="s">
        <v>5788</v>
      </c>
      <c r="G915" s="8">
        <v>18</v>
      </c>
      <c r="H915" s="231"/>
      <c r="CA915" s="231"/>
      <c r="CB915" s="5"/>
      <c r="CC915" s="5"/>
      <c r="CD915" s="231"/>
      <c r="CE915" s="231"/>
      <c r="CF915" s="231"/>
      <c r="CG915" s="8"/>
      <c r="CH915" s="231"/>
    </row>
    <row r="916" spans="1:89">
      <c r="A916" s="231" t="s">
        <v>5051</v>
      </c>
      <c r="B916" s="5">
        <v>5</v>
      </c>
      <c r="C916" s="5" t="s">
        <v>5227</v>
      </c>
      <c r="D916" s="231"/>
      <c r="E916" s="231"/>
      <c r="F916" s="231"/>
      <c r="G916" s="231"/>
      <c r="H916" s="231"/>
      <c r="CA916" s="231"/>
      <c r="CB916" s="5"/>
      <c r="CC916" s="5"/>
      <c r="CD916" s="231"/>
      <c r="CE916" s="231"/>
      <c r="CF916" s="231"/>
      <c r="CG916" s="231"/>
      <c r="CH916" s="231"/>
    </row>
    <row r="917" spans="1:89">
      <c r="A917" s="231" t="s">
        <v>5052</v>
      </c>
      <c r="B917" s="5">
        <v>6</v>
      </c>
      <c r="C917" s="5" t="s">
        <v>5225</v>
      </c>
      <c r="D917" s="231"/>
      <c r="E917" s="231"/>
      <c r="F917" s="231"/>
      <c r="G917" s="231"/>
      <c r="H917" s="231"/>
      <c r="CA917" s="231"/>
      <c r="CB917" s="5"/>
      <c r="CC917" s="5"/>
      <c r="CD917" s="231"/>
      <c r="CE917" s="231"/>
      <c r="CF917" s="231"/>
      <c r="CG917" s="231"/>
      <c r="CH917" s="231"/>
    </row>
    <row r="918" spans="1:89">
      <c r="A918" s="231" t="s">
        <v>5053</v>
      </c>
      <c r="B918" s="5">
        <v>6</v>
      </c>
      <c r="C918" s="5" t="s">
        <v>5227</v>
      </c>
      <c r="D918" s="231"/>
      <c r="E918" s="231"/>
      <c r="F918" s="231"/>
      <c r="G918" s="231"/>
      <c r="H918" s="231"/>
      <c r="CA918" s="231"/>
      <c r="CB918" s="5"/>
      <c r="CC918" s="5"/>
      <c r="CD918" s="231"/>
      <c r="CE918" s="231"/>
      <c r="CF918" s="231"/>
      <c r="CG918" s="231"/>
      <c r="CH918" s="231"/>
    </row>
    <row r="919" spans="1:89">
      <c r="A919" s="231" t="s">
        <v>4880</v>
      </c>
      <c r="B919" s="5">
        <v>7</v>
      </c>
      <c r="C919" s="5" t="s">
        <v>5227</v>
      </c>
      <c r="D919" s="231"/>
      <c r="E919" s="231"/>
      <c r="F919" s="231"/>
      <c r="G919" s="231"/>
      <c r="H919" s="231"/>
      <c r="CA919" s="231"/>
      <c r="CB919" s="5"/>
      <c r="CC919" s="5"/>
      <c r="CD919" s="231"/>
      <c r="CE919" s="231"/>
      <c r="CF919" s="231"/>
      <c r="CG919" s="231"/>
      <c r="CH919" s="231"/>
    </row>
    <row r="920" spans="1:89">
      <c r="A920" s="231" t="s">
        <v>4881</v>
      </c>
      <c r="B920" s="5">
        <v>7</v>
      </c>
      <c r="C920" s="5" t="s">
        <v>5225</v>
      </c>
      <c r="D920" s="1"/>
      <c r="E920" s="48" t="s">
        <v>4882</v>
      </c>
      <c r="F920" s="1"/>
      <c r="G920" s="4"/>
      <c r="H920" s="1"/>
      <c r="I920" s="1"/>
      <c r="J920" s="1"/>
      <c r="K920" s="1"/>
      <c r="CA920" s="231"/>
      <c r="CB920" s="5"/>
      <c r="CC920" s="5"/>
      <c r="CD920" s="231"/>
      <c r="CE920" s="49"/>
      <c r="CF920" s="231"/>
      <c r="CG920" s="231"/>
      <c r="CH920" s="231"/>
      <c r="CI920" s="1"/>
      <c r="CJ920" s="1"/>
      <c r="CK920" s="1"/>
    </row>
    <row r="921" spans="1:89">
      <c r="A921" s="231" t="s">
        <v>4883</v>
      </c>
      <c r="B921" s="5">
        <v>8</v>
      </c>
      <c r="C921" s="5" t="s">
        <v>5227</v>
      </c>
      <c r="D921" s="5"/>
      <c r="E921" s="6" t="s">
        <v>4913</v>
      </c>
      <c r="F921" s="5"/>
      <c r="G921" s="5"/>
      <c r="H921" s="5"/>
      <c r="I921" s="10"/>
      <c r="J921" s="10"/>
      <c r="K921" s="10"/>
      <c r="CA921" s="231"/>
      <c r="CB921" s="5"/>
      <c r="CC921" s="5"/>
      <c r="CD921" s="1"/>
      <c r="CE921" s="49"/>
      <c r="CF921" s="1"/>
      <c r="CG921" s="4"/>
      <c r="CH921" s="1"/>
      <c r="CI921" s="10"/>
      <c r="CJ921" s="10"/>
      <c r="CK921" s="10"/>
    </row>
    <row r="922" spans="1:89">
      <c r="A922" s="231" t="s">
        <v>5058</v>
      </c>
      <c r="B922" s="5">
        <v>8</v>
      </c>
      <c r="C922" s="5" t="s">
        <v>5225</v>
      </c>
      <c r="D922" s="5"/>
      <c r="E922" s="6" t="s">
        <v>5059</v>
      </c>
      <c r="F922" s="5"/>
      <c r="G922" s="5"/>
      <c r="H922" s="5"/>
      <c r="I922" s="10"/>
      <c r="J922" s="10"/>
      <c r="K922" s="10"/>
      <c r="CA922" s="231"/>
      <c r="CB922" s="5"/>
      <c r="CC922" s="5"/>
      <c r="CD922" s="5"/>
      <c r="CE922" s="5"/>
      <c r="CF922" s="5"/>
      <c r="CG922" s="5"/>
      <c r="CH922" s="5"/>
      <c r="CI922" s="10"/>
      <c r="CJ922" s="10"/>
      <c r="CK922" s="10"/>
    </row>
    <row r="923" spans="1:89">
      <c r="A923" s="231" t="s">
        <v>5060</v>
      </c>
      <c r="B923" s="5">
        <v>9</v>
      </c>
      <c r="C923" s="5" t="s">
        <v>5227</v>
      </c>
      <c r="D923" s="5"/>
      <c r="E923" s="6" t="s">
        <v>5061</v>
      </c>
      <c r="F923" s="5"/>
      <c r="G923" s="5"/>
      <c r="H923" s="5"/>
      <c r="I923" s="10"/>
      <c r="J923" s="10"/>
      <c r="K923" s="10"/>
      <c r="CA923" s="231"/>
      <c r="CB923" s="5"/>
      <c r="CC923" s="5"/>
      <c r="CD923" s="5"/>
      <c r="CE923" s="5"/>
      <c r="CF923" s="5"/>
      <c r="CG923" s="5"/>
      <c r="CH923" s="5"/>
      <c r="CI923" s="10"/>
      <c r="CJ923" s="10"/>
      <c r="CK923" s="10"/>
    </row>
    <row r="924" spans="1:89">
      <c r="A924" s="231" t="s">
        <v>4892</v>
      </c>
      <c r="B924" s="5">
        <v>9</v>
      </c>
      <c r="C924" s="5" t="s">
        <v>5225</v>
      </c>
      <c r="D924" s="5"/>
      <c r="E924" s="5"/>
      <c r="F924" s="5"/>
      <c r="G924" s="5"/>
      <c r="H924" s="5"/>
      <c r="I924" s="10"/>
      <c r="J924" s="10"/>
      <c r="K924" s="10"/>
      <c r="CA924" s="231"/>
      <c r="CB924" s="5"/>
      <c r="CC924" s="5"/>
      <c r="CD924" s="5"/>
      <c r="CE924" s="5"/>
      <c r="CF924" s="5"/>
      <c r="CG924" s="5"/>
      <c r="CH924" s="5"/>
      <c r="CI924" s="10"/>
      <c r="CJ924" s="10"/>
      <c r="CK924" s="10"/>
    </row>
    <row r="925" spans="1:89">
      <c r="A925" s="231" t="s">
        <v>4893</v>
      </c>
      <c r="B925" s="5">
        <v>9</v>
      </c>
      <c r="C925" s="5" t="s">
        <v>5227</v>
      </c>
      <c r="D925" s="5"/>
      <c r="E925" s="5"/>
      <c r="F925" s="5"/>
      <c r="G925" s="5"/>
      <c r="H925" s="5"/>
      <c r="I925" s="10"/>
      <c r="J925" s="10"/>
      <c r="K925" s="10"/>
      <c r="CA925" s="231"/>
      <c r="CB925" s="5"/>
      <c r="CC925" s="5"/>
      <c r="CD925" s="5"/>
      <c r="CE925" s="5"/>
      <c r="CF925" s="5"/>
      <c r="CG925" s="5"/>
      <c r="CH925" s="5"/>
      <c r="CI925" s="10"/>
      <c r="CJ925" s="10"/>
      <c r="CK925" s="10"/>
    </row>
    <row r="926" spans="1:89">
      <c r="A926" s="231" t="s">
        <v>4894</v>
      </c>
      <c r="B926" s="5">
        <v>10</v>
      </c>
      <c r="C926" s="5" t="s">
        <v>5225</v>
      </c>
      <c r="D926" s="5"/>
      <c r="E926" s="5"/>
      <c r="F926" s="5"/>
      <c r="G926" s="5"/>
      <c r="H926" s="5"/>
      <c r="I926" s="10"/>
      <c r="J926" s="10"/>
      <c r="K926" s="10"/>
      <c r="CA926" s="231"/>
      <c r="CB926" s="5"/>
      <c r="CC926" s="5"/>
      <c r="CD926" s="5"/>
      <c r="CE926" s="5"/>
      <c r="CF926" s="5"/>
      <c r="CG926" s="5"/>
      <c r="CH926" s="5"/>
      <c r="CI926" s="10"/>
      <c r="CJ926" s="10"/>
      <c r="CK926" s="10"/>
    </row>
    <row r="927" spans="1:89">
      <c r="A927" s="231" t="s">
        <v>4895</v>
      </c>
      <c r="B927" s="5">
        <v>10</v>
      </c>
      <c r="C927" s="5" t="s">
        <v>5225</v>
      </c>
      <c r="D927" s="5"/>
      <c r="E927" s="5"/>
      <c r="F927" s="5"/>
      <c r="G927" s="5"/>
      <c r="H927" s="5"/>
      <c r="I927" s="10"/>
      <c r="J927" s="10"/>
      <c r="K927" s="10"/>
      <c r="CA927" s="231"/>
      <c r="CB927" s="5"/>
      <c r="CC927" s="5"/>
      <c r="CD927" s="5"/>
      <c r="CE927" s="5"/>
      <c r="CF927" s="5"/>
      <c r="CG927" s="5"/>
      <c r="CH927" s="5"/>
      <c r="CI927" s="10"/>
      <c r="CJ927" s="10"/>
      <c r="CK927" s="10"/>
    </row>
    <row r="928" spans="1:89">
      <c r="A928" s="231" t="s">
        <v>4896</v>
      </c>
      <c r="B928" s="5">
        <v>11</v>
      </c>
      <c r="C928" s="5" t="s">
        <v>5227</v>
      </c>
      <c r="D928" s="5"/>
      <c r="E928" s="5"/>
      <c r="F928" s="5"/>
      <c r="G928" s="5"/>
      <c r="H928" s="5"/>
      <c r="I928" s="10"/>
      <c r="J928" s="10"/>
      <c r="K928" s="10"/>
      <c r="CA928" s="231"/>
      <c r="CB928" s="5"/>
      <c r="CC928" s="5"/>
      <c r="CD928" s="5"/>
      <c r="CE928" s="5"/>
      <c r="CF928" s="5"/>
      <c r="CG928" s="5"/>
      <c r="CH928" s="5"/>
      <c r="CI928" s="10"/>
      <c r="CJ928" s="10"/>
      <c r="CK928" s="10"/>
    </row>
    <row r="929" spans="1:89">
      <c r="A929" s="231" t="s">
        <v>4897</v>
      </c>
      <c r="B929" s="5">
        <v>11</v>
      </c>
      <c r="C929" s="5" t="s">
        <v>5227</v>
      </c>
      <c r="D929" s="5"/>
      <c r="E929" s="5"/>
      <c r="F929" s="5"/>
      <c r="G929" s="5"/>
      <c r="H929" s="5"/>
      <c r="I929" s="10"/>
      <c r="J929" s="10"/>
      <c r="K929" s="10"/>
      <c r="CA929" s="231"/>
      <c r="CB929" s="5"/>
      <c r="CC929" s="5"/>
      <c r="CD929" s="5"/>
      <c r="CE929" s="5"/>
      <c r="CF929" s="5"/>
      <c r="CG929" s="5"/>
      <c r="CH929" s="5"/>
      <c r="CI929" s="10"/>
      <c r="CJ929" s="10"/>
      <c r="CK929" s="10"/>
    </row>
    <row r="930" spans="1:89">
      <c r="A930" s="231" t="s">
        <v>4898</v>
      </c>
      <c r="B930" s="5">
        <v>12</v>
      </c>
      <c r="C930" s="5" t="s">
        <v>5227</v>
      </c>
      <c r="D930" s="5"/>
      <c r="E930" s="5"/>
      <c r="F930" s="5"/>
      <c r="G930" s="5"/>
      <c r="H930" s="5"/>
      <c r="I930" s="10"/>
      <c r="J930" s="10"/>
      <c r="K930" s="10"/>
      <c r="CA930" s="231"/>
      <c r="CB930" s="5"/>
      <c r="CC930" s="5"/>
      <c r="CD930" s="5"/>
      <c r="CE930" s="5"/>
      <c r="CF930" s="5"/>
      <c r="CG930" s="5"/>
      <c r="CH930" s="5"/>
      <c r="CI930" s="10"/>
      <c r="CJ930" s="10"/>
      <c r="CK930" s="10"/>
    </row>
    <row r="931" spans="1:89">
      <c r="A931" s="231" t="s">
        <v>4899</v>
      </c>
      <c r="B931" s="5">
        <v>12</v>
      </c>
      <c r="C931" s="5" t="s">
        <v>5227</v>
      </c>
      <c r="D931" s="5"/>
      <c r="E931" s="5"/>
      <c r="F931" s="5"/>
      <c r="G931" s="5"/>
      <c r="H931" s="5"/>
      <c r="I931" s="10"/>
      <c r="J931" s="10"/>
      <c r="K931" s="10"/>
      <c r="CA931" s="231"/>
      <c r="CB931" s="5"/>
      <c r="CC931" s="5"/>
      <c r="CD931" s="5"/>
      <c r="CE931" s="5"/>
      <c r="CF931" s="5"/>
      <c r="CG931" s="5"/>
      <c r="CH931" s="5"/>
      <c r="CI931" s="10"/>
      <c r="CJ931" s="10"/>
      <c r="CK931" s="10"/>
    </row>
    <row r="932" spans="1:89">
      <c r="A932" s="231" t="s">
        <v>4900</v>
      </c>
      <c r="B932" s="5">
        <v>13</v>
      </c>
      <c r="C932" s="5" t="s">
        <v>5225</v>
      </c>
      <c r="D932" s="5"/>
      <c r="E932" s="5"/>
      <c r="F932" s="5"/>
      <c r="G932" s="5"/>
      <c r="H932" s="5"/>
      <c r="I932" s="10"/>
      <c r="J932" s="10"/>
      <c r="K932" s="10"/>
      <c r="CA932" s="231"/>
      <c r="CB932" s="5"/>
      <c r="CC932" s="5"/>
      <c r="CD932" s="5"/>
      <c r="CE932" s="5"/>
      <c r="CF932" s="5"/>
      <c r="CG932" s="5"/>
      <c r="CH932" s="5"/>
      <c r="CI932" s="10"/>
      <c r="CJ932" s="10"/>
      <c r="CK932" s="10"/>
    </row>
    <row r="933" spans="1:89">
      <c r="A933" s="231" t="s">
        <v>4901</v>
      </c>
      <c r="B933" s="5">
        <v>13</v>
      </c>
      <c r="C933" s="5" t="s">
        <v>5225</v>
      </c>
      <c r="D933" s="5"/>
      <c r="E933" s="5"/>
      <c r="F933" s="5"/>
      <c r="G933" s="5"/>
      <c r="H933" s="5"/>
      <c r="I933" s="10"/>
      <c r="J933" s="10"/>
      <c r="K933" s="10"/>
      <c r="CA933" s="231"/>
      <c r="CB933" s="5"/>
      <c r="CC933" s="5"/>
      <c r="CD933" s="5"/>
      <c r="CE933" s="5"/>
      <c r="CF933" s="5"/>
      <c r="CG933" s="5"/>
      <c r="CH933" s="5"/>
      <c r="CI933" s="10"/>
      <c r="CJ933" s="10"/>
      <c r="CK933" s="10"/>
    </row>
    <row r="934" spans="1:89">
      <c r="A934" s="231" t="s">
        <v>4902</v>
      </c>
      <c r="B934" s="5">
        <v>14</v>
      </c>
      <c r="C934" s="5" t="s">
        <v>5227</v>
      </c>
      <c r="D934" s="5"/>
      <c r="E934" s="5"/>
      <c r="F934" s="5"/>
      <c r="G934" s="5"/>
      <c r="H934" s="5"/>
      <c r="I934" s="10"/>
      <c r="J934" s="10"/>
      <c r="K934" s="10"/>
      <c r="CA934" s="231"/>
      <c r="CB934" s="5"/>
      <c r="CC934" s="5"/>
      <c r="CD934" s="5"/>
      <c r="CE934" s="5"/>
      <c r="CF934" s="5"/>
      <c r="CG934" s="5"/>
      <c r="CH934" s="5"/>
      <c r="CI934" s="10"/>
      <c r="CJ934" s="10"/>
      <c r="CK934" s="10"/>
    </row>
    <row r="935" spans="1:89">
      <c r="A935" s="231" t="s">
        <v>4606</v>
      </c>
      <c r="B935" s="5">
        <v>14</v>
      </c>
      <c r="C935" s="5" t="s">
        <v>5225</v>
      </c>
      <c r="D935" s="5"/>
      <c r="E935" s="5"/>
      <c r="F935" s="5"/>
      <c r="G935" s="5"/>
      <c r="H935" s="5"/>
      <c r="I935" s="10"/>
      <c r="J935" s="10"/>
      <c r="K935" s="10"/>
      <c r="CA935" s="231"/>
      <c r="CB935" s="5"/>
      <c r="CC935" s="5"/>
      <c r="CD935" s="5"/>
      <c r="CE935" s="5"/>
      <c r="CF935" s="5"/>
      <c r="CG935" s="5"/>
      <c r="CH935" s="5"/>
      <c r="CI935" s="10"/>
      <c r="CJ935" s="10"/>
      <c r="CK935" s="10"/>
    </row>
    <row r="936" spans="1:89">
      <c r="A936" s="231" t="s">
        <v>4607</v>
      </c>
      <c r="B936" s="5">
        <v>15</v>
      </c>
      <c r="C936" s="5" t="s">
        <v>5227</v>
      </c>
      <c r="D936" s="5"/>
      <c r="E936" s="5"/>
      <c r="F936" s="5"/>
      <c r="G936" s="5"/>
      <c r="H936" s="5"/>
      <c r="I936" s="10"/>
      <c r="J936" s="10"/>
      <c r="K936" s="10"/>
      <c r="CA936" s="231"/>
      <c r="CB936" s="5"/>
      <c r="CC936" s="5"/>
      <c r="CD936" s="5"/>
      <c r="CE936" s="5"/>
      <c r="CF936" s="5"/>
      <c r="CG936" s="5"/>
      <c r="CH936" s="5"/>
      <c r="CI936" s="10"/>
      <c r="CJ936" s="10"/>
      <c r="CK936" s="10"/>
    </row>
    <row r="937" spans="1:89">
      <c r="A937" s="231" t="s">
        <v>4608</v>
      </c>
      <c r="B937" s="5">
        <v>15</v>
      </c>
      <c r="C937" s="5" t="s">
        <v>5227</v>
      </c>
      <c r="D937" s="5"/>
      <c r="E937" s="5"/>
      <c r="F937" s="5"/>
      <c r="G937" s="5"/>
      <c r="H937" s="5"/>
      <c r="I937" s="10"/>
      <c r="J937" s="10"/>
      <c r="K937" s="10"/>
      <c r="CA937" s="231"/>
      <c r="CB937" s="5"/>
      <c r="CC937" s="5"/>
      <c r="CD937" s="5"/>
      <c r="CE937" s="5"/>
      <c r="CF937" s="5"/>
      <c r="CG937" s="5"/>
      <c r="CH937" s="5"/>
      <c r="CI937" s="10"/>
      <c r="CJ937" s="10"/>
      <c r="CK937" s="10"/>
    </row>
    <row r="938" spans="1:89">
      <c r="A938" s="231"/>
      <c r="B938" s="5"/>
      <c r="C938" s="5"/>
      <c r="D938" s="5"/>
      <c r="E938" s="5"/>
      <c r="F938" s="5"/>
      <c r="G938" s="5"/>
      <c r="H938" s="5"/>
      <c r="I938" s="10"/>
      <c r="J938" s="10"/>
      <c r="K938" s="10"/>
      <c r="CA938" s="231"/>
      <c r="CB938" s="5"/>
      <c r="CC938" s="5"/>
      <c r="CD938" s="5"/>
      <c r="CE938" s="5"/>
      <c r="CF938" s="5"/>
      <c r="CG938" s="5"/>
      <c r="CH938" s="5"/>
      <c r="CI938" s="10"/>
      <c r="CJ938" s="10"/>
      <c r="CK938" s="10"/>
    </row>
    <row r="939" spans="1:89">
      <c r="A939" s="4" t="s">
        <v>4750</v>
      </c>
      <c r="B939" s="1" t="s">
        <v>4751</v>
      </c>
      <c r="C939" s="1" t="s">
        <v>4752</v>
      </c>
      <c r="D939" s="1" t="s">
        <v>4753</v>
      </c>
      <c r="E939" s="1" t="s">
        <v>4754</v>
      </c>
      <c r="F939" s="1" t="s">
        <v>5087</v>
      </c>
      <c r="G939" s="1" t="s">
        <v>5354</v>
      </c>
      <c r="H939" s="1" t="s">
        <v>4914</v>
      </c>
      <c r="CA939" s="4"/>
      <c r="CB939" s="1"/>
      <c r="CC939" s="1"/>
      <c r="CD939" s="1"/>
      <c r="CE939" s="1"/>
      <c r="CF939" s="1"/>
      <c r="CG939" s="1"/>
      <c r="CH939" s="1"/>
    </row>
    <row r="940" spans="1:89">
      <c r="A940" s="5">
        <v>4</v>
      </c>
      <c r="B940" s="231"/>
      <c r="C940" s="231"/>
      <c r="D940" s="231"/>
      <c r="E940" s="231"/>
      <c r="F940" s="231"/>
      <c r="G940" s="231"/>
      <c r="H940" s="231" t="s">
        <v>4609</v>
      </c>
      <c r="Q940" s="10"/>
      <c r="S940" s="10"/>
      <c r="T940" s="10"/>
      <c r="U940" s="92"/>
      <c r="V940" s="10"/>
      <c r="W940" s="49"/>
      <c r="X940" s="49"/>
      <c r="CA940" s="5"/>
      <c r="CB940" s="231"/>
      <c r="CC940" s="231"/>
      <c r="CD940" s="231"/>
      <c r="CE940" s="231"/>
      <c r="CF940" s="231"/>
      <c r="CG940" s="231"/>
      <c r="CH940" s="231"/>
    </row>
    <row r="941" spans="1:89">
      <c r="A941" s="5">
        <v>5</v>
      </c>
      <c r="B941" s="231"/>
      <c r="C941" s="231"/>
      <c r="D941" s="231">
        <v>1</v>
      </c>
      <c r="E941" s="231"/>
      <c r="F941" s="231"/>
      <c r="G941" s="231"/>
      <c r="H941" s="231" t="s">
        <v>4610</v>
      </c>
      <c r="Q941" s="10"/>
      <c r="S941" s="10"/>
      <c r="T941" s="10"/>
      <c r="U941" s="92"/>
      <c r="V941" s="10"/>
      <c r="W941" s="49"/>
      <c r="X941" s="49"/>
      <c r="CA941" s="5"/>
      <c r="CB941" s="231"/>
      <c r="CC941" s="231"/>
      <c r="CD941" s="231"/>
      <c r="CE941" s="231"/>
      <c r="CF941" s="231"/>
      <c r="CG941" s="231"/>
      <c r="CH941" s="231"/>
    </row>
    <row r="942" spans="1:89">
      <c r="A942" s="5">
        <v>6</v>
      </c>
      <c r="B942" s="231"/>
      <c r="C942" s="231"/>
      <c r="D942" s="231"/>
      <c r="E942" s="231"/>
      <c r="F942" s="231"/>
      <c r="G942" s="231"/>
      <c r="H942" s="231" t="s">
        <v>4611</v>
      </c>
      <c r="Q942" s="10"/>
      <c r="S942" s="10"/>
      <c r="T942" s="10"/>
      <c r="U942" s="92"/>
      <c r="V942" s="10"/>
      <c r="W942" s="49"/>
      <c r="X942" s="49"/>
      <c r="CA942" s="5"/>
      <c r="CB942" s="231"/>
      <c r="CC942" s="231"/>
      <c r="CD942" s="231"/>
      <c r="CE942" s="231"/>
      <c r="CF942" s="231"/>
      <c r="CG942" s="231"/>
      <c r="CH942" s="231"/>
    </row>
    <row r="943" spans="1:89">
      <c r="A943" s="5">
        <v>7</v>
      </c>
      <c r="B943" s="231"/>
      <c r="C943" s="231">
        <v>1</v>
      </c>
      <c r="D943" s="231"/>
      <c r="E943" s="231"/>
      <c r="F943" s="231"/>
      <c r="G943" s="231"/>
      <c r="H943" s="231" t="s">
        <v>4610</v>
      </c>
      <c r="Q943" s="10"/>
      <c r="S943" s="10"/>
      <c r="T943" s="10"/>
      <c r="U943" s="92"/>
      <c r="V943" s="10"/>
      <c r="W943" s="49"/>
      <c r="X943" s="49"/>
      <c r="CA943" s="5"/>
      <c r="CB943" s="231"/>
      <c r="CC943" s="231"/>
      <c r="CD943" s="231"/>
      <c r="CE943" s="231"/>
      <c r="CF943" s="231"/>
      <c r="CG943" s="231"/>
      <c r="CH943" s="231"/>
    </row>
    <row r="944" spans="1:89">
      <c r="A944" s="5">
        <v>8</v>
      </c>
      <c r="B944" s="231"/>
      <c r="C944" s="231"/>
      <c r="D944" s="231"/>
      <c r="E944" s="231"/>
      <c r="F944" s="231"/>
      <c r="G944" s="231"/>
      <c r="H944" s="231" t="s">
        <v>4612</v>
      </c>
      <c r="Q944" s="10"/>
      <c r="S944" s="10"/>
      <c r="T944" s="10"/>
      <c r="U944" s="92"/>
      <c r="V944" s="10"/>
      <c r="W944" s="49"/>
      <c r="X944" s="49"/>
      <c r="CA944" s="5"/>
      <c r="CB944" s="231"/>
      <c r="CC944" s="231"/>
      <c r="CD944" s="231"/>
      <c r="CE944" s="231"/>
      <c r="CF944" s="231"/>
      <c r="CG944" s="231"/>
      <c r="CH944" s="231"/>
    </row>
    <row r="945" spans="1:89">
      <c r="A945" s="5">
        <v>9</v>
      </c>
      <c r="B945" s="231"/>
      <c r="C945" s="231"/>
      <c r="D945" s="231"/>
      <c r="E945" s="231"/>
      <c r="F945" s="231">
        <v>2</v>
      </c>
      <c r="G945" s="231"/>
      <c r="H945" s="231" t="s">
        <v>4610</v>
      </c>
      <c r="Q945" s="10"/>
      <c r="S945" s="10"/>
      <c r="T945" s="10"/>
      <c r="U945" s="92"/>
      <c r="V945" s="10"/>
      <c r="W945" s="49"/>
      <c r="X945" s="49"/>
      <c r="CA945" s="5"/>
      <c r="CB945" s="231"/>
      <c r="CC945" s="231"/>
      <c r="CD945" s="231"/>
      <c r="CE945" s="231"/>
      <c r="CF945" s="231"/>
      <c r="CG945" s="231"/>
      <c r="CH945" s="231"/>
    </row>
    <row r="946" spans="1:89">
      <c r="A946" s="5">
        <v>10</v>
      </c>
      <c r="B946" s="231"/>
      <c r="C946" s="231"/>
      <c r="D946" s="231"/>
      <c r="E946" s="231">
        <v>2</v>
      </c>
      <c r="F946" s="231"/>
      <c r="G946" s="231"/>
      <c r="H946" s="231" t="s">
        <v>4610</v>
      </c>
      <c r="Q946" s="10"/>
      <c r="S946" s="10"/>
      <c r="T946" s="10"/>
      <c r="U946" s="92"/>
      <c r="V946" s="10"/>
      <c r="W946" s="49"/>
      <c r="X946" s="49"/>
      <c r="CA946" s="5"/>
      <c r="CB946" s="231"/>
      <c r="CC946" s="231"/>
      <c r="CD946" s="231"/>
      <c r="CE946" s="231"/>
      <c r="CF946" s="231"/>
      <c r="CG946" s="231"/>
      <c r="CH946" s="231"/>
    </row>
    <row r="947" spans="1:89">
      <c r="A947" s="5">
        <v>11</v>
      </c>
      <c r="B947" s="231"/>
      <c r="C947" s="231">
        <v>2</v>
      </c>
      <c r="D947" s="231"/>
      <c r="E947" s="231"/>
      <c r="F947" s="231"/>
      <c r="G947" s="231"/>
      <c r="H947" s="231" t="s">
        <v>4610</v>
      </c>
      <c r="Q947" s="10"/>
      <c r="S947" s="10"/>
      <c r="T947" s="10"/>
      <c r="U947" s="92"/>
      <c r="V947" s="10"/>
      <c r="W947" s="49"/>
      <c r="X947" s="49"/>
      <c r="CA947" s="5"/>
      <c r="CB947" s="231"/>
      <c r="CC947" s="231"/>
      <c r="CD947" s="231"/>
      <c r="CE947" s="231"/>
      <c r="CF947" s="231"/>
      <c r="CG947" s="231"/>
      <c r="CH947" s="231"/>
    </row>
    <row r="948" spans="1:89">
      <c r="A948" s="5">
        <v>12</v>
      </c>
      <c r="B948" s="231"/>
      <c r="C948" s="231"/>
      <c r="D948" s="231"/>
      <c r="E948" s="231"/>
      <c r="F948" s="231"/>
      <c r="G948" s="231"/>
      <c r="H948" s="231" t="s">
        <v>4756</v>
      </c>
      <c r="Q948" s="10"/>
      <c r="S948" s="10"/>
      <c r="T948" s="10"/>
      <c r="U948" s="92"/>
      <c r="V948" s="10"/>
      <c r="W948" s="49"/>
      <c r="X948" s="49"/>
      <c r="CA948" s="5"/>
      <c r="CB948" s="231"/>
      <c r="CC948" s="231"/>
      <c r="CD948" s="231"/>
      <c r="CE948" s="231"/>
      <c r="CF948" s="231"/>
      <c r="CG948" s="231"/>
      <c r="CH948" s="231"/>
    </row>
    <row r="949" spans="1:89">
      <c r="A949" s="5">
        <v>13</v>
      </c>
      <c r="B949" s="231"/>
      <c r="C949" s="231"/>
      <c r="D949" s="231"/>
      <c r="E949" s="231"/>
      <c r="F949" s="231"/>
      <c r="G949" s="231"/>
      <c r="H949" s="231" t="s">
        <v>4757</v>
      </c>
      <c r="Q949" s="10"/>
      <c r="S949" s="10"/>
      <c r="T949" s="10"/>
      <c r="U949" s="92"/>
      <c r="V949" s="10"/>
      <c r="W949" s="49"/>
      <c r="X949" s="49"/>
      <c r="CA949" s="5"/>
      <c r="CB949" s="231"/>
      <c r="CC949" s="231"/>
      <c r="CD949" s="231"/>
      <c r="CE949" s="231"/>
      <c r="CF949" s="231"/>
      <c r="CG949" s="231"/>
      <c r="CH949" s="231"/>
    </row>
    <row r="950" spans="1:89">
      <c r="A950" s="5">
        <v>14</v>
      </c>
      <c r="B950" s="231"/>
      <c r="C950" s="231"/>
      <c r="D950" s="231"/>
      <c r="E950" s="231">
        <v>3</v>
      </c>
      <c r="F950" s="231"/>
      <c r="G950" s="231"/>
      <c r="H950" s="231" t="s">
        <v>4610</v>
      </c>
      <c r="Q950" s="10"/>
      <c r="S950" s="10"/>
      <c r="T950" s="10"/>
      <c r="U950" s="10"/>
      <c r="V950" s="10"/>
      <c r="W950" s="49"/>
      <c r="X950" s="49"/>
      <c r="CA950" s="5"/>
      <c r="CB950" s="231"/>
      <c r="CC950" s="231"/>
      <c r="CD950" s="231"/>
      <c r="CE950" s="231"/>
      <c r="CF950" s="231"/>
      <c r="CG950" s="231"/>
      <c r="CH950" s="231"/>
    </row>
    <row r="951" spans="1:89">
      <c r="A951" s="5">
        <v>15</v>
      </c>
      <c r="B951" s="231"/>
      <c r="C951" s="231"/>
      <c r="D951" s="231">
        <v>2</v>
      </c>
      <c r="E951" s="231"/>
      <c r="F951" s="231"/>
      <c r="G951" s="231">
        <v>25</v>
      </c>
      <c r="H951" s="231" t="s">
        <v>4610</v>
      </c>
      <c r="Q951" s="10"/>
      <c r="S951" s="10"/>
      <c r="T951" s="10"/>
      <c r="U951" s="10"/>
      <c r="V951" s="10"/>
      <c r="W951" s="49"/>
      <c r="X951" s="49"/>
      <c r="CA951" s="5"/>
      <c r="CB951" s="231"/>
      <c r="CC951" s="231"/>
      <c r="CD951" s="231"/>
      <c r="CE951" s="231"/>
      <c r="CF951" s="231"/>
      <c r="CG951" s="231"/>
      <c r="CH951" s="231"/>
    </row>
    <row r="952" spans="1:89" ht="14" thickBot="1">
      <c r="A952" s="231"/>
      <c r="B952" s="5"/>
      <c r="C952" s="5"/>
      <c r="D952" s="5"/>
      <c r="E952" s="5"/>
      <c r="F952" s="5"/>
      <c r="G952" s="5"/>
      <c r="H952" s="5"/>
      <c r="Q952" s="10"/>
      <c r="S952" s="10"/>
      <c r="T952" s="10"/>
      <c r="U952" s="10"/>
      <c r="V952" s="10"/>
      <c r="W952" s="49"/>
      <c r="X952" s="49"/>
      <c r="CA952" s="231"/>
      <c r="CB952" s="231"/>
      <c r="CC952" s="231"/>
      <c r="CD952" s="231"/>
      <c r="CE952" s="231"/>
      <c r="CF952" s="231"/>
      <c r="CG952" s="231"/>
      <c r="CH952" s="231"/>
    </row>
    <row r="953" spans="1:89" ht="15" thickTop="1" thickBot="1">
      <c r="A953" s="8">
        <v>7</v>
      </c>
      <c r="B953" s="8">
        <v>6</v>
      </c>
      <c r="C953" s="5"/>
      <c r="D953" s="5"/>
      <c r="E953" s="5"/>
      <c r="F953" s="5"/>
      <c r="G953" s="5"/>
      <c r="H953" s="5"/>
      <c r="I953" s="10"/>
      <c r="J953" s="10"/>
      <c r="K953" s="10"/>
      <c r="Q953" s="10"/>
      <c r="S953" s="10"/>
      <c r="T953" s="10"/>
      <c r="U953" s="92"/>
      <c r="V953" s="10"/>
      <c r="W953" s="49"/>
      <c r="X953" s="49"/>
      <c r="CA953" s="8"/>
      <c r="CB953" s="8"/>
      <c r="CC953" s="5"/>
      <c r="CD953" s="5"/>
      <c r="CE953" s="5"/>
      <c r="CF953" s="5"/>
      <c r="CG953" s="5"/>
      <c r="CH953" s="5"/>
      <c r="CI953" s="10"/>
      <c r="CJ953" s="10"/>
      <c r="CK953" s="10"/>
    </row>
    <row r="954" spans="1:89">
      <c r="A954" s="231"/>
      <c r="B954" s="5"/>
      <c r="C954" s="5"/>
      <c r="D954" s="5"/>
      <c r="E954" s="5"/>
      <c r="F954" s="5"/>
      <c r="G954" s="5"/>
      <c r="H954" s="5"/>
      <c r="I954" s="10"/>
      <c r="J954" s="10"/>
      <c r="K954" s="10"/>
      <c r="Q954" s="10"/>
      <c r="S954" s="10"/>
      <c r="T954" s="10"/>
      <c r="U954" s="10"/>
      <c r="V954" s="10"/>
      <c r="W954" s="49"/>
      <c r="X954" s="49"/>
      <c r="CA954" s="231"/>
      <c r="CB954" s="5"/>
      <c r="CC954" s="5"/>
      <c r="CD954" s="5"/>
      <c r="CE954" s="5"/>
      <c r="CF954" s="5"/>
      <c r="CG954" s="5"/>
      <c r="CH954" s="5"/>
      <c r="CI954" s="10"/>
      <c r="CJ954" s="10"/>
      <c r="CK954" s="10"/>
    </row>
    <row r="955" spans="1:89">
      <c r="A955" s="231"/>
      <c r="B955" s="5"/>
      <c r="C955" s="5"/>
      <c r="D955" s="5"/>
      <c r="E955" s="5"/>
      <c r="F955" s="5"/>
      <c r="G955" s="5"/>
      <c r="H955" s="5"/>
      <c r="Q955" s="10"/>
      <c r="S955" s="10"/>
      <c r="T955" s="10"/>
      <c r="U955" s="92"/>
      <c r="V955" s="10"/>
      <c r="W955" s="49"/>
      <c r="X955" s="49"/>
      <c r="CA955" s="231"/>
      <c r="CB955" s="5"/>
      <c r="CC955" s="5"/>
      <c r="CD955" s="5"/>
      <c r="CE955" s="5"/>
      <c r="CF955" s="5"/>
      <c r="CG955" s="5"/>
      <c r="CH955" s="5"/>
    </row>
    <row r="956" spans="1:89">
      <c r="A956" s="231"/>
      <c r="B956" s="5"/>
      <c r="C956" s="5"/>
      <c r="D956" s="5"/>
      <c r="E956" s="5"/>
      <c r="F956" s="5"/>
      <c r="G956" s="5"/>
      <c r="H956" s="5"/>
      <c r="Q956" s="10"/>
      <c r="S956" s="10"/>
      <c r="T956" s="10"/>
      <c r="U956" s="92"/>
      <c r="V956" s="10"/>
      <c r="W956" s="49"/>
      <c r="X956" s="49"/>
      <c r="CA956" s="231"/>
      <c r="CB956" s="5"/>
      <c r="CC956" s="5"/>
      <c r="CD956" s="5"/>
      <c r="CE956" s="5"/>
      <c r="CF956" s="5"/>
      <c r="CG956" s="5"/>
      <c r="CH956" s="5"/>
    </row>
    <row r="957" spans="1:89">
      <c r="A957" s="231"/>
      <c r="B957" s="5"/>
      <c r="C957" s="5"/>
      <c r="D957" s="5"/>
      <c r="E957" s="5"/>
      <c r="F957" s="5"/>
      <c r="G957" s="5"/>
      <c r="H957" s="5"/>
      <c r="Q957" s="10"/>
      <c r="S957" s="10"/>
      <c r="T957" s="10"/>
      <c r="U957" s="92"/>
      <c r="V957" s="10"/>
      <c r="W957" s="49"/>
      <c r="X957" s="49"/>
      <c r="CA957" s="231"/>
      <c r="CB957" s="5"/>
      <c r="CC957" s="5"/>
      <c r="CD957" s="5"/>
      <c r="CE957" s="5"/>
      <c r="CF957" s="5"/>
      <c r="CG957" s="5"/>
      <c r="CH957" s="5"/>
    </row>
    <row r="958" spans="1:89">
      <c r="A958" s="231"/>
      <c r="B958" s="5"/>
      <c r="C958" s="5"/>
      <c r="D958" s="5"/>
      <c r="E958" s="5"/>
      <c r="F958" s="5"/>
      <c r="G958" s="5"/>
      <c r="H958" s="5"/>
      <c r="Q958" s="10"/>
      <c r="S958" s="10"/>
      <c r="T958" s="10"/>
      <c r="U958" s="92"/>
      <c r="V958" s="10"/>
      <c r="W958" s="49"/>
      <c r="X958" s="49"/>
      <c r="CA958" s="231"/>
      <c r="CB958" s="5"/>
      <c r="CC958" s="5"/>
      <c r="CD958" s="5"/>
      <c r="CE958" s="5"/>
      <c r="CF958" s="5"/>
      <c r="CG958" s="5"/>
      <c r="CH958" s="5"/>
    </row>
    <row r="959" spans="1:89">
      <c r="A959" s="4"/>
      <c r="B959" s="1"/>
      <c r="C959" s="1"/>
      <c r="D959" s="1"/>
      <c r="E959" s="1"/>
      <c r="F959" s="1"/>
      <c r="G959" s="1"/>
      <c r="H959" s="1"/>
      <c r="Q959" s="10"/>
      <c r="S959" s="10"/>
      <c r="T959" s="10"/>
      <c r="U959" s="92"/>
      <c r="V959" s="10"/>
      <c r="W959" s="49"/>
      <c r="X959" s="49"/>
      <c r="CA959" s="4"/>
      <c r="CB959" s="1"/>
      <c r="CC959" s="1"/>
      <c r="CD959" s="1"/>
      <c r="CE959" s="1"/>
      <c r="CF959" s="1"/>
      <c r="CG959" s="1"/>
      <c r="CH959" s="1"/>
    </row>
    <row r="960" spans="1:89">
      <c r="A960" s="4" t="s">
        <v>5444</v>
      </c>
      <c r="B960" s="1" t="s">
        <v>5353</v>
      </c>
      <c r="C960" s="1" t="s">
        <v>5576</v>
      </c>
      <c r="D960" s="1" t="s">
        <v>5348</v>
      </c>
      <c r="E960" s="1" t="s">
        <v>5593</v>
      </c>
      <c r="F960" s="1" t="s">
        <v>5153</v>
      </c>
      <c r="G960" s="1" t="s">
        <v>5445</v>
      </c>
      <c r="H960" s="231"/>
      <c r="Q960" s="10"/>
      <c r="S960" s="10"/>
      <c r="T960" s="10"/>
      <c r="U960" s="92"/>
      <c r="V960" s="10"/>
      <c r="W960" s="49"/>
      <c r="X960" s="49"/>
      <c r="CA960" s="4"/>
      <c r="CB960" s="1"/>
      <c r="CC960" s="1"/>
      <c r="CD960" s="1"/>
      <c r="CE960" s="1"/>
      <c r="CF960" s="1"/>
      <c r="CG960" s="1"/>
      <c r="CH960" s="231"/>
    </row>
    <row r="961" spans="1:89" s="89" customFormat="1">
      <c r="A961" s="42" t="s">
        <v>4758</v>
      </c>
      <c r="B961" s="42" t="s">
        <v>4759</v>
      </c>
      <c r="C961" s="42" t="s">
        <v>4829</v>
      </c>
      <c r="D961" s="43">
        <v>3</v>
      </c>
      <c r="E961" s="43">
        <v>100</v>
      </c>
      <c r="F961" s="43">
        <v>3</v>
      </c>
      <c r="G961" s="42" t="s">
        <v>4760</v>
      </c>
      <c r="H961" s="231"/>
      <c r="I961" s="9"/>
      <c r="J961" s="9"/>
      <c r="K961" s="9"/>
      <c r="L961" s="9"/>
      <c r="M961" s="9"/>
      <c r="N961" s="9"/>
      <c r="O961" s="9"/>
      <c r="P961" s="9"/>
      <c r="Q961" s="10"/>
      <c r="R961" s="9"/>
      <c r="S961" s="10"/>
      <c r="T961" s="10"/>
      <c r="U961" s="10"/>
      <c r="V961" s="10"/>
      <c r="W961" s="49"/>
      <c r="X961" s="4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  <c r="AU961" s="9"/>
      <c r="AV961" s="9"/>
      <c r="AW961" s="9"/>
      <c r="AX961" s="9"/>
      <c r="AY961" s="9"/>
      <c r="AZ961" s="9"/>
      <c r="BA961" s="9"/>
      <c r="BB961" s="9"/>
      <c r="BC961" s="9"/>
      <c r="BD961" s="9"/>
      <c r="BE961" s="9"/>
      <c r="BF961" s="9"/>
      <c r="BG961" s="9"/>
      <c r="BH961" s="9"/>
      <c r="BI961" s="9"/>
      <c r="BJ961" s="9"/>
      <c r="BK961" s="9"/>
      <c r="BL961" s="9"/>
      <c r="BM961" s="9"/>
      <c r="BN961" s="9"/>
      <c r="BO961" s="9"/>
      <c r="BP961" s="9"/>
      <c r="BQ961" s="9"/>
      <c r="BR961" s="9"/>
      <c r="BS961" s="9"/>
      <c r="BT961" s="9"/>
      <c r="BU961" s="9"/>
      <c r="BV961" s="9"/>
      <c r="BW961" s="9"/>
      <c r="BX961" s="9"/>
      <c r="BY961" s="9"/>
      <c r="BZ961" s="9"/>
      <c r="CA961" s="42"/>
      <c r="CB961" s="42"/>
      <c r="CC961" s="42"/>
      <c r="CD961" s="43"/>
      <c r="CE961" s="43"/>
      <c r="CF961" s="43"/>
      <c r="CG961" s="42"/>
      <c r="CH961" s="231"/>
      <c r="CI961" s="9"/>
      <c r="CJ961" s="9"/>
      <c r="CK961" s="9"/>
    </row>
    <row r="962" spans="1:89" s="89" customFormat="1">
      <c r="A962" s="42" t="s">
        <v>4761</v>
      </c>
      <c r="B962" s="42" t="s">
        <v>5357</v>
      </c>
      <c r="C962" s="42" t="s">
        <v>5228</v>
      </c>
      <c r="D962" s="43">
        <v>4</v>
      </c>
      <c r="E962" s="43">
        <v>100</v>
      </c>
      <c r="F962" s="50" t="s">
        <v>4762</v>
      </c>
      <c r="G962" s="42" t="s">
        <v>4755</v>
      </c>
      <c r="H962" s="231"/>
      <c r="I962" s="9"/>
      <c r="J962" s="9"/>
      <c r="K962" s="9"/>
      <c r="L962" s="9"/>
      <c r="M962" s="9"/>
      <c r="N962" s="9"/>
      <c r="O962" s="9"/>
      <c r="P962" s="9"/>
      <c r="Q962" s="10"/>
      <c r="R962" s="9"/>
      <c r="S962" s="10"/>
      <c r="T962" s="10"/>
      <c r="U962" s="92"/>
      <c r="V962" s="10"/>
      <c r="W962" s="49"/>
      <c r="X962" s="4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  <c r="BA962" s="9"/>
      <c r="BB962" s="9"/>
      <c r="BC962" s="9"/>
      <c r="BD962" s="9"/>
      <c r="BE962" s="9"/>
      <c r="BF962" s="9"/>
      <c r="BG962" s="9"/>
      <c r="BH962" s="9"/>
      <c r="BI962" s="9"/>
      <c r="BJ962" s="9"/>
      <c r="BK962" s="9"/>
      <c r="BL962" s="9"/>
      <c r="BM962" s="9"/>
      <c r="BN962" s="9"/>
      <c r="BO962" s="9"/>
      <c r="BP962" s="9"/>
      <c r="BQ962" s="9"/>
      <c r="BR962" s="9"/>
      <c r="BS962" s="9"/>
      <c r="BT962" s="9"/>
      <c r="BU962" s="9"/>
      <c r="BV962" s="9"/>
      <c r="BW962" s="9"/>
      <c r="BX962" s="9"/>
      <c r="BY962" s="9"/>
      <c r="BZ962" s="9"/>
      <c r="CA962" s="42"/>
      <c r="CB962" s="42"/>
      <c r="CC962" s="42"/>
      <c r="CD962" s="43"/>
      <c r="CE962" s="43"/>
      <c r="CF962" s="43"/>
      <c r="CG962" s="42"/>
      <c r="CH962" s="231"/>
      <c r="CI962" s="9"/>
      <c r="CJ962" s="9"/>
      <c r="CK962" s="9"/>
    </row>
    <row r="963" spans="1:89" s="89" customFormat="1">
      <c r="A963" s="42" t="s">
        <v>4924</v>
      </c>
      <c r="B963" s="42" t="s">
        <v>5357</v>
      </c>
      <c r="C963" s="42" t="s">
        <v>5436</v>
      </c>
      <c r="D963" s="43">
        <v>5</v>
      </c>
      <c r="E963" s="43">
        <v>100</v>
      </c>
      <c r="F963" s="43">
        <v>0</v>
      </c>
      <c r="G963" s="42" t="s">
        <v>4925</v>
      </c>
      <c r="H963" s="231"/>
      <c r="I963" s="9"/>
      <c r="J963" s="9"/>
      <c r="K963" s="9"/>
      <c r="L963" s="9"/>
      <c r="M963" s="9"/>
      <c r="N963" s="9"/>
      <c r="O963" s="9"/>
      <c r="P963" s="9"/>
      <c r="Q963" s="10"/>
      <c r="R963" s="9"/>
      <c r="S963" s="10"/>
      <c r="T963" s="10"/>
      <c r="U963" s="10"/>
      <c r="V963" s="10"/>
      <c r="W963" s="49"/>
      <c r="X963" s="4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9"/>
      <c r="BB963" s="9"/>
      <c r="BC963" s="9"/>
      <c r="BD963" s="9"/>
      <c r="BE963" s="9"/>
      <c r="BF963" s="9"/>
      <c r="BG963" s="9"/>
      <c r="BH963" s="9"/>
      <c r="BI963" s="9"/>
      <c r="BJ963" s="9"/>
      <c r="BK963" s="9"/>
      <c r="BL963" s="9"/>
      <c r="BM963" s="9"/>
      <c r="BN963" s="9"/>
      <c r="BO963" s="9"/>
      <c r="BP963" s="9"/>
      <c r="BQ963" s="9"/>
      <c r="BR963" s="9"/>
      <c r="BS963" s="9"/>
      <c r="BT963" s="9"/>
      <c r="BU963" s="9"/>
      <c r="BV963" s="9"/>
      <c r="BW963" s="9"/>
      <c r="BX963" s="9"/>
      <c r="BY963" s="9"/>
      <c r="BZ963" s="9"/>
      <c r="CA963" s="42"/>
      <c r="CB963" s="42"/>
      <c r="CC963" s="42"/>
      <c r="CD963" s="43"/>
      <c r="CE963" s="43"/>
      <c r="CF963" s="43"/>
      <c r="CG963" s="42"/>
      <c r="CH963" s="231"/>
      <c r="CI963" s="9"/>
      <c r="CJ963" s="9"/>
      <c r="CK963" s="9"/>
    </row>
    <row r="964" spans="1:89" s="89" customFormat="1">
      <c r="A964" s="42" t="s">
        <v>4926</v>
      </c>
      <c r="B964" s="42" t="s">
        <v>4759</v>
      </c>
      <c r="C964" s="42" t="s">
        <v>4829</v>
      </c>
      <c r="D964" s="43">
        <v>5</v>
      </c>
      <c r="E964" s="43">
        <v>100</v>
      </c>
      <c r="F964" s="43">
        <v>2</v>
      </c>
      <c r="G964" s="42" t="s">
        <v>4927</v>
      </c>
      <c r="H964" s="231"/>
      <c r="I964" s="9"/>
      <c r="J964" s="9"/>
      <c r="K964" s="9"/>
      <c r="L964" s="9"/>
      <c r="M964" s="9"/>
      <c r="N964" s="9"/>
      <c r="O964" s="9"/>
      <c r="P964" s="9"/>
      <c r="Q964" s="10"/>
      <c r="R964" s="9"/>
      <c r="S964" s="10"/>
      <c r="T964" s="10"/>
      <c r="U964" s="10"/>
      <c r="V964" s="10"/>
      <c r="W964" s="49"/>
      <c r="X964" s="4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  <c r="BA964" s="9"/>
      <c r="BB964" s="9"/>
      <c r="BC964" s="9"/>
      <c r="BD964" s="9"/>
      <c r="BE964" s="9"/>
      <c r="BF964" s="9"/>
      <c r="BG964" s="9"/>
      <c r="BH964" s="9"/>
      <c r="BI964" s="9"/>
      <c r="BJ964" s="9"/>
      <c r="BK964" s="9"/>
      <c r="BL964" s="9"/>
      <c r="BM964" s="9"/>
      <c r="BN964" s="9"/>
      <c r="BO964" s="9"/>
      <c r="BP964" s="9"/>
      <c r="BQ964" s="9"/>
      <c r="BR964" s="9"/>
      <c r="BS964" s="9"/>
      <c r="BT964" s="9"/>
      <c r="BU964" s="9"/>
      <c r="BV964" s="9"/>
      <c r="BW964" s="9"/>
      <c r="BX964" s="9"/>
      <c r="BY964" s="9"/>
      <c r="BZ964" s="9"/>
      <c r="CA964" s="42"/>
      <c r="CB964" s="42"/>
      <c r="CC964" s="42"/>
      <c r="CD964" s="43"/>
      <c r="CE964" s="43"/>
      <c r="CF964" s="43"/>
      <c r="CG964" s="42"/>
      <c r="CH964" s="231"/>
      <c r="CI964" s="9"/>
      <c r="CJ964" s="9"/>
      <c r="CK964" s="9"/>
    </row>
    <row r="965" spans="1:89" s="89" customFormat="1">
      <c r="A965" s="42" t="s">
        <v>4928</v>
      </c>
      <c r="B965" s="42" t="s">
        <v>4759</v>
      </c>
      <c r="C965" s="42" t="s">
        <v>4829</v>
      </c>
      <c r="D965" s="43">
        <v>5</v>
      </c>
      <c r="E965" s="43">
        <v>100</v>
      </c>
      <c r="F965" s="43">
        <v>2</v>
      </c>
      <c r="G965" s="42" t="s">
        <v>5106</v>
      </c>
      <c r="H965" s="231"/>
      <c r="I965" s="9"/>
      <c r="J965" s="9"/>
      <c r="K965" s="9"/>
      <c r="L965" s="9"/>
      <c r="M965" s="9"/>
      <c r="N965" s="9"/>
      <c r="O965" s="9"/>
      <c r="P965" s="9"/>
      <c r="Q965" s="10"/>
      <c r="R965" s="9"/>
      <c r="S965" s="10"/>
      <c r="T965" s="10"/>
      <c r="U965" s="10"/>
      <c r="V965" s="10"/>
      <c r="W965" s="49"/>
      <c r="X965" s="4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9"/>
      <c r="BB965" s="9"/>
      <c r="BC965" s="9"/>
      <c r="BD965" s="9"/>
      <c r="BE965" s="9"/>
      <c r="BF965" s="9"/>
      <c r="BG965" s="9"/>
      <c r="BH965" s="9"/>
      <c r="BI965" s="9"/>
      <c r="BJ965" s="9"/>
      <c r="BK965" s="9"/>
      <c r="BL965" s="9"/>
      <c r="BM965" s="9"/>
      <c r="BN965" s="9"/>
      <c r="BO965" s="9"/>
      <c r="BP965" s="9"/>
      <c r="BQ965" s="9"/>
      <c r="BR965" s="9"/>
      <c r="BS965" s="9"/>
      <c r="BT965" s="9"/>
      <c r="BU965" s="9"/>
      <c r="BV965" s="9"/>
      <c r="BW965" s="9"/>
      <c r="BX965" s="9"/>
      <c r="BY965" s="9"/>
      <c r="BZ965" s="9"/>
      <c r="CA965" s="42"/>
      <c r="CB965" s="42"/>
      <c r="CC965" s="42"/>
      <c r="CD965" s="43"/>
      <c r="CE965" s="43"/>
      <c r="CF965" s="43"/>
      <c r="CG965" s="42"/>
      <c r="CH965" s="231"/>
      <c r="CI965" s="9"/>
      <c r="CJ965" s="9"/>
      <c r="CK965" s="9"/>
    </row>
    <row r="966" spans="1:89" s="89" customFormat="1">
      <c r="A966" s="42" t="s">
        <v>5107</v>
      </c>
      <c r="B966" s="42" t="s">
        <v>4759</v>
      </c>
      <c r="C966" s="42" t="s">
        <v>4829</v>
      </c>
      <c r="D966" s="43">
        <v>6</v>
      </c>
      <c r="E966" s="43">
        <v>100</v>
      </c>
      <c r="F966" s="43">
        <v>2</v>
      </c>
      <c r="G966" s="42" t="s">
        <v>5108</v>
      </c>
      <c r="H966" s="231"/>
      <c r="I966" s="9"/>
      <c r="J966" s="9"/>
      <c r="K966" s="9"/>
      <c r="L966" s="9"/>
      <c r="M966" s="9"/>
      <c r="N966" s="9"/>
      <c r="O966" s="9"/>
      <c r="P966" s="9"/>
      <c r="Q966" s="10"/>
      <c r="R966" s="9"/>
      <c r="S966" s="10"/>
      <c r="T966" s="10"/>
      <c r="U966" s="10"/>
      <c r="V966" s="10"/>
      <c r="W966" s="49"/>
      <c r="X966" s="4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AW966" s="9"/>
      <c r="AX966" s="9"/>
      <c r="AY966" s="9"/>
      <c r="AZ966" s="9"/>
      <c r="BA966" s="9"/>
      <c r="BB966" s="9"/>
      <c r="BC966" s="9"/>
      <c r="BD966" s="9"/>
      <c r="BE966" s="9"/>
      <c r="BF966" s="9"/>
      <c r="BG966" s="9"/>
      <c r="BH966" s="9"/>
      <c r="BI966" s="9"/>
      <c r="BJ966" s="9"/>
      <c r="BK966" s="9"/>
      <c r="BL966" s="9"/>
      <c r="BM966" s="9"/>
      <c r="BN966" s="9"/>
      <c r="BO966" s="9"/>
      <c r="BP966" s="9"/>
      <c r="BQ966" s="9"/>
      <c r="BR966" s="9"/>
      <c r="BS966" s="9"/>
      <c r="BT966" s="9"/>
      <c r="BU966" s="9"/>
      <c r="BV966" s="9"/>
      <c r="BW966" s="9"/>
      <c r="BX966" s="9"/>
      <c r="BY966" s="9"/>
      <c r="BZ966" s="9"/>
      <c r="CA966" s="42"/>
      <c r="CB966" s="42"/>
      <c r="CC966" s="42"/>
      <c r="CD966" s="43"/>
      <c r="CE966" s="43"/>
      <c r="CF966" s="43"/>
      <c r="CG966" s="42"/>
      <c r="CH966" s="231"/>
      <c r="CI966" s="9"/>
      <c r="CJ966" s="9"/>
      <c r="CK966" s="9"/>
    </row>
    <row r="967" spans="1:89" s="89" customFormat="1">
      <c r="A967" s="42" t="s">
        <v>4930</v>
      </c>
      <c r="B967" s="42" t="s">
        <v>5357</v>
      </c>
      <c r="C967" s="42" t="s">
        <v>5048</v>
      </c>
      <c r="D967" s="43">
        <v>7</v>
      </c>
      <c r="E967" s="43">
        <v>100</v>
      </c>
      <c r="F967" s="50" t="s">
        <v>4931</v>
      </c>
      <c r="G967" s="42" t="s">
        <v>4932</v>
      </c>
      <c r="H967" s="231"/>
      <c r="I967" s="9"/>
      <c r="J967" s="9"/>
      <c r="K967" s="9"/>
      <c r="L967" s="9"/>
      <c r="M967" s="9"/>
      <c r="N967" s="9"/>
      <c r="O967" s="9"/>
      <c r="P967" s="9"/>
      <c r="Q967" s="10"/>
      <c r="R967" s="9"/>
      <c r="S967" s="10"/>
      <c r="T967" s="10"/>
      <c r="U967" s="10"/>
      <c r="V967" s="10"/>
      <c r="W967" s="68"/>
      <c r="X967" s="4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9"/>
      <c r="BB967" s="9"/>
      <c r="BC967" s="9"/>
      <c r="BD967" s="9"/>
      <c r="BE967" s="9"/>
      <c r="BF967" s="9"/>
      <c r="BG967" s="9"/>
      <c r="BH967" s="9"/>
      <c r="BI967" s="9"/>
      <c r="BJ967" s="9"/>
      <c r="BK967" s="9"/>
      <c r="BL967" s="9"/>
      <c r="BM967" s="9"/>
      <c r="BN967" s="9"/>
      <c r="BO967" s="9"/>
      <c r="BP967" s="9"/>
      <c r="BQ967" s="9"/>
      <c r="BR967" s="9"/>
      <c r="BS967" s="9"/>
      <c r="BT967" s="9"/>
      <c r="BU967" s="9"/>
      <c r="BV967" s="9"/>
      <c r="BW967" s="9"/>
      <c r="BX967" s="9"/>
      <c r="BY967" s="9"/>
      <c r="BZ967" s="9"/>
      <c r="CA967" s="42"/>
      <c r="CB967" s="42"/>
      <c r="CC967" s="42"/>
      <c r="CD967" s="43"/>
      <c r="CE967" s="43"/>
      <c r="CF967" s="43"/>
      <c r="CG967" s="42"/>
      <c r="CH967" s="231"/>
      <c r="CI967" s="9"/>
      <c r="CJ967" s="9"/>
      <c r="CK967" s="9"/>
    </row>
    <row r="968" spans="1:89" s="89" customFormat="1">
      <c r="A968" s="42" t="s">
        <v>4933</v>
      </c>
      <c r="B968" s="42" t="s">
        <v>4759</v>
      </c>
      <c r="C968" s="42" t="s">
        <v>4829</v>
      </c>
      <c r="D968" s="43">
        <v>7</v>
      </c>
      <c r="E968" s="43">
        <v>100</v>
      </c>
      <c r="F968" s="50" t="s">
        <v>4934</v>
      </c>
      <c r="G968" s="42" t="s">
        <v>4935</v>
      </c>
      <c r="H968" s="231"/>
      <c r="I968" s="9"/>
      <c r="J968" s="9"/>
      <c r="K968" s="9"/>
      <c r="L968" s="9"/>
      <c r="M968" s="9"/>
      <c r="N968" s="9"/>
      <c r="O968" s="9"/>
      <c r="P968" s="9"/>
      <c r="Q968" s="10"/>
      <c r="R968" s="9"/>
      <c r="S968" s="10"/>
      <c r="T968" s="10"/>
      <c r="U968" s="92"/>
      <c r="V968" s="10"/>
      <c r="W968" s="49"/>
      <c r="X968" s="4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9"/>
      <c r="BA968" s="9"/>
      <c r="BB968" s="9"/>
      <c r="BC968" s="9"/>
      <c r="BD968" s="9"/>
      <c r="BE968" s="9"/>
      <c r="BF968" s="9"/>
      <c r="BG968" s="9"/>
      <c r="BH968" s="9"/>
      <c r="BI968" s="9"/>
      <c r="BJ968" s="9"/>
      <c r="BK968" s="9"/>
      <c r="BL968" s="9"/>
      <c r="BM968" s="9"/>
      <c r="BN968" s="9"/>
      <c r="BO968" s="9"/>
      <c r="BP968" s="9"/>
      <c r="BQ968" s="9"/>
      <c r="BR968" s="9"/>
      <c r="BS968" s="9"/>
      <c r="BT968" s="9"/>
      <c r="BU968" s="9"/>
      <c r="BV968" s="9"/>
      <c r="BW968" s="9"/>
      <c r="BX968" s="9"/>
      <c r="BY968" s="9"/>
      <c r="BZ968" s="9"/>
      <c r="CA968" s="42"/>
      <c r="CB968" s="42"/>
      <c r="CC968" s="42"/>
      <c r="CD968" s="43"/>
      <c r="CE968" s="43"/>
      <c r="CF968" s="43"/>
      <c r="CG968" s="42"/>
      <c r="CH968" s="231"/>
      <c r="CI968" s="9"/>
      <c r="CJ968" s="9"/>
      <c r="CK968" s="9"/>
    </row>
    <row r="969" spans="1:89" s="89" customFormat="1">
      <c r="A969" s="42" t="s">
        <v>5121</v>
      </c>
      <c r="B969" s="42" t="s">
        <v>5357</v>
      </c>
      <c r="C969" s="42" t="s">
        <v>5436</v>
      </c>
      <c r="D969" s="43">
        <v>7</v>
      </c>
      <c r="E969" s="43">
        <v>100</v>
      </c>
      <c r="F969" s="43">
        <v>0</v>
      </c>
      <c r="G969" s="42" t="s">
        <v>5120</v>
      </c>
      <c r="H969" s="231"/>
      <c r="I969" s="9"/>
      <c r="J969" s="9"/>
      <c r="K969" s="9"/>
      <c r="L969" s="9"/>
      <c r="M969" s="9"/>
      <c r="N969" s="9"/>
      <c r="O969" s="9"/>
      <c r="P969" s="9"/>
      <c r="Q969" s="10"/>
      <c r="R969" s="9"/>
      <c r="S969" s="10"/>
      <c r="T969" s="10"/>
      <c r="U969" s="10"/>
      <c r="V969" s="10"/>
      <c r="W969" s="49"/>
      <c r="X969" s="4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9"/>
      <c r="BB969" s="9"/>
      <c r="BC969" s="9"/>
      <c r="BD969" s="9"/>
      <c r="BE969" s="9"/>
      <c r="BF969" s="9"/>
      <c r="BG969" s="9"/>
      <c r="BH969" s="9"/>
      <c r="BI969" s="9"/>
      <c r="BJ969" s="9"/>
      <c r="BK969" s="9"/>
      <c r="BL969" s="9"/>
      <c r="BM969" s="9"/>
      <c r="BN969" s="9"/>
      <c r="BO969" s="9"/>
      <c r="BP969" s="9"/>
      <c r="BQ969" s="9"/>
      <c r="BR969" s="9"/>
      <c r="BS969" s="9"/>
      <c r="BT969" s="9"/>
      <c r="BU969" s="9"/>
      <c r="BV969" s="9"/>
      <c r="BW969" s="9"/>
      <c r="BX969" s="9"/>
      <c r="BY969" s="9"/>
      <c r="BZ969" s="9"/>
      <c r="CA969" s="42"/>
      <c r="CB969" s="42"/>
      <c r="CC969" s="42"/>
      <c r="CD969" s="43"/>
      <c r="CE969" s="43"/>
      <c r="CF969" s="43"/>
      <c r="CG969" s="42"/>
      <c r="CH969" s="231"/>
      <c r="CI969" s="9"/>
      <c r="CJ969" s="9"/>
      <c r="CK969" s="9"/>
    </row>
    <row r="970" spans="1:89" s="89" customFormat="1">
      <c r="A970" s="42" t="s">
        <v>5313</v>
      </c>
      <c r="B970" s="42" t="s">
        <v>5357</v>
      </c>
      <c r="C970" s="42" t="s">
        <v>5237</v>
      </c>
      <c r="D970" s="43">
        <v>7</v>
      </c>
      <c r="E970" s="43">
        <v>100</v>
      </c>
      <c r="F970" s="43">
        <v>2</v>
      </c>
      <c r="G970" s="42" t="s">
        <v>5314</v>
      </c>
      <c r="H970" s="231"/>
      <c r="I970" s="9"/>
      <c r="J970" s="9"/>
      <c r="K970" s="9"/>
      <c r="L970" s="9"/>
      <c r="M970" s="9"/>
      <c r="N970" s="9"/>
      <c r="O970" s="9"/>
      <c r="P970" s="9"/>
      <c r="Q970" s="10"/>
      <c r="R970" s="9"/>
      <c r="S970" s="10"/>
      <c r="T970" s="10"/>
      <c r="U970" s="10"/>
      <c r="V970" s="10"/>
      <c r="W970" s="49"/>
      <c r="X970" s="4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9"/>
      <c r="BB970" s="9"/>
      <c r="BC970" s="9"/>
      <c r="BD970" s="9"/>
      <c r="BE970" s="9"/>
      <c r="BF970" s="9"/>
      <c r="BG970" s="9"/>
      <c r="BH970" s="9"/>
      <c r="BI970" s="9"/>
      <c r="BJ970" s="9"/>
      <c r="BK970" s="9"/>
      <c r="BL970" s="9"/>
      <c r="BM970" s="9"/>
      <c r="BN970" s="9"/>
      <c r="BO970" s="9"/>
      <c r="BP970" s="9"/>
      <c r="BQ970" s="9"/>
      <c r="BR970" s="9"/>
      <c r="BS970" s="9"/>
      <c r="BT970" s="9"/>
      <c r="BU970" s="9"/>
      <c r="BV970" s="9"/>
      <c r="BW970" s="9"/>
      <c r="BX970" s="9"/>
      <c r="BY970" s="9"/>
      <c r="BZ970" s="9"/>
      <c r="CA970" s="42"/>
      <c r="CB970" s="42"/>
      <c r="CC970" s="42"/>
      <c r="CD970" s="43"/>
      <c r="CE970" s="43"/>
      <c r="CF970" s="50"/>
      <c r="CG970" s="42"/>
      <c r="CH970" s="231"/>
      <c r="CI970" s="9"/>
      <c r="CJ970" s="9"/>
      <c r="CK970" s="9"/>
    </row>
    <row r="971" spans="1:89" s="89" customFormat="1">
      <c r="A971" s="42" t="s">
        <v>5315</v>
      </c>
      <c r="B971" s="42" t="s">
        <v>5357</v>
      </c>
      <c r="C971" s="42" t="s">
        <v>5230</v>
      </c>
      <c r="D971" s="43">
        <v>7</v>
      </c>
      <c r="E971" s="43">
        <v>100</v>
      </c>
      <c r="F971" s="50">
        <v>0</v>
      </c>
      <c r="G971" s="42" t="s">
        <v>5131</v>
      </c>
      <c r="H971" s="231"/>
      <c r="I971" s="9"/>
      <c r="J971" s="9"/>
      <c r="K971" s="9"/>
      <c r="L971" s="9"/>
      <c r="M971" s="9"/>
      <c r="N971" s="9"/>
      <c r="O971" s="9"/>
      <c r="P971" s="9"/>
      <c r="Q971" s="10"/>
      <c r="R971" s="9"/>
      <c r="S971" s="10"/>
      <c r="T971" s="10"/>
      <c r="U971" s="92"/>
      <c r="V971" s="10"/>
      <c r="W971" s="49"/>
      <c r="X971" s="4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9"/>
      <c r="BB971" s="9"/>
      <c r="BC971" s="9"/>
      <c r="BD971" s="9"/>
      <c r="BE971" s="9"/>
      <c r="BF971" s="9"/>
      <c r="BG971" s="9"/>
      <c r="BH971" s="9"/>
      <c r="BI971" s="9"/>
      <c r="BJ971" s="9"/>
      <c r="BK971" s="9"/>
      <c r="BL971" s="9"/>
      <c r="BM971" s="9"/>
      <c r="BN971" s="9"/>
      <c r="BO971" s="9"/>
      <c r="BP971" s="9"/>
      <c r="BQ971" s="9"/>
      <c r="BR971" s="9"/>
      <c r="BS971" s="9"/>
      <c r="BT971" s="9"/>
      <c r="BU971" s="9"/>
      <c r="BV971" s="9"/>
      <c r="BW971" s="9"/>
      <c r="BX971" s="9"/>
      <c r="BY971" s="9"/>
      <c r="BZ971" s="9"/>
      <c r="CA971" s="42"/>
      <c r="CB971" s="42"/>
      <c r="CC971" s="42"/>
      <c r="CD971" s="43"/>
      <c r="CE971" s="43"/>
      <c r="CF971" s="43"/>
      <c r="CG971" s="42"/>
      <c r="CH971" s="231"/>
      <c r="CI971" s="9"/>
      <c r="CJ971" s="9"/>
      <c r="CK971" s="9"/>
    </row>
    <row r="972" spans="1:89" s="89" customFormat="1">
      <c r="A972" s="231"/>
      <c r="B972" s="231"/>
      <c r="C972" s="231"/>
      <c r="D972" s="231"/>
      <c r="E972" s="231"/>
      <c r="F972" s="231"/>
      <c r="G972" s="231"/>
      <c r="H972" s="231"/>
      <c r="I972" s="9"/>
      <c r="J972" s="9"/>
      <c r="K972" s="9"/>
      <c r="L972" s="9"/>
      <c r="M972" s="9"/>
      <c r="N972" s="9"/>
      <c r="O972" s="9"/>
      <c r="P972" s="9"/>
      <c r="Q972" s="10"/>
      <c r="R972" s="9"/>
      <c r="S972" s="10"/>
      <c r="T972" s="10"/>
      <c r="U972" s="10"/>
      <c r="V972" s="10"/>
      <c r="W972" s="49"/>
      <c r="X972" s="4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9"/>
      <c r="BB972" s="9"/>
      <c r="BC972" s="9"/>
      <c r="BD972" s="9"/>
      <c r="BE972" s="9"/>
      <c r="BF972" s="9"/>
      <c r="BG972" s="9"/>
      <c r="BH972" s="9"/>
      <c r="BI972" s="9"/>
      <c r="BJ972" s="9"/>
      <c r="BK972" s="9"/>
      <c r="BL972" s="9"/>
      <c r="BM972" s="9"/>
      <c r="BN972" s="9"/>
      <c r="BO972" s="9"/>
      <c r="BP972" s="9"/>
      <c r="BQ972" s="9"/>
      <c r="BR972" s="9"/>
      <c r="BS972" s="9"/>
      <c r="BT972" s="9"/>
      <c r="BU972" s="9"/>
      <c r="BV972" s="9"/>
      <c r="BW972" s="9"/>
      <c r="BX972" s="9"/>
      <c r="BY972" s="9"/>
      <c r="BZ972" s="9"/>
      <c r="CA972" s="42"/>
      <c r="CB972" s="42"/>
      <c r="CC972" s="42"/>
      <c r="CD972" s="43"/>
      <c r="CE972" s="43"/>
      <c r="CF972" s="43"/>
      <c r="CG972" s="42"/>
      <c r="CH972" s="231"/>
      <c r="CI972" s="9"/>
      <c r="CJ972" s="9"/>
      <c r="CK972" s="9"/>
    </row>
    <row r="973" spans="1:89" s="89" customFormat="1">
      <c r="A973" s="4"/>
      <c r="B973" s="231"/>
      <c r="C973" s="231"/>
      <c r="D973" s="231"/>
      <c r="E973" s="231"/>
      <c r="F973" s="231"/>
      <c r="G973" s="231"/>
      <c r="H973" s="231"/>
      <c r="I973" s="9"/>
      <c r="J973" s="9"/>
      <c r="K973" s="9"/>
      <c r="L973" s="9"/>
      <c r="M973" s="9"/>
      <c r="N973" s="9"/>
      <c r="O973" s="9"/>
      <c r="P973" s="9"/>
      <c r="Q973" s="10"/>
      <c r="R973" s="9"/>
      <c r="S973" s="10"/>
      <c r="T973" s="10"/>
      <c r="U973" s="10"/>
      <c r="V973" s="10"/>
      <c r="W973" s="49"/>
      <c r="X973" s="4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9"/>
      <c r="BB973" s="9"/>
      <c r="BC973" s="9"/>
      <c r="BD973" s="9"/>
      <c r="BE973" s="9"/>
      <c r="BF973" s="9"/>
      <c r="BG973" s="9"/>
      <c r="BH973" s="9"/>
      <c r="BI973" s="9"/>
      <c r="BJ973" s="9"/>
      <c r="BK973" s="9"/>
      <c r="BL973" s="9"/>
      <c r="BM973" s="9"/>
      <c r="BN973" s="9"/>
      <c r="BO973" s="9"/>
      <c r="BP973" s="9"/>
      <c r="BQ973" s="9"/>
      <c r="BR973" s="9"/>
      <c r="BS973" s="9"/>
      <c r="BT973" s="9"/>
      <c r="BU973" s="9"/>
      <c r="BV973" s="9"/>
      <c r="BW973" s="9"/>
      <c r="BX973" s="9"/>
      <c r="BY973" s="9"/>
      <c r="BZ973" s="9"/>
      <c r="CA973" s="42"/>
      <c r="CB973" s="42"/>
      <c r="CC973" s="42"/>
      <c r="CD973" s="43"/>
      <c r="CE973" s="43"/>
      <c r="CF973" s="43"/>
      <c r="CG973" s="42"/>
      <c r="CH973" s="231"/>
      <c r="CI973" s="9"/>
      <c r="CJ973" s="9"/>
      <c r="CK973" s="9"/>
    </row>
    <row r="974" spans="1:89" s="89" customFormat="1">
      <c r="A974" s="231"/>
      <c r="B974" s="231"/>
      <c r="C974" s="231"/>
      <c r="D974" s="231"/>
      <c r="E974" s="231"/>
      <c r="F974" s="231"/>
      <c r="G974" s="231"/>
      <c r="H974" s="231"/>
      <c r="I974" s="9"/>
      <c r="J974" s="9"/>
      <c r="K974" s="9"/>
      <c r="L974" s="9"/>
      <c r="M974" s="9"/>
      <c r="N974" s="9"/>
      <c r="O974" s="9"/>
      <c r="P974" s="9"/>
      <c r="Q974" s="10"/>
      <c r="R974" s="9"/>
      <c r="S974" s="10"/>
      <c r="T974" s="10"/>
      <c r="U974" s="92"/>
      <c r="V974" s="10"/>
      <c r="W974" s="49"/>
      <c r="X974" s="4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9"/>
      <c r="BB974" s="9"/>
      <c r="BC974" s="9"/>
      <c r="BD974" s="9"/>
      <c r="BE974" s="9"/>
      <c r="BF974" s="9"/>
      <c r="BG974" s="9"/>
      <c r="BH974" s="9"/>
      <c r="BI974" s="9"/>
      <c r="BJ974" s="9"/>
      <c r="BK974" s="9"/>
      <c r="BL974" s="9"/>
      <c r="BM974" s="9"/>
      <c r="BN974" s="9"/>
      <c r="BO974" s="9"/>
      <c r="BP974" s="9"/>
      <c r="BQ974" s="9"/>
      <c r="BR974" s="9"/>
      <c r="BS974" s="9"/>
      <c r="BT974" s="9"/>
      <c r="BU974" s="9"/>
      <c r="BV974" s="9"/>
      <c r="BW974" s="9"/>
      <c r="BX974" s="9"/>
      <c r="BY974" s="9"/>
      <c r="BZ974" s="9"/>
      <c r="CA974" s="42"/>
      <c r="CB974" s="42"/>
      <c r="CC974" s="42"/>
      <c r="CD974" s="43"/>
      <c r="CE974" s="43"/>
      <c r="CF974" s="43"/>
      <c r="CG974" s="42"/>
      <c r="CH974" s="231"/>
      <c r="CI974" s="9"/>
      <c r="CJ974" s="9"/>
      <c r="CK974" s="9"/>
    </row>
    <row r="975" spans="1:89" s="89" customFormat="1">
      <c r="A975" s="231"/>
      <c r="B975" s="231"/>
      <c r="C975" s="231"/>
      <c r="D975" s="231"/>
      <c r="E975" s="231"/>
      <c r="F975" s="231"/>
      <c r="G975" s="231"/>
      <c r="H975" s="231"/>
      <c r="I975" s="9"/>
      <c r="J975" s="9"/>
      <c r="K975" s="9"/>
      <c r="L975" s="9"/>
      <c r="M975" s="9"/>
      <c r="N975" s="9"/>
      <c r="O975" s="9"/>
      <c r="P975" s="9"/>
      <c r="Q975" s="10"/>
      <c r="R975" s="9"/>
      <c r="S975" s="10"/>
      <c r="T975" s="10"/>
      <c r="U975" s="10"/>
      <c r="V975" s="10"/>
      <c r="W975" s="49"/>
      <c r="X975" s="4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9"/>
      <c r="BB975" s="9"/>
      <c r="BC975" s="9"/>
      <c r="BD975" s="9"/>
      <c r="BE975" s="9"/>
      <c r="BF975" s="9"/>
      <c r="BG975" s="9"/>
      <c r="BH975" s="9"/>
      <c r="BI975" s="9"/>
      <c r="BJ975" s="9"/>
      <c r="BK975" s="9"/>
      <c r="BL975" s="9"/>
      <c r="BM975" s="9"/>
      <c r="BN975" s="9"/>
      <c r="BO975" s="9"/>
      <c r="BP975" s="9"/>
      <c r="BQ975" s="9"/>
      <c r="BR975" s="9"/>
      <c r="BS975" s="9"/>
      <c r="BT975" s="9"/>
      <c r="BU975" s="9"/>
      <c r="BV975" s="9"/>
      <c r="BW975" s="9"/>
      <c r="BX975" s="9"/>
      <c r="BY975" s="9"/>
      <c r="BZ975" s="9"/>
      <c r="CA975" s="42"/>
      <c r="CB975" s="42"/>
      <c r="CC975" s="42"/>
      <c r="CD975" s="43"/>
      <c r="CE975" s="43"/>
      <c r="CF975" s="43"/>
      <c r="CG975" s="42"/>
      <c r="CH975" s="231"/>
      <c r="CI975" s="9"/>
      <c r="CJ975" s="9"/>
      <c r="CK975" s="9"/>
    </row>
    <row r="976" spans="1:89" s="89" customFormat="1">
      <c r="A976" s="231"/>
      <c r="B976" s="231"/>
      <c r="C976" s="231"/>
      <c r="D976" s="231"/>
      <c r="E976" s="231"/>
      <c r="F976" s="231"/>
      <c r="G976" s="231"/>
      <c r="H976" s="231"/>
      <c r="I976" s="9"/>
      <c r="J976" s="9"/>
      <c r="K976" s="9"/>
      <c r="L976" s="9"/>
      <c r="M976" s="9"/>
      <c r="N976" s="9"/>
      <c r="O976" s="9"/>
      <c r="P976" s="9"/>
      <c r="Q976" s="10"/>
      <c r="R976" s="9"/>
      <c r="S976" s="10"/>
      <c r="T976" s="10"/>
      <c r="U976" s="10"/>
      <c r="V976" s="10"/>
      <c r="W976" s="49"/>
      <c r="X976" s="4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9"/>
      <c r="BB976" s="9"/>
      <c r="BC976" s="9"/>
      <c r="BD976" s="9"/>
      <c r="BE976" s="9"/>
      <c r="BF976" s="9"/>
      <c r="BG976" s="9"/>
      <c r="BH976" s="9"/>
      <c r="BI976" s="9"/>
      <c r="BJ976" s="9"/>
      <c r="BK976" s="9"/>
      <c r="BL976" s="9"/>
      <c r="BM976" s="9"/>
      <c r="BN976" s="9"/>
      <c r="BO976" s="9"/>
      <c r="BP976" s="9"/>
      <c r="BQ976" s="9"/>
      <c r="BR976" s="9"/>
      <c r="BS976" s="9"/>
      <c r="BT976" s="9"/>
      <c r="BU976" s="9"/>
      <c r="BV976" s="9"/>
      <c r="BW976" s="9"/>
      <c r="BX976" s="9"/>
      <c r="BY976" s="9"/>
      <c r="BZ976" s="9"/>
      <c r="CA976" s="42"/>
      <c r="CB976" s="42"/>
      <c r="CC976" s="42"/>
      <c r="CD976" s="43"/>
      <c r="CE976" s="43"/>
      <c r="CF976" s="43"/>
      <c r="CG976" s="42"/>
      <c r="CH976" s="231"/>
      <c r="CI976" s="9"/>
      <c r="CJ976" s="9"/>
      <c r="CK976" s="9"/>
    </row>
    <row r="977" spans="1:89" s="89" customFormat="1">
      <c r="A977" s="231"/>
      <c r="B977" s="231"/>
      <c r="C977" s="231"/>
      <c r="D977" s="231"/>
      <c r="E977" s="231"/>
      <c r="F977" s="231"/>
      <c r="G977" s="231"/>
      <c r="H977" s="231"/>
      <c r="I977" s="9"/>
      <c r="J977" s="9"/>
      <c r="K977" s="9"/>
      <c r="L977" s="9"/>
      <c r="M977" s="9"/>
      <c r="N977" s="9"/>
      <c r="O977" s="9"/>
      <c r="P977" s="9"/>
      <c r="Q977" s="10"/>
      <c r="R977" s="9"/>
      <c r="S977" s="10"/>
      <c r="T977" s="10"/>
      <c r="U977" s="10"/>
      <c r="V977" s="10"/>
      <c r="W977" s="49"/>
      <c r="X977" s="4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  <c r="BB977" s="9"/>
      <c r="BC977" s="9"/>
      <c r="BD977" s="9"/>
      <c r="BE977" s="9"/>
      <c r="BF977" s="9"/>
      <c r="BG977" s="9"/>
      <c r="BH977" s="9"/>
      <c r="BI977" s="9"/>
      <c r="BJ977" s="9"/>
      <c r="BK977" s="9"/>
      <c r="BL977" s="9"/>
      <c r="BM977" s="9"/>
      <c r="BN977" s="9"/>
      <c r="BO977" s="9"/>
      <c r="BP977" s="9"/>
      <c r="BQ977" s="9"/>
      <c r="BR977" s="9"/>
      <c r="BS977" s="9"/>
      <c r="BT977" s="9"/>
      <c r="BU977" s="9"/>
      <c r="BV977" s="9"/>
      <c r="BW977" s="9"/>
      <c r="BX977" s="9"/>
      <c r="BY977" s="9"/>
      <c r="BZ977" s="9"/>
      <c r="CA977" s="42"/>
      <c r="CB977" s="42"/>
      <c r="CC977" s="42"/>
      <c r="CD977" s="43"/>
      <c r="CE977" s="43"/>
      <c r="CF977" s="50"/>
      <c r="CG977" s="42"/>
      <c r="CH977" s="231"/>
      <c r="CI977" s="9"/>
      <c r="CJ977" s="9"/>
      <c r="CK977" s="9"/>
    </row>
    <row r="978" spans="1:89" s="89" customFormat="1">
      <c r="A978" s="231"/>
      <c r="B978" s="231"/>
      <c r="C978" s="231"/>
      <c r="D978" s="231"/>
      <c r="E978" s="231"/>
      <c r="F978" s="231"/>
      <c r="G978" s="231"/>
      <c r="H978" s="231"/>
      <c r="I978" s="9"/>
      <c r="J978" s="9"/>
      <c r="K978" s="9"/>
      <c r="L978" s="9"/>
      <c r="M978" s="9"/>
      <c r="N978" s="9"/>
      <c r="O978" s="9"/>
      <c r="P978" s="9"/>
      <c r="Q978" s="10"/>
      <c r="R978" s="9"/>
      <c r="S978" s="10"/>
      <c r="T978" s="10"/>
      <c r="U978" s="10"/>
      <c r="V978" s="10"/>
      <c r="W978" s="49"/>
      <c r="X978" s="4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9"/>
      <c r="BB978" s="9"/>
      <c r="BC978" s="9"/>
      <c r="BD978" s="9"/>
      <c r="BE978" s="9"/>
      <c r="BF978" s="9"/>
      <c r="BG978" s="9"/>
      <c r="BH978" s="9"/>
      <c r="BI978" s="9"/>
      <c r="BJ978" s="9"/>
      <c r="BK978" s="9"/>
      <c r="BL978" s="9"/>
      <c r="BM978" s="9"/>
      <c r="BN978" s="9"/>
      <c r="BO978" s="9"/>
      <c r="BP978" s="9"/>
      <c r="BQ978" s="9"/>
      <c r="BR978" s="9"/>
      <c r="BS978" s="9"/>
      <c r="BT978" s="9"/>
      <c r="BU978" s="9"/>
      <c r="BV978" s="9"/>
      <c r="BW978" s="9"/>
      <c r="BX978" s="9"/>
      <c r="BY978" s="9"/>
      <c r="BZ978" s="9"/>
      <c r="CA978" s="42"/>
      <c r="CB978" s="42"/>
      <c r="CC978" s="42"/>
      <c r="CD978" s="43"/>
      <c r="CE978" s="43"/>
      <c r="CF978" s="43"/>
      <c r="CG978" s="42"/>
      <c r="CH978" s="231"/>
      <c r="CI978" s="9"/>
      <c r="CJ978" s="9"/>
      <c r="CK978" s="9"/>
    </row>
    <row r="979" spans="1:89" s="89" customFormat="1">
      <c r="A979" s="231"/>
      <c r="B979" s="231"/>
      <c r="C979" s="231"/>
      <c r="D979" s="231"/>
      <c r="E979" s="231"/>
      <c r="F979" s="231"/>
      <c r="G979" s="231"/>
      <c r="H979" s="231"/>
      <c r="I979" s="9"/>
      <c r="J979" s="9"/>
      <c r="K979" s="9"/>
      <c r="L979" s="9"/>
      <c r="M979" s="9"/>
      <c r="N979" s="9"/>
      <c r="O979" s="9"/>
      <c r="P979" s="9"/>
      <c r="Q979" s="10"/>
      <c r="R979" s="9"/>
      <c r="S979" s="10"/>
      <c r="T979" s="10"/>
      <c r="U979" s="10"/>
      <c r="V979" s="10"/>
      <c r="W979" s="49"/>
      <c r="X979" s="4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9"/>
      <c r="BB979" s="9"/>
      <c r="BC979" s="9"/>
      <c r="BD979" s="9"/>
      <c r="BE979" s="9"/>
      <c r="BF979" s="9"/>
      <c r="BG979" s="9"/>
      <c r="BH979" s="9"/>
      <c r="BI979" s="9"/>
      <c r="BJ979" s="9"/>
      <c r="BK979" s="9"/>
      <c r="BL979" s="9"/>
      <c r="BM979" s="9"/>
      <c r="BN979" s="9"/>
      <c r="BO979" s="9"/>
      <c r="BP979" s="9"/>
      <c r="BQ979" s="9"/>
      <c r="BR979" s="9"/>
      <c r="BS979" s="9"/>
      <c r="BT979" s="9"/>
      <c r="BU979" s="9"/>
      <c r="BV979" s="9"/>
      <c r="BW979" s="9"/>
      <c r="BX979" s="9"/>
      <c r="BY979" s="9"/>
      <c r="BZ979" s="9"/>
      <c r="CA979" s="42"/>
      <c r="CB979" s="42"/>
      <c r="CC979" s="42"/>
      <c r="CD979" s="43"/>
      <c r="CE979" s="43"/>
      <c r="CF979" s="43"/>
      <c r="CG979" s="42"/>
      <c r="CH979" s="231"/>
      <c r="CI979" s="9"/>
      <c r="CJ979" s="9"/>
      <c r="CK979" s="9"/>
    </row>
    <row r="980" spans="1:89" s="89" customFormat="1">
      <c r="A980" s="4"/>
      <c r="B980" s="1"/>
      <c r="C980" s="1"/>
      <c r="D980" s="1"/>
      <c r="E980" s="1"/>
      <c r="F980" s="1"/>
      <c r="G980" s="4"/>
      <c r="H980" s="1"/>
      <c r="I980" s="9"/>
      <c r="J980" s="9"/>
      <c r="K980" s="9"/>
      <c r="L980" s="9"/>
      <c r="M980" s="9"/>
      <c r="N980" s="9"/>
      <c r="O980" s="9"/>
      <c r="P980" s="9"/>
      <c r="Q980" s="10"/>
      <c r="R980" s="9"/>
      <c r="S980" s="10"/>
      <c r="T980" s="10"/>
      <c r="U980" s="10"/>
      <c r="V980" s="10"/>
      <c r="W980" s="49"/>
      <c r="X980" s="4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  <c r="BA980" s="9"/>
      <c r="BB980" s="9"/>
      <c r="BC980" s="9"/>
      <c r="BD980" s="9"/>
      <c r="BE980" s="9"/>
      <c r="BF980" s="9"/>
      <c r="BG980" s="9"/>
      <c r="BH980" s="9"/>
      <c r="BI980" s="9"/>
      <c r="BJ980" s="9"/>
      <c r="BK980" s="9"/>
      <c r="BL980" s="9"/>
      <c r="BM980" s="9"/>
      <c r="BN980" s="9"/>
      <c r="BO980" s="9"/>
      <c r="BP980" s="9"/>
      <c r="BQ980" s="9"/>
      <c r="BR980" s="9"/>
      <c r="BS980" s="9"/>
      <c r="BT980" s="9"/>
      <c r="BU980" s="9"/>
      <c r="BV980" s="9"/>
      <c r="BW980" s="9"/>
      <c r="BX980" s="9"/>
      <c r="BY980" s="9"/>
      <c r="BZ980" s="9"/>
      <c r="CA980" s="35"/>
      <c r="CB980" s="35"/>
      <c r="CC980" s="35"/>
      <c r="CD980" s="36"/>
      <c r="CE980" s="36"/>
      <c r="CF980" s="40"/>
      <c r="CG980" s="35"/>
      <c r="CH980" s="1"/>
      <c r="CI980" s="9"/>
      <c r="CJ980" s="9"/>
      <c r="CK980" s="9"/>
    </row>
    <row r="981" spans="1:89" s="89" customFormat="1">
      <c r="A981" s="231"/>
      <c r="B981" s="5"/>
      <c r="C981" s="231"/>
      <c r="D981" s="5"/>
      <c r="E981" s="5"/>
      <c r="F981" s="5"/>
      <c r="G981" s="5"/>
      <c r="H981" s="5"/>
      <c r="I981" s="9"/>
      <c r="J981" s="9"/>
      <c r="K981" s="9"/>
      <c r="L981" s="9"/>
      <c r="M981" s="9"/>
      <c r="N981" s="9"/>
      <c r="O981" s="9"/>
      <c r="P981" s="9"/>
      <c r="Q981" s="10"/>
      <c r="R981" s="9"/>
      <c r="S981" s="10"/>
      <c r="T981" s="10"/>
      <c r="U981" s="10"/>
      <c r="V981" s="10"/>
      <c r="W981" s="49"/>
      <c r="X981" s="4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9"/>
      <c r="BB981" s="9"/>
      <c r="BC981" s="9"/>
      <c r="BD981" s="9"/>
      <c r="BE981" s="9"/>
      <c r="BF981" s="9"/>
      <c r="BG981" s="9"/>
      <c r="BH981" s="9"/>
      <c r="BI981" s="9"/>
      <c r="BJ981" s="9"/>
      <c r="BK981" s="9"/>
      <c r="BL981" s="9"/>
      <c r="BM981" s="9"/>
      <c r="BN981" s="9"/>
      <c r="BO981" s="9"/>
      <c r="BP981" s="9"/>
      <c r="BQ981" s="9"/>
      <c r="BR981" s="9"/>
      <c r="BS981" s="9"/>
      <c r="BT981" s="9"/>
      <c r="BU981" s="9"/>
      <c r="BV981" s="9"/>
      <c r="BW981" s="9"/>
      <c r="BX981" s="9"/>
      <c r="BY981" s="9"/>
      <c r="BZ981" s="9"/>
      <c r="CA981" s="35"/>
      <c r="CB981" s="35"/>
      <c r="CC981" s="35"/>
      <c r="CD981" s="36"/>
      <c r="CE981" s="36"/>
      <c r="CF981" s="36"/>
      <c r="CG981" s="35"/>
      <c r="CH981" s="5"/>
      <c r="CI981" s="9"/>
      <c r="CJ981" s="9"/>
      <c r="CK981" s="9"/>
    </row>
    <row r="982" spans="1:89" s="89" customFormat="1">
      <c r="A982" s="231"/>
      <c r="B982" s="5"/>
      <c r="C982" s="231"/>
      <c r="D982" s="5"/>
      <c r="E982" s="5"/>
      <c r="F982" s="5"/>
      <c r="G982" s="5"/>
      <c r="H982" s="5"/>
      <c r="I982" s="9"/>
      <c r="J982" s="9"/>
      <c r="K982" s="9"/>
      <c r="L982" s="9"/>
      <c r="M982" s="9"/>
      <c r="N982" s="9"/>
      <c r="O982" s="9"/>
      <c r="P982" s="9"/>
      <c r="Q982" s="10"/>
      <c r="R982" s="9"/>
      <c r="S982" s="10"/>
      <c r="T982" s="10"/>
      <c r="U982" s="10"/>
      <c r="V982" s="10"/>
      <c r="W982" s="49"/>
      <c r="X982" s="4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9"/>
      <c r="BB982" s="9"/>
      <c r="BC982" s="9"/>
      <c r="BD982" s="9"/>
      <c r="BE982" s="9"/>
      <c r="BF982" s="9"/>
      <c r="BG982" s="9"/>
      <c r="BH982" s="9"/>
      <c r="BI982" s="9"/>
      <c r="BJ982" s="9"/>
      <c r="BK982" s="9"/>
      <c r="BL982" s="9"/>
      <c r="BM982" s="9"/>
      <c r="BN982" s="9"/>
      <c r="BO982" s="9"/>
      <c r="BP982" s="9"/>
      <c r="BQ982" s="9"/>
      <c r="BR982" s="9"/>
      <c r="BS982" s="9"/>
      <c r="BT982" s="9"/>
      <c r="BU982" s="9"/>
      <c r="BV982" s="9"/>
      <c r="BW982" s="9"/>
      <c r="BX982" s="9"/>
      <c r="BY982" s="9"/>
      <c r="BZ982" s="9"/>
      <c r="CA982" s="35"/>
      <c r="CB982" s="35"/>
      <c r="CC982" s="35"/>
      <c r="CD982" s="36"/>
      <c r="CE982" s="36"/>
      <c r="CF982" s="36"/>
      <c r="CG982" s="35"/>
      <c r="CH982" s="5"/>
      <c r="CI982" s="9"/>
      <c r="CJ982" s="9"/>
      <c r="CK982" s="9"/>
    </row>
    <row r="983" spans="1:89" s="89" customFormat="1">
      <c r="A983" s="231"/>
      <c r="B983" s="5"/>
      <c r="C983" s="231"/>
      <c r="D983" s="5"/>
      <c r="E983" s="5"/>
      <c r="F983" s="5"/>
      <c r="G983" s="5"/>
      <c r="H983" s="5"/>
      <c r="I983" s="9"/>
      <c r="J983" s="9"/>
      <c r="K983" s="9"/>
      <c r="L983" s="9"/>
      <c r="M983" s="9"/>
      <c r="N983" s="9"/>
      <c r="O983" s="9"/>
      <c r="P983" s="9"/>
      <c r="Q983" s="10"/>
      <c r="R983" s="9"/>
      <c r="S983" s="10"/>
      <c r="T983" s="10"/>
      <c r="U983" s="10"/>
      <c r="V983" s="10"/>
      <c r="W983" s="49"/>
      <c r="X983" s="4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9"/>
      <c r="BB983" s="9"/>
      <c r="BC983" s="9"/>
      <c r="BD983" s="9"/>
      <c r="BE983" s="9"/>
      <c r="BF983" s="9"/>
      <c r="BG983" s="9"/>
      <c r="BH983" s="9"/>
      <c r="BI983" s="9"/>
      <c r="BJ983" s="9"/>
      <c r="BK983" s="9"/>
      <c r="BL983" s="9"/>
      <c r="BM983" s="9"/>
      <c r="BN983" s="9"/>
      <c r="BO983" s="9"/>
      <c r="BP983" s="9"/>
      <c r="BQ983" s="9"/>
      <c r="BR983" s="9"/>
      <c r="BS983" s="9"/>
      <c r="BT983" s="9"/>
      <c r="BU983" s="9"/>
      <c r="BV983" s="9"/>
      <c r="BW983" s="9"/>
      <c r="BX983" s="9"/>
      <c r="BY983" s="9"/>
      <c r="BZ983" s="9"/>
      <c r="CA983" s="35"/>
      <c r="CB983" s="35"/>
      <c r="CC983" s="35"/>
      <c r="CD983" s="36"/>
      <c r="CE983" s="36"/>
      <c r="CF983" s="36"/>
      <c r="CG983" s="35"/>
      <c r="CH983" s="5"/>
      <c r="CI983" s="9"/>
      <c r="CJ983" s="9"/>
      <c r="CK983" s="9"/>
    </row>
    <row r="984" spans="1:89" s="89" customFormat="1">
      <c r="A984" s="231"/>
      <c r="B984" s="5"/>
      <c r="C984" s="231"/>
      <c r="D984" s="5"/>
      <c r="E984" s="5"/>
      <c r="F984" s="5"/>
      <c r="G984" s="5"/>
      <c r="H984" s="5"/>
      <c r="I984" s="9"/>
      <c r="J984" s="9"/>
      <c r="K984" s="9"/>
      <c r="L984" s="9"/>
      <c r="M984" s="9"/>
      <c r="N984" s="9"/>
      <c r="O984" s="9"/>
      <c r="P984" s="9"/>
      <c r="Q984" s="10"/>
      <c r="R984" s="9"/>
      <c r="S984" s="10"/>
      <c r="T984" s="10"/>
      <c r="U984" s="10"/>
      <c r="V984" s="10"/>
      <c r="W984" s="49"/>
      <c r="X984" s="4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9"/>
      <c r="BB984" s="9"/>
      <c r="BC984" s="9"/>
      <c r="BD984" s="9"/>
      <c r="BE984" s="9"/>
      <c r="BF984" s="9"/>
      <c r="BG984" s="9"/>
      <c r="BH984" s="9"/>
      <c r="BI984" s="9"/>
      <c r="BJ984" s="9"/>
      <c r="BK984" s="9"/>
      <c r="BL984" s="9"/>
      <c r="BM984" s="9"/>
      <c r="BN984" s="9"/>
      <c r="BO984" s="9"/>
      <c r="BP984" s="9"/>
      <c r="BQ984" s="9"/>
      <c r="BR984" s="9"/>
      <c r="BS984" s="9"/>
      <c r="BT984" s="9"/>
      <c r="BU984" s="9"/>
      <c r="BV984" s="9"/>
      <c r="BW984" s="9"/>
      <c r="BX984" s="9"/>
      <c r="BY984" s="9"/>
      <c r="BZ984" s="9"/>
      <c r="CA984" s="35"/>
      <c r="CB984" s="35"/>
      <c r="CC984" s="35"/>
      <c r="CD984" s="36"/>
      <c r="CE984" s="36"/>
      <c r="CF984" s="36"/>
      <c r="CG984" s="35"/>
      <c r="CH984" s="5"/>
      <c r="CI984" s="9"/>
      <c r="CJ984" s="9"/>
      <c r="CK984" s="9"/>
    </row>
    <row r="985" spans="1:89" s="89" customFormat="1">
      <c r="A985" s="231"/>
      <c r="B985" s="5"/>
      <c r="C985" s="231"/>
      <c r="D985" s="5"/>
      <c r="E985" s="5"/>
      <c r="F985" s="5"/>
      <c r="G985" s="5"/>
      <c r="H985" s="5"/>
      <c r="I985" s="9"/>
      <c r="J985" s="9"/>
      <c r="K985" s="9"/>
      <c r="L985" s="9"/>
      <c r="M985" s="9"/>
      <c r="N985" s="9"/>
      <c r="O985" s="9"/>
      <c r="P985" s="9"/>
      <c r="Q985" s="10"/>
      <c r="R985" s="9"/>
      <c r="S985" s="10"/>
      <c r="T985" s="10"/>
      <c r="U985" s="10"/>
      <c r="V985" s="10"/>
      <c r="W985" s="49"/>
      <c r="X985" s="4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9"/>
      <c r="BB985" s="9"/>
      <c r="BC985" s="9"/>
      <c r="BD985" s="9"/>
      <c r="BE985" s="9"/>
      <c r="BF985" s="9"/>
      <c r="BG985" s="9"/>
      <c r="BH985" s="9"/>
      <c r="BI985" s="9"/>
      <c r="BJ985" s="9"/>
      <c r="BK985" s="9"/>
      <c r="BL985" s="9"/>
      <c r="BM985" s="9"/>
      <c r="BN985" s="9"/>
      <c r="BO985" s="9"/>
      <c r="BP985" s="9"/>
      <c r="BQ985" s="9"/>
      <c r="BR985" s="9"/>
      <c r="BS985" s="9"/>
      <c r="BT985" s="9"/>
      <c r="BU985" s="9"/>
      <c r="BV985" s="9"/>
      <c r="BW985" s="9"/>
      <c r="BX985" s="9"/>
      <c r="BY985" s="9"/>
      <c r="BZ985" s="9"/>
      <c r="CA985" s="231"/>
      <c r="CB985" s="231"/>
      <c r="CC985" s="231"/>
      <c r="CD985" s="231"/>
      <c r="CE985" s="231"/>
      <c r="CF985" s="231"/>
      <c r="CG985" s="231"/>
      <c r="CH985" s="5"/>
      <c r="CI985" s="9"/>
      <c r="CJ985" s="9"/>
      <c r="CK985" s="9"/>
    </row>
    <row r="986" spans="1:89" s="89" customFormat="1">
      <c r="A986" s="231"/>
      <c r="B986" s="5"/>
      <c r="C986" s="231"/>
      <c r="D986" s="5"/>
      <c r="E986" s="5"/>
      <c r="F986" s="5"/>
      <c r="G986" s="5"/>
      <c r="H986" s="5"/>
      <c r="I986" s="9"/>
      <c r="J986" s="9"/>
      <c r="K986" s="9"/>
      <c r="L986" s="9"/>
      <c r="M986" s="9"/>
      <c r="N986" s="9"/>
      <c r="O986" s="9"/>
      <c r="P986" s="9"/>
      <c r="Q986" s="10"/>
      <c r="R986" s="9"/>
      <c r="S986" s="10"/>
      <c r="T986" s="10"/>
      <c r="U986" s="10"/>
      <c r="V986" s="10"/>
      <c r="W986" s="49"/>
      <c r="X986" s="4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9"/>
      <c r="BB986" s="9"/>
      <c r="BC986" s="9"/>
      <c r="BD986" s="9"/>
      <c r="BE986" s="9"/>
      <c r="BF986" s="9"/>
      <c r="BG986" s="9"/>
      <c r="BH986" s="9"/>
      <c r="BI986" s="9"/>
      <c r="BJ986" s="9"/>
      <c r="BK986" s="9"/>
      <c r="BL986" s="9"/>
      <c r="BM986" s="9"/>
      <c r="BN986" s="9"/>
      <c r="BO986" s="9"/>
      <c r="BP986" s="9"/>
      <c r="BQ986" s="9"/>
      <c r="BR986" s="9"/>
      <c r="BS986" s="9"/>
      <c r="BT986" s="9"/>
      <c r="BU986" s="9"/>
      <c r="BV986" s="9"/>
      <c r="BW986" s="9"/>
      <c r="BX986" s="9"/>
      <c r="BY986" s="9"/>
      <c r="BZ986" s="9"/>
      <c r="CA986" s="231"/>
      <c r="CB986" s="231"/>
      <c r="CC986" s="231"/>
      <c r="CD986" s="231"/>
      <c r="CE986" s="231"/>
      <c r="CF986" s="231"/>
      <c r="CG986" s="231"/>
      <c r="CH986" s="5"/>
      <c r="CI986" s="9"/>
      <c r="CJ986" s="9"/>
      <c r="CK986" s="9"/>
    </row>
    <row r="987" spans="1:89" s="89" customFormat="1">
      <c r="A987" s="231"/>
      <c r="B987" s="5"/>
      <c r="C987" s="231"/>
      <c r="D987" s="5"/>
      <c r="E987" s="5"/>
      <c r="F987" s="5"/>
      <c r="G987" s="5"/>
      <c r="H987" s="5"/>
      <c r="I987" s="9"/>
      <c r="J987" s="9"/>
      <c r="K987" s="9"/>
      <c r="L987" s="9"/>
      <c r="M987" s="9"/>
      <c r="N987" s="9"/>
      <c r="O987" s="9"/>
      <c r="P987" s="9"/>
      <c r="Q987" s="10"/>
      <c r="R987" s="9"/>
      <c r="S987" s="10"/>
      <c r="T987" s="10"/>
      <c r="U987" s="92"/>
      <c r="V987" s="10"/>
      <c r="W987" s="49"/>
      <c r="X987" s="4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9"/>
      <c r="BB987" s="9"/>
      <c r="BC987" s="9"/>
      <c r="BD987" s="9"/>
      <c r="BE987" s="9"/>
      <c r="BF987" s="9"/>
      <c r="BG987" s="9"/>
      <c r="BH987" s="9"/>
      <c r="BI987" s="9"/>
      <c r="BJ987" s="9"/>
      <c r="BK987" s="9"/>
      <c r="BL987" s="9"/>
      <c r="BM987" s="9"/>
      <c r="BN987" s="9"/>
      <c r="BO987" s="9"/>
      <c r="BP987" s="9"/>
      <c r="BQ987" s="9"/>
      <c r="BR987" s="9"/>
      <c r="BS987" s="9"/>
      <c r="BT987" s="9"/>
      <c r="BU987" s="9"/>
      <c r="BV987" s="9"/>
      <c r="BW987" s="9"/>
      <c r="BX987" s="9"/>
      <c r="BY987" s="9"/>
      <c r="BZ987" s="9"/>
      <c r="CA987" s="231"/>
      <c r="CB987" s="231"/>
      <c r="CC987" s="231"/>
      <c r="CD987" s="231"/>
      <c r="CE987" s="231"/>
      <c r="CF987" s="231"/>
      <c r="CG987" s="231"/>
      <c r="CH987" s="5"/>
      <c r="CI987" s="9"/>
      <c r="CJ987" s="9"/>
      <c r="CK987" s="9"/>
    </row>
    <row r="988" spans="1:89" s="89" customFormat="1">
      <c r="A988" s="231"/>
      <c r="B988" s="5"/>
      <c r="C988" s="231"/>
      <c r="D988" s="5"/>
      <c r="E988" s="5"/>
      <c r="F988" s="5"/>
      <c r="G988" s="5"/>
      <c r="H988" s="5"/>
      <c r="I988" s="9"/>
      <c r="J988" s="9"/>
      <c r="K988" s="9"/>
      <c r="L988" s="9"/>
      <c r="M988" s="9"/>
      <c r="N988" s="9"/>
      <c r="O988" s="9"/>
      <c r="P988" s="9"/>
      <c r="Q988" s="10"/>
      <c r="R988" s="9"/>
      <c r="S988" s="10"/>
      <c r="T988" s="10"/>
      <c r="U988" s="10"/>
      <c r="V988" s="10"/>
      <c r="W988" s="49"/>
      <c r="X988" s="4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  <c r="BA988" s="9"/>
      <c r="BB988" s="9"/>
      <c r="BC988" s="9"/>
      <c r="BD988" s="9"/>
      <c r="BE988" s="9"/>
      <c r="BF988" s="9"/>
      <c r="BG988" s="9"/>
      <c r="BH988" s="9"/>
      <c r="BI988" s="9"/>
      <c r="BJ988" s="9"/>
      <c r="BK988" s="9"/>
      <c r="BL988" s="9"/>
      <c r="BM988" s="9"/>
      <c r="BN988" s="9"/>
      <c r="BO988" s="9"/>
      <c r="BP988" s="9"/>
      <c r="BQ988" s="9"/>
      <c r="BR988" s="9"/>
      <c r="BS988" s="9"/>
      <c r="BT988" s="9"/>
      <c r="BU988" s="9"/>
      <c r="BV988" s="9"/>
      <c r="BW988" s="9"/>
      <c r="BX988" s="9"/>
      <c r="BY988" s="9"/>
      <c r="BZ988" s="9"/>
      <c r="CA988" s="231"/>
      <c r="CB988" s="231"/>
      <c r="CC988" s="231"/>
      <c r="CD988" s="231"/>
      <c r="CE988" s="231"/>
      <c r="CF988" s="231"/>
      <c r="CG988" s="231"/>
      <c r="CH988" s="5"/>
      <c r="CI988" s="9"/>
      <c r="CJ988" s="9"/>
      <c r="CK988" s="9"/>
    </row>
    <row r="989" spans="1:89" s="89" customFormat="1">
      <c r="A989" s="231"/>
      <c r="B989" s="5"/>
      <c r="C989" s="231"/>
      <c r="D989" s="5"/>
      <c r="E989" s="5"/>
      <c r="F989" s="5"/>
      <c r="G989" s="5"/>
      <c r="H989" s="5"/>
      <c r="I989" s="9"/>
      <c r="J989" s="9"/>
      <c r="K989" s="9"/>
      <c r="L989" s="9"/>
      <c r="M989" s="9"/>
      <c r="N989" s="9"/>
      <c r="O989" s="9"/>
      <c r="P989" s="9"/>
      <c r="Q989" s="10"/>
      <c r="R989" s="9"/>
      <c r="S989" s="10"/>
      <c r="T989" s="10"/>
      <c r="U989" s="10"/>
      <c r="V989" s="10"/>
      <c r="W989" s="49"/>
      <c r="X989" s="4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9"/>
      <c r="BB989" s="9"/>
      <c r="BC989" s="9"/>
      <c r="BD989" s="9"/>
      <c r="BE989" s="9"/>
      <c r="BF989" s="9"/>
      <c r="BG989" s="9"/>
      <c r="BH989" s="9"/>
      <c r="BI989" s="9"/>
      <c r="BJ989" s="9"/>
      <c r="BK989" s="9"/>
      <c r="BL989" s="9"/>
      <c r="BM989" s="9"/>
      <c r="BN989" s="9"/>
      <c r="BO989" s="9"/>
      <c r="BP989" s="9"/>
      <c r="BQ989" s="9"/>
      <c r="BR989" s="9"/>
      <c r="BS989" s="9"/>
      <c r="BT989" s="9"/>
      <c r="BU989" s="9"/>
      <c r="BV989" s="9"/>
      <c r="BW989" s="9"/>
      <c r="BX989" s="9"/>
      <c r="BY989" s="9"/>
      <c r="BZ989" s="9"/>
      <c r="CA989" s="231"/>
      <c r="CB989" s="231"/>
      <c r="CC989" s="231"/>
      <c r="CD989" s="231"/>
      <c r="CE989" s="231"/>
      <c r="CF989" s="231"/>
      <c r="CG989" s="231"/>
      <c r="CH989" s="5"/>
      <c r="CI989" s="9"/>
      <c r="CJ989" s="9"/>
      <c r="CK989" s="9"/>
    </row>
    <row r="990" spans="1:89" s="89" customFormat="1">
      <c r="A990" s="231"/>
      <c r="B990" s="5"/>
      <c r="C990" s="231"/>
      <c r="D990" s="5"/>
      <c r="E990" s="5"/>
      <c r="F990" s="5"/>
      <c r="G990" s="5"/>
      <c r="H990" s="5"/>
      <c r="I990" s="9"/>
      <c r="J990" s="9"/>
      <c r="K990" s="9"/>
      <c r="L990" s="9"/>
      <c r="M990" s="9"/>
      <c r="N990" s="9"/>
      <c r="O990" s="9"/>
      <c r="P990" s="9"/>
      <c r="Q990" s="10"/>
      <c r="R990" s="9"/>
      <c r="S990" s="21"/>
      <c r="T990" s="10"/>
      <c r="U990" s="10"/>
      <c r="V990"/>
      <c r="W990" s="49"/>
      <c r="X990" s="4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9"/>
      <c r="BB990" s="9"/>
      <c r="BC990" s="9"/>
      <c r="BD990" s="9"/>
      <c r="BE990" s="9"/>
      <c r="BF990" s="9"/>
      <c r="BG990" s="9"/>
      <c r="BH990" s="9"/>
      <c r="BI990" s="9"/>
      <c r="BJ990" s="9"/>
      <c r="BK990" s="9"/>
      <c r="BL990" s="9"/>
      <c r="BM990" s="9"/>
      <c r="BN990" s="9"/>
      <c r="BO990" s="9"/>
      <c r="BP990" s="9"/>
      <c r="BQ990" s="9"/>
      <c r="BR990" s="9"/>
      <c r="BS990" s="9"/>
      <c r="BT990" s="9"/>
      <c r="BU990" s="9"/>
      <c r="BV990" s="9"/>
      <c r="BW990" s="9"/>
      <c r="BX990" s="9"/>
      <c r="BY990" s="9"/>
      <c r="BZ990" s="9"/>
      <c r="CA990" s="231"/>
      <c r="CB990" s="231"/>
      <c r="CC990" s="231"/>
      <c r="CD990" s="231"/>
      <c r="CE990" s="231"/>
      <c r="CF990" s="231"/>
      <c r="CG990" s="231"/>
      <c r="CH990" s="5"/>
      <c r="CI990" s="9"/>
      <c r="CJ990" s="9"/>
      <c r="CK990" s="9"/>
    </row>
    <row r="991" spans="1:89" s="89" customFormat="1">
      <c r="A991" s="231"/>
      <c r="B991" s="5"/>
      <c r="C991" s="231"/>
      <c r="D991" s="5"/>
      <c r="E991" s="5"/>
      <c r="F991" s="5"/>
      <c r="G991" s="5"/>
      <c r="H991" s="5"/>
      <c r="I991" s="9"/>
      <c r="J991" s="9"/>
      <c r="K991" s="9"/>
      <c r="L991" s="9"/>
      <c r="M991" s="9"/>
      <c r="N991" s="9"/>
      <c r="O991" s="9"/>
      <c r="P991" s="9"/>
      <c r="Q991" s="10"/>
      <c r="R991" s="9"/>
      <c r="S991" s="21"/>
      <c r="T991" s="10"/>
      <c r="U991" s="10"/>
      <c r="V991"/>
      <c r="W991" s="49"/>
      <c r="X991" s="4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9"/>
      <c r="BB991" s="9"/>
      <c r="BC991" s="9"/>
      <c r="BD991" s="9"/>
      <c r="BE991" s="9"/>
      <c r="BF991" s="9"/>
      <c r="BG991" s="9"/>
      <c r="BH991" s="9"/>
      <c r="BI991" s="9"/>
      <c r="BJ991" s="9"/>
      <c r="BK991" s="9"/>
      <c r="BL991" s="9"/>
      <c r="BM991" s="9"/>
      <c r="BN991" s="9"/>
      <c r="BO991" s="9"/>
      <c r="BP991" s="9"/>
      <c r="BQ991" s="9"/>
      <c r="BR991" s="9"/>
      <c r="BS991" s="9"/>
      <c r="BT991" s="9"/>
      <c r="BU991" s="9"/>
      <c r="BV991" s="9"/>
      <c r="BW991" s="9"/>
      <c r="BX991" s="9"/>
      <c r="BY991" s="9"/>
      <c r="BZ991" s="9"/>
      <c r="CA991" s="231"/>
      <c r="CB991" s="231"/>
      <c r="CC991" s="231"/>
      <c r="CD991" s="231"/>
      <c r="CE991" s="231"/>
      <c r="CF991" s="231"/>
      <c r="CG991" s="231"/>
      <c r="CH991" s="5"/>
      <c r="CI991" s="9"/>
      <c r="CJ991" s="9"/>
      <c r="CK991" s="9"/>
    </row>
    <row r="992" spans="1:89" s="89" customFormat="1">
      <c r="A992" s="231"/>
      <c r="B992" s="5"/>
      <c r="C992" s="231"/>
      <c r="D992" s="5"/>
      <c r="E992" s="5"/>
      <c r="F992" s="5"/>
      <c r="G992" s="5"/>
      <c r="H992" s="5"/>
      <c r="I992" s="9"/>
      <c r="J992" s="9"/>
      <c r="K992" s="9"/>
      <c r="L992" s="9"/>
      <c r="M992" s="9"/>
      <c r="N992" s="9"/>
      <c r="O992" s="9"/>
      <c r="P992" s="9"/>
      <c r="Q992" s="10"/>
      <c r="R992" s="9"/>
      <c r="S992" s="21"/>
      <c r="T992" s="10"/>
      <c r="U992" s="10"/>
      <c r="V992"/>
      <c r="W992" s="49"/>
      <c r="X992" s="4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9"/>
      <c r="BB992" s="9"/>
      <c r="BC992" s="9"/>
      <c r="BD992" s="9"/>
      <c r="BE992" s="9"/>
      <c r="BF992" s="9"/>
      <c r="BG992" s="9"/>
      <c r="BH992" s="9"/>
      <c r="BI992" s="9"/>
      <c r="BJ992" s="9"/>
      <c r="BK992" s="9"/>
      <c r="BL992" s="9"/>
      <c r="BM992" s="9"/>
      <c r="BN992" s="9"/>
      <c r="BO992" s="9"/>
      <c r="BP992" s="9"/>
      <c r="BQ992" s="9"/>
      <c r="BR992" s="9"/>
      <c r="BS992" s="9"/>
      <c r="BT992" s="9"/>
      <c r="BU992" s="9"/>
      <c r="BV992" s="9"/>
      <c r="BW992" s="9"/>
      <c r="BX992" s="9"/>
      <c r="BY992" s="9"/>
      <c r="BZ992" s="9"/>
      <c r="CA992" s="231"/>
      <c r="CB992" s="231"/>
      <c r="CC992" s="231"/>
      <c r="CD992" s="231"/>
      <c r="CE992" s="231"/>
      <c r="CF992" s="231"/>
      <c r="CG992" s="231"/>
      <c r="CH992" s="5"/>
      <c r="CI992" s="9"/>
      <c r="CJ992" s="9"/>
      <c r="CK992" s="9"/>
    </row>
    <row r="993" spans="1:105" s="89" customFormat="1">
      <c r="A993" s="231"/>
      <c r="B993" s="5"/>
      <c r="C993" s="231"/>
      <c r="D993" s="5"/>
      <c r="E993" s="5"/>
      <c r="F993" s="5"/>
      <c r="G993" s="5"/>
      <c r="H993" s="5"/>
      <c r="I993" s="9"/>
      <c r="J993" s="9"/>
      <c r="K993" s="9"/>
      <c r="L993" s="9"/>
      <c r="M993" s="9"/>
      <c r="N993" s="9"/>
      <c r="O993" s="9"/>
      <c r="P993" s="9"/>
      <c r="Q993" s="10"/>
      <c r="R993" s="9"/>
      <c r="S993"/>
      <c r="T993" s="10"/>
      <c r="U993" s="10"/>
      <c r="V993"/>
      <c r="W993" s="49"/>
      <c r="X993" s="4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9"/>
      <c r="BB993" s="9"/>
      <c r="BC993" s="9"/>
      <c r="BD993" s="9"/>
      <c r="BE993" s="9"/>
      <c r="BF993" s="9"/>
      <c r="BG993" s="9"/>
      <c r="BH993" s="9"/>
      <c r="BI993" s="9"/>
      <c r="BJ993" s="9"/>
      <c r="BK993" s="9"/>
      <c r="BL993" s="9"/>
      <c r="BM993" s="9"/>
      <c r="BN993" s="9"/>
      <c r="BO993" s="9"/>
      <c r="BP993" s="9"/>
      <c r="BQ993" s="9"/>
      <c r="BR993" s="9"/>
      <c r="BS993" s="9"/>
      <c r="BT993" s="9"/>
      <c r="BU993" s="9"/>
      <c r="BV993" s="9"/>
      <c r="BW993" s="9"/>
      <c r="BX993" s="9"/>
      <c r="BY993" s="9"/>
      <c r="BZ993" s="9"/>
      <c r="CA993" s="231"/>
      <c r="CB993" s="231"/>
      <c r="CC993" s="231"/>
      <c r="CD993" s="231"/>
      <c r="CE993" s="231"/>
      <c r="CF993" s="231"/>
      <c r="CG993" s="231"/>
      <c r="CH993" s="5"/>
      <c r="CI993" s="9"/>
      <c r="CJ993" s="9"/>
      <c r="CK993" s="9"/>
    </row>
    <row r="994" spans="1:105" s="89" customFormat="1">
      <c r="A994" s="231"/>
      <c r="B994" s="5"/>
      <c r="C994" s="231"/>
      <c r="D994" s="5"/>
      <c r="E994" s="5"/>
      <c r="F994" s="5"/>
      <c r="G994" s="5"/>
      <c r="H994" s="5"/>
      <c r="I994" s="9"/>
      <c r="J994" s="9"/>
      <c r="K994" s="9"/>
      <c r="L994" s="9"/>
      <c r="M994" s="9"/>
      <c r="N994" s="9"/>
      <c r="O994" s="9"/>
      <c r="P994" s="9"/>
      <c r="Q994" s="10"/>
      <c r="R994" s="9"/>
      <c r="S994"/>
      <c r="T994" s="10"/>
      <c r="U994" s="10"/>
      <c r="V994" s="10"/>
      <c r="W994" s="49"/>
      <c r="X994" s="4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9"/>
      <c r="BB994" s="9"/>
      <c r="BC994" s="9"/>
      <c r="BD994" s="9"/>
      <c r="BE994" s="9"/>
      <c r="BF994" s="9"/>
      <c r="BG994" s="9"/>
      <c r="BH994" s="9"/>
      <c r="BI994" s="9"/>
      <c r="BJ994" s="9"/>
      <c r="BK994" s="9"/>
      <c r="BL994" s="9"/>
      <c r="BM994" s="9"/>
      <c r="BN994" s="9"/>
      <c r="BO994" s="9"/>
      <c r="BP994" s="9"/>
      <c r="BQ994" s="9"/>
      <c r="BR994" s="9"/>
      <c r="BS994" s="9"/>
      <c r="BT994" s="9"/>
      <c r="BU994" s="9"/>
      <c r="BV994" s="9"/>
      <c r="BW994" s="9"/>
      <c r="BX994" s="9"/>
      <c r="BY994" s="9"/>
      <c r="BZ994" s="9"/>
      <c r="CA994" s="231"/>
      <c r="CB994" s="5"/>
      <c r="CC994" s="231"/>
      <c r="CD994" s="5"/>
      <c r="CE994" s="5"/>
      <c r="CF994" s="5"/>
      <c r="CG994" s="5"/>
      <c r="CH994" s="5"/>
      <c r="CI994" s="9"/>
      <c r="CJ994" s="9"/>
      <c r="CK994" s="9"/>
    </row>
    <row r="995" spans="1:105" s="89" customFormat="1">
      <c r="A995" s="231"/>
      <c r="B995" s="5"/>
      <c r="C995" s="231"/>
      <c r="D995" s="5"/>
      <c r="E995" s="5"/>
      <c r="F995" s="5"/>
      <c r="G995" s="5"/>
      <c r="H995" s="5"/>
      <c r="I995" s="9"/>
      <c r="J995" s="9"/>
      <c r="K995" s="9"/>
      <c r="L995" s="9"/>
      <c r="M995" s="9"/>
      <c r="N995" s="9"/>
      <c r="O995" s="9"/>
      <c r="P995" s="9"/>
      <c r="Q995" s="10"/>
      <c r="R995" s="9"/>
      <c r="S995" s="10"/>
      <c r="T995" s="10"/>
      <c r="U995" s="10"/>
      <c r="V995" s="10"/>
      <c r="W995" s="49"/>
      <c r="X995" s="4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9"/>
      <c r="BB995" s="9"/>
      <c r="BC995" s="9"/>
      <c r="BD995" s="9"/>
      <c r="BE995" s="9"/>
      <c r="BF995" s="9"/>
      <c r="BG995" s="9"/>
      <c r="BH995" s="9"/>
      <c r="BI995" s="9"/>
      <c r="BJ995" s="9"/>
      <c r="BK995" s="9"/>
      <c r="BL995" s="9"/>
      <c r="BM995" s="9"/>
      <c r="BN995" s="9"/>
      <c r="BO995" s="9"/>
      <c r="BP995" s="9"/>
      <c r="BQ995" s="9"/>
      <c r="BR995" s="9"/>
      <c r="BS995" s="9"/>
      <c r="BT995" s="9"/>
      <c r="BU995" s="9"/>
      <c r="BV995" s="9"/>
      <c r="BW995" s="9"/>
      <c r="BX995" s="9"/>
      <c r="BY995" s="9"/>
      <c r="BZ995" s="9"/>
      <c r="CA995" s="231"/>
      <c r="CB995" s="5"/>
      <c r="CC995" s="231"/>
      <c r="CD995" s="5"/>
      <c r="CE995" s="5"/>
      <c r="CF995" s="5"/>
      <c r="CG995" s="5"/>
      <c r="CH995" s="5"/>
      <c r="CI995" s="9"/>
      <c r="CJ995" s="9"/>
      <c r="CK995" s="9"/>
    </row>
    <row r="996" spans="1:105">
      <c r="A996" s="231"/>
      <c r="B996" s="5"/>
      <c r="C996" s="231"/>
      <c r="D996" s="5"/>
      <c r="E996" s="5"/>
      <c r="F996" s="5"/>
      <c r="G996" s="5"/>
      <c r="H996" s="5"/>
      <c r="CA996" s="231"/>
      <c r="CB996" s="5"/>
      <c r="CC996" s="231"/>
      <c r="CD996" s="5"/>
      <c r="CE996" s="5"/>
      <c r="CF996" s="5"/>
      <c r="CG996" s="5"/>
      <c r="CH996" s="5"/>
    </row>
    <row r="997" spans="1:105">
      <c r="A997" s="231"/>
      <c r="B997" s="5"/>
      <c r="C997" s="231"/>
      <c r="D997" s="5"/>
      <c r="E997" s="5"/>
      <c r="F997" s="5"/>
      <c r="G997" s="5"/>
      <c r="H997" s="5"/>
      <c r="CA997" s="231"/>
      <c r="CB997" s="5"/>
      <c r="CC997" s="231"/>
      <c r="CD997" s="5"/>
      <c r="CE997" s="5"/>
      <c r="CF997" s="5"/>
      <c r="CG997" s="5"/>
      <c r="CH997" s="5"/>
    </row>
    <row r="998" spans="1:105">
      <c r="A998" s="231"/>
      <c r="B998" s="5"/>
      <c r="C998" s="231"/>
      <c r="D998" s="5"/>
      <c r="E998" s="5"/>
      <c r="F998" s="5"/>
      <c r="G998" s="5"/>
      <c r="H998" s="5"/>
      <c r="CA998" s="231"/>
      <c r="CB998" s="5"/>
      <c r="CC998" s="231"/>
      <c r="CD998" s="5"/>
      <c r="CE998" s="5"/>
      <c r="CF998" s="5"/>
      <c r="CG998" s="5"/>
      <c r="CH998" s="5"/>
    </row>
    <row r="999" spans="1:105">
      <c r="A999" s="231"/>
      <c r="B999" s="5"/>
      <c r="C999" s="231"/>
      <c r="D999" s="5"/>
      <c r="E999" s="5"/>
      <c r="F999" s="5"/>
      <c r="G999" s="5"/>
      <c r="H999" s="5"/>
      <c r="CA999" s="231"/>
      <c r="CB999" s="5"/>
      <c r="CC999" s="231"/>
      <c r="CD999" s="5"/>
      <c r="CE999" s="5"/>
      <c r="CF999" s="5"/>
      <c r="CG999" s="5"/>
      <c r="CH999" s="5"/>
    </row>
    <row r="1001" spans="1:105">
      <c r="A1001" s="17" t="s">
        <v>5198</v>
      </c>
      <c r="B1001" s="84"/>
      <c r="C1001" s="84"/>
      <c r="D1001" s="84"/>
      <c r="E1001" s="84"/>
      <c r="F1001" s="84"/>
      <c r="G1001" s="84"/>
      <c r="H1001" s="84"/>
      <c r="I1001" s="84"/>
      <c r="J1001" s="17"/>
      <c r="K1001" s="77"/>
      <c r="CA1001" s="17" t="s">
        <v>5198</v>
      </c>
      <c r="CB1001" s="84"/>
      <c r="CC1001" s="84"/>
      <c r="CD1001" s="84"/>
      <c r="CE1001" s="84"/>
      <c r="CF1001" s="84"/>
      <c r="CG1001" s="84"/>
      <c r="CH1001" s="84"/>
      <c r="CI1001" s="84"/>
      <c r="CJ1001" s="17"/>
      <c r="CK1001" s="77"/>
      <c r="DA1001" s="4"/>
    </row>
    <row r="1002" spans="1:105">
      <c r="A1002" s="20"/>
      <c r="B1002" s="21"/>
      <c r="C1002" s="21"/>
      <c r="D1002" s="21"/>
      <c r="E1002" s="21"/>
      <c r="F1002" s="21"/>
      <c r="G1002" s="21"/>
      <c r="H1002" s="21"/>
      <c r="I1002" s="21"/>
      <c r="J1002" s="20"/>
      <c r="K1002" s="28"/>
      <c r="CA1002" s="20"/>
      <c r="CB1002" s="21"/>
      <c r="CC1002" s="21"/>
      <c r="CD1002" s="21"/>
      <c r="CE1002" s="21"/>
      <c r="CF1002" s="21"/>
      <c r="CG1002" s="21"/>
      <c r="CH1002" s="21"/>
      <c r="CI1002" s="21"/>
      <c r="CJ1002" s="20"/>
      <c r="CK1002" s="28"/>
    </row>
    <row r="1003" spans="1:105">
      <c r="A1003" s="20"/>
      <c r="B1003" s="21"/>
      <c r="C1003" s="21"/>
      <c r="D1003" s="21"/>
      <c r="E1003" s="21"/>
      <c r="F1003" s="21"/>
      <c r="G1003" s="21"/>
      <c r="H1003" s="21"/>
      <c r="I1003" s="21"/>
      <c r="J1003" s="20"/>
      <c r="K1003" s="28"/>
      <c r="CA1003" s="20"/>
      <c r="CB1003" s="21"/>
      <c r="CC1003" s="21"/>
      <c r="CD1003" s="21"/>
      <c r="CE1003" s="21"/>
      <c r="CF1003" s="21"/>
      <c r="CG1003" s="21"/>
      <c r="CH1003" s="21"/>
      <c r="CI1003" s="21"/>
      <c r="CJ1003" s="20"/>
      <c r="CK1003" s="28"/>
    </row>
    <row r="1004" spans="1:105">
      <c r="A1004" s="20"/>
      <c r="B1004" s="21"/>
      <c r="C1004" s="21"/>
      <c r="D1004" s="21"/>
      <c r="E1004" s="21"/>
      <c r="F1004" s="21"/>
      <c r="G1004" s="21"/>
      <c r="H1004" s="21"/>
      <c r="I1004" s="21"/>
      <c r="J1004" s="20"/>
      <c r="K1004" s="28"/>
      <c r="CA1004" s="20"/>
      <c r="CB1004" s="21"/>
      <c r="CC1004" s="21"/>
      <c r="CD1004" s="21"/>
      <c r="CE1004" s="21"/>
      <c r="CF1004" s="21"/>
      <c r="CG1004" s="21"/>
      <c r="CH1004" s="21"/>
      <c r="CI1004" s="21"/>
      <c r="CJ1004" s="20"/>
      <c r="CK1004" s="28"/>
    </row>
    <row r="1005" spans="1:105">
      <c r="A1005" s="22"/>
      <c r="B1005" s="29"/>
      <c r="C1005" s="29"/>
      <c r="D1005" s="29"/>
      <c r="E1005" s="29"/>
      <c r="F1005" s="29"/>
      <c r="G1005" s="29"/>
      <c r="H1005" s="29"/>
      <c r="I1005" s="29"/>
      <c r="J1005" s="22"/>
      <c r="K1005" s="61"/>
      <c r="CA1005" s="22"/>
      <c r="CB1005" s="29"/>
      <c r="CC1005" s="29"/>
      <c r="CD1005" s="29"/>
      <c r="CE1005" s="29"/>
      <c r="CF1005" s="29"/>
      <c r="CG1005" s="29"/>
      <c r="CH1005" s="29"/>
      <c r="CI1005" s="29"/>
      <c r="CJ1005" s="22"/>
      <c r="CK1005" s="61"/>
    </row>
    <row r="1006" spans="1:105">
      <c r="A1006" s="4" t="s">
        <v>5199</v>
      </c>
      <c r="C1006" s="1" t="s">
        <v>5018</v>
      </c>
      <c r="D1006" s="1" t="s">
        <v>5701</v>
      </c>
      <c r="E1006" s="1" t="s">
        <v>5019</v>
      </c>
      <c r="F1006" s="1" t="s">
        <v>5020</v>
      </c>
      <c r="G1006" s="1" t="s">
        <v>5021</v>
      </c>
      <c r="H1006" s="1" t="s">
        <v>5022</v>
      </c>
      <c r="I1006" s="59" t="s">
        <v>5316</v>
      </c>
      <c r="J1006" s="4"/>
      <c r="CA1006" s="4" t="s">
        <v>5199</v>
      </c>
      <c r="CC1006" s="1" t="s">
        <v>5018</v>
      </c>
      <c r="CD1006" s="1" t="s">
        <v>5701</v>
      </c>
      <c r="CE1006" s="1" t="s">
        <v>5019</v>
      </c>
      <c r="CF1006" s="1" t="s">
        <v>5020</v>
      </c>
      <c r="CG1006" s="1" t="s">
        <v>5021</v>
      </c>
      <c r="CH1006" s="1" t="s">
        <v>5022</v>
      </c>
      <c r="CI1006" s="59" t="s">
        <v>5316</v>
      </c>
      <c r="CJ1006" s="4"/>
    </row>
    <row r="1007" spans="1:105">
      <c r="D1007" s="10"/>
      <c r="E1007" s="10"/>
      <c r="F1007" s="10"/>
      <c r="G1007" s="10"/>
      <c r="H1007" s="48"/>
      <c r="I1007" s="99"/>
      <c r="CD1007" s="10"/>
      <c r="CE1007" s="10"/>
      <c r="CF1007" s="10"/>
      <c r="CG1007" s="10"/>
      <c r="CH1007" s="48"/>
      <c r="CI1007" s="99"/>
    </row>
    <row r="1008" spans="1:105">
      <c r="D1008" s="10"/>
      <c r="E1008" s="10"/>
      <c r="F1008" s="92"/>
      <c r="G1008" s="10"/>
      <c r="H1008" s="48"/>
      <c r="I1008" s="99"/>
      <c r="CD1008" s="10"/>
      <c r="CE1008" s="10"/>
      <c r="CF1008" s="92"/>
      <c r="CG1008" s="10"/>
      <c r="CH1008" s="48"/>
      <c r="CI1008" s="99"/>
    </row>
    <row r="1009" spans="1:89">
      <c r="A1009" s="21"/>
      <c r="B1009" s="21"/>
      <c r="C1009" s="21"/>
      <c r="D1009" s="14"/>
      <c r="E1009" s="14"/>
      <c r="F1009" s="197"/>
      <c r="G1009" s="14"/>
      <c r="H1009" s="87"/>
      <c r="I1009" s="44"/>
      <c r="CA1009" s="21"/>
      <c r="CB1009" s="21"/>
      <c r="CC1009" s="21"/>
      <c r="CD1009" s="14"/>
      <c r="CE1009" s="14"/>
      <c r="CF1009" s="197"/>
      <c r="CG1009" s="14"/>
      <c r="CH1009" s="87"/>
      <c r="CI1009" s="44"/>
    </row>
    <row r="1010" spans="1:89">
      <c r="D1010" s="10"/>
      <c r="E1010" s="10"/>
      <c r="F1010" s="10"/>
      <c r="G1010" s="10"/>
      <c r="H1010" s="48"/>
      <c r="I1010" s="48"/>
      <c r="J1010" s="21"/>
      <c r="K1010" s="21"/>
      <c r="CD1010" s="10"/>
      <c r="CE1010" s="10"/>
      <c r="CF1010" s="10"/>
      <c r="CG1010" s="10"/>
      <c r="CH1010" s="48"/>
      <c r="CI1010" s="48"/>
      <c r="CJ1010" s="21"/>
      <c r="CK1010" s="21"/>
    </row>
    <row r="1011" spans="1:89">
      <c r="B1011" s="21"/>
      <c r="C1011" s="21"/>
      <c r="D1011" s="10"/>
      <c r="E1011" s="10"/>
      <c r="F1011" s="92"/>
      <c r="G1011" s="10"/>
      <c r="H1011" s="48"/>
      <c r="I1011" s="48"/>
      <c r="J1011" s="21"/>
      <c r="K1011" s="21"/>
      <c r="CB1011" s="21"/>
      <c r="CC1011" s="21"/>
      <c r="CD1011" s="10"/>
      <c r="CE1011" s="10"/>
      <c r="CF1011" s="92"/>
      <c r="CG1011" s="10"/>
      <c r="CH1011" s="48"/>
      <c r="CI1011" s="48"/>
      <c r="CJ1011" s="21"/>
      <c r="CK1011" s="21"/>
    </row>
    <row r="1012" spans="1:89">
      <c r="B1012" s="21"/>
      <c r="C1012" s="21"/>
      <c r="D1012" s="10"/>
      <c r="E1012" s="10"/>
      <c r="F1012" s="92"/>
      <c r="G1012" s="10"/>
      <c r="H1012" s="48"/>
      <c r="I1012" s="99"/>
      <c r="J1012" s="21"/>
      <c r="K1012" s="21"/>
      <c r="CB1012" s="21"/>
      <c r="CC1012" s="21"/>
      <c r="CD1012" s="10"/>
      <c r="CE1012" s="10"/>
      <c r="CF1012" s="92"/>
      <c r="CG1012" s="10"/>
      <c r="CH1012" s="48"/>
      <c r="CI1012" s="99"/>
      <c r="CJ1012" s="21"/>
      <c r="CK1012" s="21"/>
    </row>
    <row r="1013" spans="1:89">
      <c r="B1013" s="21"/>
      <c r="C1013" s="21"/>
      <c r="D1013" s="10"/>
      <c r="E1013" s="10"/>
      <c r="F1013" s="92"/>
      <c r="G1013" s="10"/>
      <c r="H1013" s="48"/>
      <c r="I1013" s="48"/>
      <c r="J1013" s="21"/>
      <c r="K1013" s="21"/>
      <c r="CB1013" s="21"/>
      <c r="CC1013" s="21"/>
      <c r="CD1013" s="10"/>
      <c r="CE1013" s="10"/>
      <c r="CF1013" s="92"/>
      <c r="CG1013" s="10"/>
      <c r="CH1013" s="48"/>
      <c r="CI1013" s="48"/>
      <c r="CJ1013" s="21"/>
      <c r="CK1013" s="21"/>
    </row>
    <row r="1014" spans="1:89">
      <c r="B1014" s="21"/>
      <c r="C1014" s="21"/>
      <c r="D1014" s="10"/>
      <c r="E1014" s="10"/>
      <c r="F1014" s="10"/>
      <c r="G1014" s="10"/>
      <c r="H1014" s="48"/>
      <c r="I1014" s="48"/>
      <c r="J1014" s="21"/>
      <c r="K1014" s="21"/>
      <c r="CB1014" s="21"/>
      <c r="CC1014" s="21"/>
      <c r="CD1014" s="10"/>
      <c r="CE1014" s="10"/>
      <c r="CF1014" s="10"/>
      <c r="CG1014" s="10"/>
      <c r="CH1014" s="48"/>
      <c r="CI1014" s="48"/>
      <c r="CJ1014" s="21"/>
      <c r="CK1014" s="21"/>
    </row>
    <row r="1015" spans="1:89">
      <c r="B1015" s="21"/>
      <c r="C1015" s="21"/>
      <c r="D1015" s="10"/>
      <c r="E1015" s="10"/>
      <c r="F1015" s="10"/>
      <c r="G1015" s="10"/>
      <c r="H1015" s="48"/>
      <c r="I1015" s="48"/>
      <c r="J1015" s="21"/>
      <c r="K1015" s="21"/>
      <c r="CB1015" s="21"/>
      <c r="CC1015" s="21"/>
      <c r="CD1015" s="10"/>
      <c r="CE1015" s="10"/>
      <c r="CF1015" s="10"/>
      <c r="CG1015" s="10"/>
      <c r="CH1015" s="48"/>
      <c r="CI1015" s="48"/>
      <c r="CJ1015" s="21"/>
      <c r="CK1015" s="21"/>
    </row>
    <row r="1016" spans="1:89">
      <c r="B1016" s="21"/>
      <c r="C1016" s="21"/>
      <c r="D1016" s="10"/>
      <c r="E1016" s="10"/>
      <c r="F1016" s="92"/>
      <c r="G1016" s="10"/>
      <c r="H1016" s="48"/>
      <c r="I1016" s="48"/>
      <c r="J1016" s="21"/>
      <c r="K1016" s="21"/>
      <c r="CB1016" s="21"/>
      <c r="CC1016" s="21"/>
      <c r="CD1016" s="10"/>
      <c r="CE1016" s="10"/>
      <c r="CF1016" s="92"/>
      <c r="CG1016" s="10"/>
      <c r="CH1016" s="48"/>
      <c r="CI1016" s="48"/>
      <c r="CJ1016" s="21"/>
      <c r="CK1016" s="21"/>
    </row>
    <row r="1017" spans="1:89">
      <c r="B1017" s="21"/>
      <c r="C1017" s="21"/>
      <c r="D1017" s="10"/>
      <c r="E1017" s="10"/>
      <c r="F1017" s="92"/>
      <c r="G1017" s="10"/>
      <c r="H1017" s="48"/>
      <c r="I1017" s="48"/>
      <c r="J1017" s="21"/>
      <c r="K1017" s="231"/>
      <c r="CB1017" s="21"/>
      <c r="CC1017" s="21"/>
      <c r="CD1017" s="10"/>
      <c r="CE1017" s="10"/>
      <c r="CF1017" s="92"/>
      <c r="CG1017" s="10"/>
      <c r="CH1017" s="48"/>
      <c r="CI1017" s="48"/>
      <c r="CJ1017" s="21"/>
      <c r="CK1017" s="231"/>
    </row>
    <row r="1018" spans="1:89">
      <c r="B1018" s="21"/>
      <c r="C1018" s="21"/>
      <c r="D1018" s="10"/>
      <c r="E1018" s="10"/>
      <c r="F1018" s="10"/>
      <c r="G1018" s="10"/>
      <c r="H1018" s="48"/>
      <c r="I1018" s="99"/>
      <c r="J1018" s="21"/>
      <c r="K1018" s="231"/>
      <c r="CB1018" s="21"/>
      <c r="CC1018" s="21"/>
      <c r="CD1018" s="10"/>
      <c r="CE1018" s="10"/>
      <c r="CF1018" s="10"/>
      <c r="CG1018" s="10"/>
      <c r="CH1018" s="48"/>
      <c r="CI1018" s="99"/>
      <c r="CJ1018" s="21"/>
      <c r="CK1018" s="231"/>
    </row>
    <row r="1019" spans="1:89">
      <c r="B1019" s="21"/>
      <c r="C1019" s="21"/>
      <c r="D1019" s="10"/>
      <c r="E1019" s="10"/>
      <c r="F1019" s="10"/>
      <c r="G1019" s="10"/>
      <c r="H1019" s="48"/>
      <c r="I1019" s="99"/>
      <c r="J1019" s="21"/>
      <c r="K1019" s="231"/>
      <c r="CB1019" s="21"/>
      <c r="CC1019" s="21"/>
      <c r="CD1019" s="10"/>
      <c r="CE1019" s="10"/>
      <c r="CF1019" s="10"/>
      <c r="CG1019" s="10"/>
      <c r="CH1019" s="48"/>
      <c r="CI1019" s="99"/>
      <c r="CJ1019" s="21"/>
      <c r="CK1019" s="231"/>
    </row>
    <row r="1020" spans="1:89">
      <c r="A1020" s="21"/>
      <c r="B1020" s="21"/>
      <c r="C1020" s="21"/>
      <c r="D1020" s="14"/>
      <c r="E1020" s="14"/>
      <c r="F1020" s="14"/>
      <c r="G1020" s="14"/>
      <c r="H1020" s="14"/>
      <c r="I1020" s="87"/>
      <c r="J1020" s="21"/>
      <c r="K1020" s="231"/>
      <c r="CA1020" s="21"/>
      <c r="CB1020" s="21"/>
      <c r="CC1020" s="21"/>
      <c r="CD1020" s="14"/>
      <c r="CE1020" s="14"/>
      <c r="CF1020" s="14"/>
      <c r="CG1020" s="14"/>
      <c r="CH1020" s="14"/>
      <c r="CI1020" s="87"/>
      <c r="CJ1020" s="21"/>
      <c r="CK1020" s="231"/>
    </row>
    <row r="1021" spans="1:89">
      <c r="A1021" s="4"/>
      <c r="C1021" s="1"/>
      <c r="D1021" s="1"/>
      <c r="E1021" s="1"/>
      <c r="F1021" s="1"/>
      <c r="G1021" s="1"/>
      <c r="H1021" s="1"/>
      <c r="I1021" s="59"/>
      <c r="J1021" s="4"/>
      <c r="K1021" s="231"/>
      <c r="CA1021" s="4"/>
      <c r="CC1021" s="1"/>
      <c r="CD1021" s="1"/>
      <c r="CE1021" s="1"/>
      <c r="CF1021" s="1"/>
      <c r="CG1021" s="1"/>
      <c r="CH1021" s="1"/>
      <c r="CI1021" s="59"/>
      <c r="CJ1021" s="4"/>
      <c r="CK1021" s="231"/>
    </row>
    <row r="1022" spans="1:89">
      <c r="A1022" s="21"/>
      <c r="B1022" s="21"/>
      <c r="C1022" s="21"/>
      <c r="D1022" s="14"/>
      <c r="E1022" s="14"/>
      <c r="F1022" s="14"/>
      <c r="G1022" s="14"/>
      <c r="H1022" s="14"/>
      <c r="I1022" s="87"/>
      <c r="J1022" s="21"/>
      <c r="K1022" s="21"/>
      <c r="CA1022" s="21"/>
      <c r="CB1022" s="21"/>
      <c r="CC1022" s="21"/>
      <c r="CD1022" s="14"/>
      <c r="CE1022" s="14"/>
      <c r="CF1022" s="14"/>
      <c r="CG1022" s="14"/>
      <c r="CH1022" s="14"/>
      <c r="CI1022" s="87"/>
      <c r="CJ1022" s="21"/>
      <c r="CK1022" s="21"/>
    </row>
    <row r="1023" spans="1:89">
      <c r="A1023" s="21"/>
      <c r="B1023" s="21"/>
      <c r="C1023" s="21"/>
      <c r="D1023" s="14"/>
      <c r="E1023" s="14"/>
      <c r="F1023" s="14"/>
      <c r="G1023" s="14"/>
      <c r="H1023" s="231"/>
      <c r="I1023" s="231"/>
      <c r="J1023" s="231"/>
      <c r="K1023" s="231"/>
      <c r="CA1023" s="21"/>
      <c r="CB1023" s="21"/>
      <c r="CC1023" s="21"/>
      <c r="CD1023" s="14"/>
      <c r="CE1023" s="14"/>
      <c r="CF1023" s="14"/>
      <c r="CG1023" s="14"/>
      <c r="CH1023" s="231"/>
      <c r="CI1023" s="231"/>
      <c r="CJ1023" s="231"/>
      <c r="CK1023" s="231"/>
    </row>
    <row r="1024" spans="1:89">
      <c r="A1024" s="21"/>
      <c r="B1024" s="21"/>
      <c r="C1024" s="21"/>
      <c r="D1024" s="14"/>
      <c r="E1024" s="14"/>
      <c r="F1024" s="14"/>
      <c r="G1024" s="14"/>
      <c r="H1024" s="14"/>
      <c r="I1024" s="87"/>
      <c r="J1024" s="21"/>
      <c r="K1024" s="21"/>
      <c r="CA1024" s="21"/>
      <c r="CB1024" s="21"/>
      <c r="CC1024" s="21"/>
      <c r="CD1024" s="14"/>
      <c r="CE1024" s="14"/>
      <c r="CF1024" s="14"/>
      <c r="CG1024" s="14"/>
      <c r="CH1024" s="14"/>
      <c r="CI1024" s="87"/>
      <c r="CJ1024" s="21"/>
      <c r="CK1024" s="21"/>
    </row>
    <row r="1025" spans="1:89">
      <c r="A1025" s="4" t="s">
        <v>5023</v>
      </c>
      <c r="C1025" s="1" t="s">
        <v>5018</v>
      </c>
      <c r="D1025" s="1" t="s">
        <v>5701</v>
      </c>
      <c r="E1025" s="1" t="s">
        <v>5019</v>
      </c>
      <c r="F1025" s="1" t="s">
        <v>5020</v>
      </c>
      <c r="G1025" s="1" t="s">
        <v>5021</v>
      </c>
      <c r="H1025" s="1" t="s">
        <v>5022</v>
      </c>
      <c r="I1025" s="59" t="s">
        <v>5316</v>
      </c>
      <c r="J1025" s="4"/>
      <c r="K1025" s="21"/>
      <c r="CA1025" s="4" t="s">
        <v>5023</v>
      </c>
      <c r="CC1025" s="1" t="s">
        <v>5018</v>
      </c>
      <c r="CD1025" s="1" t="s">
        <v>5701</v>
      </c>
      <c r="CE1025" s="1" t="s">
        <v>5019</v>
      </c>
      <c r="CF1025" s="1" t="s">
        <v>5020</v>
      </c>
      <c r="CG1025" s="1" t="s">
        <v>5021</v>
      </c>
      <c r="CH1025" s="1" t="s">
        <v>5022</v>
      </c>
      <c r="CI1025" s="59" t="s">
        <v>5316</v>
      </c>
      <c r="CJ1025" s="4"/>
      <c r="CK1025" s="21"/>
    </row>
    <row r="1026" spans="1:89">
      <c r="C1026" s="10"/>
      <c r="D1026" s="10"/>
      <c r="E1026" s="10"/>
      <c r="F1026" s="92"/>
      <c r="G1026" s="10"/>
      <c r="H1026" s="48"/>
      <c r="I1026" s="48"/>
      <c r="J1026" s="10"/>
      <c r="K1026" s="21"/>
      <c r="CC1026" s="10"/>
      <c r="CD1026" s="10"/>
      <c r="CE1026" s="10"/>
      <c r="CF1026" s="92"/>
      <c r="CG1026" s="10"/>
      <c r="CH1026" s="48"/>
      <c r="CI1026" s="48"/>
      <c r="CJ1026" s="10"/>
      <c r="CK1026" s="21"/>
    </row>
    <row r="1027" spans="1:89">
      <c r="A1027" s="21"/>
      <c r="B1027" s="21"/>
      <c r="C1027" s="21"/>
      <c r="D1027" s="14"/>
      <c r="E1027" s="14"/>
      <c r="F1027" s="110"/>
      <c r="G1027" s="14"/>
      <c r="H1027" s="87"/>
      <c r="I1027" s="44"/>
      <c r="J1027" s="10"/>
      <c r="K1027" s="21"/>
      <c r="CA1027" s="21"/>
      <c r="CB1027" s="21"/>
      <c r="CC1027" s="21"/>
      <c r="CD1027" s="14"/>
      <c r="CE1027" s="14"/>
      <c r="CF1027" s="110"/>
      <c r="CG1027" s="14"/>
      <c r="CH1027" s="87"/>
      <c r="CI1027" s="44"/>
      <c r="CJ1027" s="10"/>
      <c r="CK1027" s="21"/>
    </row>
    <row r="1028" spans="1:89">
      <c r="C1028" s="10"/>
      <c r="D1028" s="10"/>
      <c r="E1028" s="10"/>
      <c r="F1028" s="92"/>
      <c r="G1028" s="10"/>
      <c r="H1028" s="48"/>
      <c r="I1028" s="48"/>
      <c r="J1028" s="10"/>
      <c r="K1028" s="21"/>
      <c r="CC1028" s="10"/>
      <c r="CD1028" s="10"/>
      <c r="CE1028" s="10"/>
      <c r="CF1028" s="92"/>
      <c r="CG1028" s="10"/>
      <c r="CH1028" s="48"/>
      <c r="CI1028" s="48"/>
      <c r="CJ1028" s="10"/>
      <c r="CK1028" s="21"/>
    </row>
    <row r="1029" spans="1:89">
      <c r="C1029" s="10"/>
      <c r="D1029" s="10"/>
      <c r="E1029" s="10"/>
      <c r="F1029" s="92"/>
      <c r="G1029" s="10"/>
      <c r="H1029" s="48"/>
      <c r="I1029" s="48"/>
      <c r="J1029" s="10"/>
      <c r="K1029" s="21"/>
      <c r="CC1029" s="10"/>
      <c r="CD1029" s="10"/>
      <c r="CE1029" s="10"/>
      <c r="CF1029" s="92"/>
      <c r="CG1029" s="10"/>
      <c r="CH1029" s="48"/>
      <c r="CI1029" s="48"/>
      <c r="CJ1029" s="10"/>
      <c r="CK1029" s="21"/>
    </row>
    <row r="1030" spans="1:89">
      <c r="C1030" s="10"/>
      <c r="D1030" s="10"/>
      <c r="E1030" s="10"/>
      <c r="F1030" s="92"/>
      <c r="G1030" s="10"/>
      <c r="H1030" s="48"/>
      <c r="I1030" s="48"/>
      <c r="J1030" s="10"/>
      <c r="K1030" s="21"/>
      <c r="CC1030" s="10"/>
      <c r="CD1030" s="10"/>
      <c r="CE1030" s="10"/>
      <c r="CF1030" s="92"/>
      <c r="CG1030" s="10"/>
      <c r="CH1030" s="48"/>
      <c r="CI1030" s="48"/>
      <c r="CJ1030" s="10"/>
      <c r="CK1030" s="21"/>
    </row>
    <row r="1031" spans="1:89">
      <c r="C1031" s="10"/>
      <c r="D1031" s="10"/>
      <c r="E1031" s="10"/>
      <c r="F1031" s="10"/>
      <c r="G1031" s="10"/>
      <c r="H1031" s="48"/>
      <c r="I1031" s="48"/>
      <c r="J1031" s="10"/>
      <c r="K1031" s="21"/>
      <c r="CC1031" s="10"/>
      <c r="CD1031" s="10"/>
      <c r="CE1031" s="10"/>
      <c r="CF1031" s="10"/>
      <c r="CG1031" s="10"/>
      <c r="CH1031" s="48"/>
      <c r="CI1031" s="48"/>
      <c r="CJ1031" s="10"/>
      <c r="CK1031" s="21"/>
    </row>
    <row r="1032" spans="1:89">
      <c r="C1032" s="10"/>
      <c r="D1032" s="10"/>
      <c r="E1032" s="10"/>
      <c r="F1032" s="92"/>
      <c r="G1032" s="10"/>
      <c r="H1032" s="48"/>
      <c r="I1032" s="48"/>
      <c r="J1032" s="10"/>
      <c r="K1032" s="21"/>
      <c r="CC1032" s="10"/>
      <c r="CD1032" s="10"/>
      <c r="CE1032" s="10"/>
      <c r="CF1032" s="92"/>
      <c r="CG1032" s="10"/>
      <c r="CH1032" s="48"/>
      <c r="CI1032" s="48"/>
      <c r="CJ1032" s="10"/>
      <c r="CK1032" s="21"/>
    </row>
    <row r="1033" spans="1:89">
      <c r="C1033" s="10"/>
      <c r="D1033" s="10"/>
      <c r="E1033" s="10"/>
      <c r="F1033" s="10"/>
      <c r="G1033" s="10"/>
      <c r="H1033" s="48"/>
      <c r="I1033" s="48"/>
      <c r="J1033" s="10"/>
      <c r="K1033" s="21"/>
      <c r="CC1033" s="10"/>
      <c r="CD1033" s="10"/>
      <c r="CE1033" s="10"/>
      <c r="CF1033" s="10"/>
      <c r="CG1033" s="10"/>
      <c r="CH1033" s="48"/>
      <c r="CI1033" s="48"/>
      <c r="CJ1033" s="10"/>
      <c r="CK1033" s="21"/>
    </row>
    <row r="1034" spans="1:89">
      <c r="C1034" s="10"/>
      <c r="D1034" s="10"/>
      <c r="E1034" s="10"/>
      <c r="F1034" s="92"/>
      <c r="G1034" s="10"/>
      <c r="H1034" s="48"/>
      <c r="I1034" s="48"/>
      <c r="J1034" s="10"/>
      <c r="K1034" s="21"/>
      <c r="CC1034" s="10"/>
      <c r="CD1034" s="10"/>
      <c r="CE1034" s="10"/>
      <c r="CF1034" s="92"/>
      <c r="CG1034" s="10"/>
      <c r="CH1034" s="48"/>
      <c r="CI1034" s="48"/>
      <c r="CJ1034" s="10"/>
      <c r="CK1034" s="21"/>
    </row>
    <row r="1035" spans="1:89">
      <c r="C1035" s="10"/>
      <c r="D1035" s="10"/>
      <c r="E1035" s="10"/>
      <c r="F1035" s="10"/>
      <c r="G1035" s="10"/>
      <c r="H1035" s="48"/>
      <c r="I1035" s="48"/>
      <c r="J1035" s="10"/>
      <c r="K1035" s="21"/>
      <c r="CC1035" s="10"/>
      <c r="CD1035" s="10"/>
      <c r="CE1035" s="10"/>
      <c r="CF1035" s="10"/>
      <c r="CG1035" s="10"/>
      <c r="CH1035" s="48"/>
      <c r="CI1035" s="48"/>
      <c r="CJ1035" s="10"/>
      <c r="CK1035" s="21"/>
    </row>
    <row r="1036" spans="1:89">
      <c r="C1036" s="10"/>
      <c r="D1036" s="10"/>
      <c r="E1036" s="10"/>
      <c r="F1036" s="92"/>
      <c r="G1036" s="10"/>
      <c r="H1036" s="48"/>
      <c r="I1036" s="48"/>
      <c r="J1036" s="10"/>
      <c r="K1036" s="21"/>
      <c r="CC1036" s="10"/>
      <c r="CD1036" s="10"/>
      <c r="CE1036" s="10"/>
      <c r="CF1036" s="92"/>
      <c r="CG1036" s="10"/>
      <c r="CH1036" s="48"/>
      <c r="CI1036" s="48"/>
      <c r="CJ1036" s="10"/>
      <c r="CK1036" s="21"/>
    </row>
    <row r="1037" spans="1:89">
      <c r="C1037" s="10"/>
      <c r="D1037" s="10"/>
      <c r="E1037" s="10"/>
      <c r="F1037" s="92"/>
      <c r="G1037" s="10"/>
      <c r="H1037" s="48"/>
      <c r="I1037" s="99"/>
      <c r="J1037" s="10"/>
      <c r="K1037" s="21"/>
      <c r="CC1037" s="10"/>
      <c r="CD1037" s="10"/>
      <c r="CE1037" s="10"/>
      <c r="CF1037" s="92"/>
      <c r="CG1037" s="10"/>
      <c r="CH1037" s="48"/>
      <c r="CI1037" s="99"/>
      <c r="CJ1037" s="10"/>
      <c r="CK1037" s="21"/>
    </row>
    <row r="1038" spans="1:89">
      <c r="C1038" s="10"/>
      <c r="D1038" s="10"/>
      <c r="E1038" s="10"/>
      <c r="F1038" s="92"/>
      <c r="G1038" s="10"/>
      <c r="H1038" s="48"/>
      <c r="I1038" s="48"/>
      <c r="J1038" s="10"/>
      <c r="K1038" s="21"/>
      <c r="CC1038" s="10"/>
      <c r="CD1038" s="10"/>
      <c r="CE1038" s="10"/>
      <c r="CF1038" s="92"/>
      <c r="CG1038" s="10"/>
      <c r="CH1038" s="48"/>
      <c r="CI1038" s="48"/>
      <c r="CJ1038" s="10"/>
      <c r="CK1038" s="21"/>
    </row>
    <row r="1039" spans="1:89">
      <c r="C1039" s="10"/>
      <c r="D1039" s="10"/>
      <c r="E1039" s="10"/>
      <c r="F1039" s="92"/>
      <c r="G1039" s="10"/>
      <c r="H1039" s="48"/>
      <c r="I1039" s="48"/>
      <c r="J1039" s="10"/>
      <c r="K1039" s="21"/>
      <c r="CC1039" s="10"/>
      <c r="CD1039" s="10"/>
      <c r="CE1039" s="10"/>
      <c r="CF1039" s="92"/>
      <c r="CG1039" s="10"/>
      <c r="CH1039" s="48"/>
      <c r="CI1039" s="48"/>
      <c r="CJ1039" s="10"/>
      <c r="CK1039" s="21"/>
    </row>
    <row r="1040" spans="1:89">
      <c r="C1040" s="10"/>
      <c r="D1040" s="10"/>
      <c r="E1040" s="10"/>
      <c r="F1040" s="92"/>
      <c r="G1040" s="10"/>
      <c r="H1040" s="48"/>
      <c r="I1040" s="48"/>
      <c r="J1040" s="10"/>
      <c r="K1040" s="21"/>
      <c r="CC1040" s="10"/>
      <c r="CD1040" s="10"/>
      <c r="CE1040" s="10"/>
      <c r="CF1040" s="92"/>
      <c r="CG1040" s="10"/>
      <c r="CH1040" s="48"/>
      <c r="CI1040" s="48"/>
      <c r="CJ1040" s="10"/>
      <c r="CK1040" s="21"/>
    </row>
    <row r="1041" spans="1:89">
      <c r="C1041" s="10"/>
      <c r="D1041" s="10"/>
      <c r="E1041" s="10"/>
      <c r="F1041" s="92"/>
      <c r="G1041" s="10"/>
      <c r="H1041" s="48"/>
      <c r="I1041" s="48"/>
      <c r="J1041" s="21"/>
      <c r="K1041" s="21"/>
      <c r="CC1041" s="10"/>
      <c r="CD1041" s="10"/>
      <c r="CE1041" s="10"/>
      <c r="CF1041" s="92"/>
      <c r="CG1041" s="10"/>
      <c r="CH1041" s="48"/>
      <c r="CI1041" s="48"/>
      <c r="CJ1041" s="21"/>
      <c r="CK1041" s="21"/>
    </row>
    <row r="1042" spans="1:89">
      <c r="A1042" s="4" t="s">
        <v>5024</v>
      </c>
      <c r="C1042" s="1" t="s">
        <v>5018</v>
      </c>
      <c r="D1042" s="1" t="s">
        <v>5701</v>
      </c>
      <c r="E1042" s="1" t="s">
        <v>5019</v>
      </c>
      <c r="F1042" s="1" t="s">
        <v>5020</v>
      </c>
      <c r="G1042" s="1" t="s">
        <v>5021</v>
      </c>
      <c r="H1042" s="1" t="s">
        <v>5022</v>
      </c>
      <c r="I1042" s="59" t="s">
        <v>5316</v>
      </c>
      <c r="J1042" s="4"/>
      <c r="K1042" s="21"/>
      <c r="CA1042" s="4" t="s">
        <v>5024</v>
      </c>
      <c r="CC1042" s="1" t="s">
        <v>5018</v>
      </c>
      <c r="CD1042" s="1" t="s">
        <v>5701</v>
      </c>
      <c r="CE1042" s="1" t="s">
        <v>5019</v>
      </c>
      <c r="CF1042" s="1" t="s">
        <v>5020</v>
      </c>
      <c r="CG1042" s="1" t="s">
        <v>5021</v>
      </c>
      <c r="CH1042" s="1" t="s">
        <v>5022</v>
      </c>
      <c r="CI1042" s="59" t="s">
        <v>5316</v>
      </c>
      <c r="CJ1042" s="4"/>
      <c r="CK1042" s="21"/>
    </row>
    <row r="1043" spans="1:89">
      <c r="C1043" s="10"/>
      <c r="D1043" s="10"/>
      <c r="E1043" s="10"/>
      <c r="F1043" s="92"/>
      <c r="G1043" s="10"/>
      <c r="H1043" s="48"/>
      <c r="I1043" s="48"/>
      <c r="J1043" s="10"/>
      <c r="K1043" s="21"/>
      <c r="CC1043" s="10"/>
      <c r="CD1043" s="10"/>
      <c r="CE1043" s="10"/>
      <c r="CF1043" s="92"/>
      <c r="CG1043" s="10"/>
      <c r="CH1043" s="48"/>
      <c r="CI1043" s="48"/>
      <c r="CJ1043" s="10"/>
      <c r="CK1043" s="21"/>
    </row>
    <row r="1044" spans="1:89">
      <c r="C1044" s="10"/>
      <c r="D1044" s="10"/>
      <c r="E1044" s="10"/>
      <c r="F1044" s="92"/>
      <c r="G1044" s="10"/>
      <c r="H1044" s="48"/>
      <c r="I1044" s="48"/>
      <c r="J1044" s="10"/>
      <c r="K1044" s="21"/>
      <c r="CC1044" s="10"/>
      <c r="CD1044" s="10"/>
      <c r="CE1044" s="10"/>
      <c r="CF1044" s="92"/>
      <c r="CG1044" s="10"/>
      <c r="CH1044" s="48"/>
      <c r="CI1044" s="48"/>
      <c r="CJ1044" s="10"/>
      <c r="CK1044" s="21"/>
    </row>
    <row r="1045" spans="1:89">
      <c r="C1045" s="10"/>
      <c r="D1045" s="10"/>
      <c r="E1045" s="10"/>
      <c r="F1045" s="92"/>
      <c r="G1045" s="10"/>
      <c r="H1045" s="48"/>
      <c r="I1045" s="48"/>
      <c r="J1045" s="10"/>
      <c r="K1045" s="21"/>
      <c r="CC1045" s="10"/>
      <c r="CD1045" s="10"/>
      <c r="CE1045" s="10"/>
      <c r="CF1045" s="92"/>
      <c r="CG1045" s="10"/>
      <c r="CH1045" s="48"/>
      <c r="CI1045" s="48"/>
      <c r="CJ1045" s="10"/>
      <c r="CK1045" s="21"/>
    </row>
    <row r="1046" spans="1:89">
      <c r="C1046" s="10"/>
      <c r="D1046" s="10"/>
      <c r="E1046" s="10"/>
      <c r="F1046" s="92"/>
      <c r="G1046" s="10"/>
      <c r="H1046" s="48"/>
      <c r="I1046" s="48"/>
      <c r="J1046" s="10"/>
      <c r="K1046" s="21"/>
      <c r="CC1046" s="10"/>
      <c r="CD1046" s="10"/>
      <c r="CE1046" s="10"/>
      <c r="CF1046" s="92"/>
      <c r="CG1046" s="10"/>
      <c r="CH1046" s="48"/>
      <c r="CI1046" s="48"/>
      <c r="CJ1046" s="10"/>
      <c r="CK1046" s="21"/>
    </row>
    <row r="1047" spans="1:89">
      <c r="C1047" s="10"/>
      <c r="D1047" s="10"/>
      <c r="E1047" s="10"/>
      <c r="F1047" s="10"/>
      <c r="G1047" s="10"/>
      <c r="H1047" s="48"/>
      <c r="I1047" s="48"/>
      <c r="J1047" s="10"/>
      <c r="K1047" s="21"/>
      <c r="CC1047" s="10"/>
      <c r="CD1047" s="10"/>
      <c r="CE1047" s="10"/>
      <c r="CF1047" s="10"/>
      <c r="CG1047" s="10"/>
      <c r="CH1047" s="48"/>
      <c r="CI1047" s="48"/>
      <c r="CJ1047" s="10"/>
      <c r="CK1047" s="21"/>
    </row>
    <row r="1048" spans="1:89">
      <c r="C1048" s="10"/>
      <c r="D1048" s="10"/>
      <c r="E1048" s="10"/>
      <c r="F1048" s="92"/>
      <c r="G1048" s="10"/>
      <c r="H1048" s="48"/>
      <c r="I1048" s="99"/>
      <c r="J1048" s="10"/>
      <c r="K1048" s="21"/>
      <c r="CC1048" s="10"/>
      <c r="CD1048" s="10"/>
      <c r="CE1048" s="10"/>
      <c r="CF1048" s="92"/>
      <c r="CG1048" s="10"/>
      <c r="CH1048" s="48"/>
      <c r="CI1048" s="99"/>
      <c r="CJ1048" s="10"/>
      <c r="CK1048" s="21"/>
    </row>
    <row r="1049" spans="1:89">
      <c r="C1049" s="10"/>
      <c r="D1049" s="10"/>
      <c r="E1049" s="10"/>
      <c r="F1049" s="10"/>
      <c r="G1049" s="10"/>
      <c r="H1049" s="48"/>
      <c r="I1049" s="48"/>
      <c r="J1049" s="10"/>
      <c r="K1049" s="21"/>
      <c r="CC1049" s="10"/>
      <c r="CD1049" s="10"/>
      <c r="CE1049" s="10"/>
      <c r="CF1049" s="10"/>
      <c r="CG1049" s="10"/>
      <c r="CH1049" s="48"/>
      <c r="CI1049" s="48"/>
      <c r="CJ1049" s="10"/>
      <c r="CK1049" s="21"/>
    </row>
    <row r="1050" spans="1:89">
      <c r="C1050" s="10"/>
      <c r="D1050" s="10"/>
      <c r="E1050" s="10"/>
      <c r="F1050" s="92"/>
      <c r="G1050" s="10"/>
      <c r="H1050" s="48"/>
      <c r="I1050" s="48"/>
      <c r="J1050" s="10"/>
      <c r="K1050" s="21"/>
      <c r="CC1050" s="10"/>
      <c r="CD1050" s="10"/>
      <c r="CE1050" s="10"/>
      <c r="CF1050" s="92"/>
      <c r="CG1050" s="10"/>
      <c r="CH1050" s="48"/>
      <c r="CI1050" s="48"/>
      <c r="CJ1050" s="10"/>
      <c r="CK1050" s="21"/>
    </row>
    <row r="1051" spans="1:89">
      <c r="C1051" s="10"/>
      <c r="D1051" s="10"/>
      <c r="E1051" s="10"/>
      <c r="F1051" s="92"/>
      <c r="G1051" s="10"/>
      <c r="H1051" s="48"/>
      <c r="I1051" s="48"/>
      <c r="J1051" s="10"/>
      <c r="K1051" s="21"/>
      <c r="CC1051" s="10"/>
      <c r="CD1051" s="10"/>
      <c r="CE1051" s="10"/>
      <c r="CF1051" s="92"/>
      <c r="CG1051" s="10"/>
      <c r="CH1051" s="48"/>
      <c r="CI1051" s="48"/>
      <c r="CJ1051" s="10"/>
      <c r="CK1051" s="21"/>
    </row>
    <row r="1052" spans="1:89">
      <c r="C1052" s="10"/>
      <c r="D1052" s="10"/>
      <c r="E1052" s="10"/>
      <c r="F1052" s="92"/>
      <c r="G1052" s="10"/>
      <c r="H1052" s="48"/>
      <c r="I1052" s="48"/>
      <c r="J1052" s="10"/>
      <c r="K1052" s="21"/>
      <c r="CC1052" s="10"/>
      <c r="CD1052" s="10"/>
      <c r="CE1052" s="10"/>
      <c r="CF1052" s="92"/>
      <c r="CG1052" s="10"/>
      <c r="CH1052" s="48"/>
      <c r="CI1052" s="48"/>
      <c r="CJ1052" s="10"/>
      <c r="CK1052" s="21"/>
    </row>
    <row r="1053" spans="1:89">
      <c r="C1053" s="10"/>
      <c r="D1053" s="10"/>
      <c r="E1053" s="10"/>
      <c r="F1053" s="92"/>
      <c r="G1053" s="10"/>
      <c r="H1053" s="48"/>
      <c r="I1053" s="48"/>
      <c r="J1053" s="10"/>
      <c r="K1053" s="21"/>
      <c r="CC1053" s="10"/>
      <c r="CD1053" s="10"/>
      <c r="CE1053" s="10"/>
      <c r="CF1053" s="92"/>
      <c r="CG1053" s="10"/>
      <c r="CH1053" s="48"/>
      <c r="CI1053" s="48"/>
      <c r="CJ1053" s="10"/>
      <c r="CK1053" s="21"/>
    </row>
    <row r="1054" spans="1:89">
      <c r="C1054" s="10"/>
      <c r="D1054" s="10"/>
      <c r="E1054" s="10"/>
      <c r="F1054" s="92"/>
      <c r="G1054" s="10"/>
      <c r="H1054" s="48"/>
      <c r="I1054" s="48"/>
      <c r="J1054" s="10"/>
      <c r="K1054" s="21"/>
      <c r="CC1054" s="10"/>
      <c r="CD1054" s="10"/>
      <c r="CE1054" s="10"/>
      <c r="CF1054" s="92"/>
      <c r="CG1054" s="10"/>
      <c r="CH1054" s="48"/>
      <c r="CI1054" s="48"/>
      <c r="CJ1054" s="10"/>
      <c r="CK1054" s="21"/>
    </row>
    <row r="1055" spans="1:89">
      <c r="C1055" s="10"/>
      <c r="D1055" s="10"/>
      <c r="E1055" s="10"/>
      <c r="F1055" s="10"/>
      <c r="G1055" s="10"/>
      <c r="H1055" s="48"/>
      <c r="I1055" s="48"/>
      <c r="J1055" s="10"/>
      <c r="K1055" s="21"/>
      <c r="CC1055" s="10"/>
      <c r="CD1055" s="10"/>
      <c r="CE1055" s="10"/>
      <c r="CF1055" s="10"/>
      <c r="CG1055" s="10"/>
      <c r="CH1055" s="48"/>
      <c r="CI1055" s="48"/>
      <c r="CJ1055" s="10"/>
      <c r="CK1055" s="21"/>
    </row>
    <row r="1056" spans="1:89">
      <c r="C1056" s="10"/>
      <c r="D1056" s="10"/>
      <c r="E1056" s="10"/>
      <c r="F1056" s="92"/>
      <c r="G1056" s="10"/>
      <c r="H1056" s="48"/>
      <c r="I1056" s="48"/>
      <c r="J1056" s="10"/>
      <c r="K1056" s="21"/>
      <c r="CC1056" s="10"/>
      <c r="CD1056" s="10"/>
      <c r="CE1056" s="10"/>
      <c r="CF1056" s="92"/>
      <c r="CG1056" s="10"/>
      <c r="CH1056" s="48"/>
      <c r="CI1056" s="48"/>
      <c r="CJ1056" s="10"/>
      <c r="CK1056" s="21"/>
    </row>
    <row r="1057" spans="1:89">
      <c r="C1057" s="10"/>
      <c r="D1057" s="10"/>
      <c r="E1057" s="10"/>
      <c r="F1057" s="92"/>
      <c r="G1057" s="10"/>
      <c r="H1057" s="48"/>
      <c r="I1057" s="48"/>
      <c r="J1057" s="10"/>
      <c r="K1057" s="21"/>
      <c r="CC1057" s="10"/>
      <c r="CD1057" s="10"/>
      <c r="CE1057" s="10"/>
      <c r="CF1057" s="92"/>
      <c r="CG1057" s="10"/>
      <c r="CH1057" s="48"/>
      <c r="CI1057" s="48"/>
      <c r="CJ1057" s="10"/>
      <c r="CK1057" s="21"/>
    </row>
    <row r="1058" spans="1:89">
      <c r="C1058" s="10"/>
      <c r="D1058" s="10"/>
      <c r="E1058" s="10"/>
      <c r="F1058" s="92"/>
      <c r="G1058" s="10"/>
      <c r="H1058" s="48"/>
      <c r="I1058" s="48"/>
      <c r="J1058" s="10"/>
      <c r="K1058" s="21"/>
      <c r="CC1058" s="10"/>
      <c r="CD1058" s="10"/>
      <c r="CE1058" s="10"/>
      <c r="CF1058" s="92"/>
      <c r="CG1058" s="10"/>
      <c r="CH1058" s="48"/>
      <c r="CI1058" s="48"/>
      <c r="CJ1058" s="10"/>
      <c r="CK1058" s="21"/>
    </row>
    <row r="1059" spans="1:89">
      <c r="C1059" s="10"/>
      <c r="D1059" s="10"/>
      <c r="E1059" s="10"/>
      <c r="F1059" s="92"/>
      <c r="G1059" s="10"/>
      <c r="H1059" s="48"/>
      <c r="I1059" s="48"/>
      <c r="J1059" s="10"/>
      <c r="K1059" s="21"/>
      <c r="CC1059" s="10"/>
      <c r="CD1059" s="10"/>
      <c r="CE1059" s="10"/>
      <c r="CF1059" s="92"/>
      <c r="CG1059" s="10"/>
      <c r="CH1059" s="48"/>
      <c r="CI1059" s="48"/>
      <c r="CJ1059" s="10"/>
      <c r="CK1059" s="21"/>
    </row>
    <row r="1060" spans="1:89">
      <c r="C1060" s="10"/>
      <c r="D1060" s="10"/>
      <c r="E1060" s="10"/>
      <c r="F1060" s="92"/>
      <c r="G1060" s="10"/>
      <c r="H1060" s="48"/>
      <c r="I1060" s="48"/>
      <c r="J1060" s="10"/>
      <c r="K1060" s="21"/>
      <c r="CC1060" s="10"/>
      <c r="CD1060" s="10"/>
      <c r="CE1060" s="10"/>
      <c r="CF1060" s="92"/>
      <c r="CG1060" s="10"/>
      <c r="CH1060" s="48"/>
      <c r="CI1060" s="48"/>
      <c r="CJ1060" s="10"/>
      <c r="CK1060" s="21"/>
    </row>
    <row r="1061" spans="1:89">
      <c r="C1061" s="10"/>
      <c r="D1061" s="10"/>
      <c r="E1061" s="10"/>
      <c r="F1061" s="92"/>
      <c r="G1061" s="10"/>
      <c r="H1061" s="48"/>
      <c r="I1061" s="48"/>
      <c r="J1061" s="10"/>
      <c r="K1061" s="21"/>
      <c r="CC1061" s="10"/>
      <c r="CD1061" s="10"/>
      <c r="CE1061" s="10"/>
      <c r="CF1061" s="92"/>
      <c r="CG1061" s="10"/>
      <c r="CH1061" s="48"/>
      <c r="CI1061" s="48"/>
      <c r="CJ1061" s="10"/>
      <c r="CK1061" s="21"/>
    </row>
    <row r="1062" spans="1:89">
      <c r="C1062" s="10"/>
      <c r="D1062" s="10"/>
      <c r="E1062" s="10"/>
      <c r="F1062" s="92"/>
      <c r="G1062" s="10"/>
      <c r="H1062" s="48"/>
      <c r="I1062" s="48"/>
      <c r="J1062" s="10"/>
      <c r="K1062" s="21"/>
      <c r="CC1062" s="10"/>
      <c r="CD1062" s="10"/>
      <c r="CE1062" s="10"/>
      <c r="CF1062" s="92"/>
      <c r="CG1062" s="10"/>
      <c r="CH1062" s="48"/>
      <c r="CI1062" s="48"/>
      <c r="CJ1062" s="10"/>
      <c r="CK1062" s="21"/>
    </row>
    <row r="1063" spans="1:89">
      <c r="A1063" s="21"/>
      <c r="B1063" s="21"/>
      <c r="C1063" s="21"/>
      <c r="D1063" s="14"/>
      <c r="E1063" s="14"/>
      <c r="F1063" s="14"/>
      <c r="G1063" s="14"/>
      <c r="H1063" s="14"/>
      <c r="I1063" s="87"/>
      <c r="J1063" s="21"/>
      <c r="K1063" s="21"/>
      <c r="CA1063" s="21"/>
      <c r="CB1063" s="21"/>
      <c r="CC1063" s="21"/>
      <c r="CD1063" s="14"/>
      <c r="CE1063" s="14"/>
      <c r="CF1063" s="14"/>
      <c r="CG1063" s="14"/>
      <c r="CH1063" s="14"/>
      <c r="CI1063" s="87"/>
      <c r="CJ1063" s="21"/>
      <c r="CK1063" s="21"/>
    </row>
    <row r="1064" spans="1:89">
      <c r="A1064" s="4" t="s">
        <v>5025</v>
      </c>
      <c r="C1064" s="1" t="s">
        <v>5018</v>
      </c>
      <c r="D1064" s="1" t="s">
        <v>5701</v>
      </c>
      <c r="E1064" s="1" t="s">
        <v>5019</v>
      </c>
      <c r="F1064" s="1" t="s">
        <v>5020</v>
      </c>
      <c r="G1064" s="1" t="s">
        <v>5021</v>
      </c>
      <c r="H1064" s="1" t="s">
        <v>5022</v>
      </c>
      <c r="I1064" s="59" t="s">
        <v>5316</v>
      </c>
      <c r="J1064" s="4"/>
      <c r="K1064" s="21"/>
      <c r="CA1064" s="4" t="s">
        <v>5025</v>
      </c>
      <c r="CC1064" s="1" t="s">
        <v>5018</v>
      </c>
      <c r="CD1064" s="1" t="s">
        <v>5701</v>
      </c>
      <c r="CE1064" s="1" t="s">
        <v>5019</v>
      </c>
      <c r="CF1064" s="1" t="s">
        <v>5020</v>
      </c>
      <c r="CG1064" s="1" t="s">
        <v>5021</v>
      </c>
      <c r="CH1064" s="1" t="s">
        <v>5022</v>
      </c>
      <c r="CI1064" s="59" t="s">
        <v>5316</v>
      </c>
      <c r="CJ1064" s="4"/>
      <c r="CK1064" s="21"/>
    </row>
    <row r="1065" spans="1:89">
      <c r="C1065" s="10"/>
      <c r="D1065" s="10"/>
      <c r="E1065" s="10"/>
      <c r="F1065" s="92"/>
      <c r="G1065" s="10"/>
      <c r="H1065" s="48"/>
      <c r="I1065" s="48"/>
      <c r="J1065" s="10"/>
      <c r="K1065" s="21"/>
      <c r="CC1065" s="10"/>
      <c r="CD1065" s="10"/>
      <c r="CE1065" s="10"/>
      <c r="CF1065" s="92"/>
      <c r="CG1065" s="10"/>
      <c r="CH1065" s="48"/>
      <c r="CI1065" s="48"/>
      <c r="CJ1065" s="10"/>
      <c r="CK1065" s="21"/>
    </row>
    <row r="1066" spans="1:89">
      <c r="C1066" s="10"/>
      <c r="D1066" s="10"/>
      <c r="E1066" s="10"/>
      <c r="F1066" s="92"/>
      <c r="G1066" s="10"/>
      <c r="H1066" s="48"/>
      <c r="I1066" s="48"/>
      <c r="J1066" s="10"/>
      <c r="K1066" s="21"/>
      <c r="CC1066" s="10"/>
      <c r="CD1066" s="10"/>
      <c r="CE1066" s="10"/>
      <c r="CF1066" s="92"/>
      <c r="CG1066" s="10"/>
      <c r="CH1066" s="48"/>
      <c r="CI1066" s="48"/>
      <c r="CJ1066" s="10"/>
      <c r="CK1066" s="21"/>
    </row>
    <row r="1067" spans="1:89">
      <c r="C1067" s="10"/>
      <c r="D1067" s="10"/>
      <c r="E1067" s="10"/>
      <c r="F1067" s="92"/>
      <c r="G1067" s="10"/>
      <c r="H1067" s="48"/>
      <c r="I1067" s="48"/>
      <c r="J1067" s="10"/>
      <c r="K1067" s="21"/>
      <c r="CC1067" s="10"/>
      <c r="CD1067" s="10"/>
      <c r="CE1067" s="10"/>
      <c r="CF1067" s="92"/>
      <c r="CG1067" s="10"/>
      <c r="CH1067" s="48"/>
      <c r="CI1067" s="48"/>
      <c r="CJ1067" s="10"/>
      <c r="CK1067" s="21"/>
    </row>
    <row r="1068" spans="1:89">
      <c r="C1068" s="10"/>
      <c r="D1068" s="10"/>
      <c r="E1068" s="10"/>
      <c r="F1068" s="92"/>
      <c r="G1068" s="10"/>
      <c r="H1068" s="48"/>
      <c r="I1068" s="48"/>
      <c r="J1068" s="10"/>
      <c r="K1068" s="21"/>
      <c r="CC1068" s="10"/>
      <c r="CD1068" s="10"/>
      <c r="CE1068" s="10"/>
      <c r="CF1068" s="92"/>
      <c r="CG1068" s="10"/>
      <c r="CH1068" s="48"/>
      <c r="CI1068" s="48"/>
      <c r="CJ1068" s="10"/>
      <c r="CK1068" s="21"/>
    </row>
    <row r="1069" spans="1:89">
      <c r="C1069" s="10"/>
      <c r="D1069" s="10"/>
      <c r="E1069" s="10"/>
      <c r="F1069" s="92"/>
      <c r="G1069" s="10"/>
      <c r="H1069" s="48"/>
      <c r="I1069" s="48"/>
      <c r="J1069" s="10"/>
      <c r="K1069" s="21"/>
      <c r="CC1069" s="10"/>
      <c r="CD1069" s="10"/>
      <c r="CE1069" s="10"/>
      <c r="CF1069" s="92"/>
      <c r="CG1069" s="10"/>
      <c r="CH1069" s="48"/>
      <c r="CI1069" s="48"/>
      <c r="CJ1069" s="10"/>
      <c r="CK1069" s="21"/>
    </row>
    <row r="1070" spans="1:89">
      <c r="C1070" s="10"/>
      <c r="D1070" s="10"/>
      <c r="E1070" s="10"/>
      <c r="F1070" s="92"/>
      <c r="G1070" s="10"/>
      <c r="H1070" s="48"/>
      <c r="I1070" s="48"/>
      <c r="J1070" s="10"/>
      <c r="K1070" s="21"/>
      <c r="CC1070" s="10"/>
      <c r="CD1070" s="10"/>
      <c r="CE1070" s="10"/>
      <c r="CF1070" s="92"/>
      <c r="CG1070" s="10"/>
      <c r="CH1070" s="48"/>
      <c r="CI1070" s="48"/>
      <c r="CJ1070" s="10"/>
      <c r="CK1070" s="21"/>
    </row>
    <row r="1071" spans="1:89">
      <c r="C1071" s="10"/>
      <c r="D1071" s="10"/>
      <c r="E1071" s="10"/>
      <c r="F1071" s="10"/>
      <c r="G1071" s="10"/>
      <c r="H1071" s="48"/>
      <c r="I1071" s="48"/>
      <c r="J1071" s="10"/>
      <c r="K1071" s="21"/>
      <c r="CC1071" s="10"/>
      <c r="CD1071" s="10"/>
      <c r="CE1071" s="10"/>
      <c r="CF1071" s="10"/>
      <c r="CG1071" s="10"/>
      <c r="CH1071" s="48"/>
      <c r="CI1071" s="48"/>
      <c r="CJ1071" s="10"/>
      <c r="CK1071" s="21"/>
    </row>
    <row r="1072" spans="1:89">
      <c r="C1072" s="10"/>
      <c r="D1072" s="10"/>
      <c r="E1072" s="10"/>
      <c r="F1072" s="92"/>
      <c r="G1072" s="10"/>
      <c r="H1072" s="48"/>
      <c r="I1072" s="48"/>
      <c r="J1072" s="10"/>
      <c r="K1072" s="21"/>
      <c r="CC1072" s="10"/>
      <c r="CD1072" s="10"/>
      <c r="CE1072" s="10"/>
      <c r="CF1072" s="92"/>
      <c r="CG1072" s="10"/>
      <c r="CH1072" s="48"/>
      <c r="CI1072" s="48"/>
      <c r="CJ1072" s="10"/>
      <c r="CK1072" s="21"/>
    </row>
    <row r="1073" spans="1:89">
      <c r="C1073" s="10"/>
      <c r="D1073" s="10"/>
      <c r="E1073" s="10"/>
      <c r="F1073" s="92"/>
      <c r="G1073" s="10"/>
      <c r="H1073" s="48"/>
      <c r="I1073" s="48"/>
      <c r="J1073" s="10"/>
      <c r="K1073" s="21"/>
      <c r="CC1073" s="10"/>
      <c r="CD1073" s="10"/>
      <c r="CE1073" s="10"/>
      <c r="CF1073" s="92"/>
      <c r="CG1073" s="10"/>
      <c r="CH1073" s="48"/>
      <c r="CI1073" s="48"/>
      <c r="CJ1073" s="10"/>
      <c r="CK1073" s="21"/>
    </row>
    <row r="1074" spans="1:89">
      <c r="C1074" s="10"/>
      <c r="D1074" s="10"/>
      <c r="E1074" s="10"/>
      <c r="F1074" s="10"/>
      <c r="G1074" s="10"/>
      <c r="H1074" s="48"/>
      <c r="I1074" s="48"/>
      <c r="J1074" s="10"/>
      <c r="K1074" s="21"/>
      <c r="CC1074" s="10"/>
      <c r="CD1074" s="10"/>
      <c r="CE1074" s="10"/>
      <c r="CF1074" s="10"/>
      <c r="CG1074" s="10"/>
      <c r="CH1074" s="48"/>
      <c r="CI1074" s="48"/>
      <c r="CJ1074" s="10"/>
      <c r="CK1074" s="21"/>
    </row>
    <row r="1075" spans="1:89">
      <c r="C1075" s="10"/>
      <c r="D1075" s="10"/>
      <c r="E1075" s="10"/>
      <c r="F1075" s="10"/>
      <c r="G1075" s="10"/>
      <c r="H1075" s="48"/>
      <c r="I1075" s="48"/>
      <c r="J1075" s="10"/>
      <c r="K1075" s="21"/>
      <c r="CC1075" s="10"/>
      <c r="CD1075" s="10"/>
      <c r="CE1075" s="10"/>
      <c r="CF1075" s="10"/>
      <c r="CG1075" s="10"/>
      <c r="CH1075" s="48"/>
      <c r="CI1075" s="48"/>
      <c r="CJ1075" s="10"/>
      <c r="CK1075" s="21"/>
    </row>
    <row r="1076" spans="1:89">
      <c r="C1076" s="10"/>
      <c r="D1076" s="10"/>
      <c r="E1076" s="10"/>
      <c r="F1076" s="92"/>
      <c r="G1076" s="10"/>
      <c r="H1076" s="48"/>
      <c r="I1076" s="48"/>
      <c r="J1076" s="10"/>
      <c r="K1076" s="21"/>
      <c r="CC1076" s="10"/>
      <c r="CD1076" s="10"/>
      <c r="CE1076" s="10"/>
      <c r="CF1076" s="92"/>
      <c r="CG1076" s="10"/>
      <c r="CH1076" s="48"/>
      <c r="CI1076" s="48"/>
      <c r="CJ1076" s="10"/>
      <c r="CK1076" s="21"/>
    </row>
    <row r="1077" spans="1:89">
      <c r="A1077" s="21"/>
      <c r="B1077" s="21"/>
      <c r="C1077" s="21"/>
      <c r="D1077" s="14"/>
      <c r="E1077" s="14"/>
      <c r="F1077" s="110"/>
      <c r="G1077" s="14"/>
      <c r="H1077" s="87"/>
      <c r="I1077" s="44"/>
      <c r="J1077" s="10"/>
      <c r="K1077" s="21"/>
      <c r="CA1077" s="21"/>
      <c r="CB1077" s="21"/>
      <c r="CC1077" s="21"/>
      <c r="CD1077" s="14"/>
      <c r="CE1077" s="14"/>
      <c r="CF1077" s="110"/>
      <c r="CG1077" s="14"/>
      <c r="CH1077" s="87"/>
      <c r="CI1077" s="44"/>
      <c r="CJ1077" s="10"/>
      <c r="CK1077" s="21"/>
    </row>
    <row r="1078" spans="1:89">
      <c r="C1078" s="10"/>
      <c r="D1078" s="10"/>
      <c r="E1078" s="10"/>
      <c r="F1078" s="92"/>
      <c r="G1078" s="10"/>
      <c r="H1078" s="48"/>
      <c r="I1078" s="48"/>
      <c r="J1078" s="10"/>
      <c r="K1078" s="21"/>
      <c r="CC1078" s="10"/>
      <c r="CD1078" s="10"/>
      <c r="CE1078" s="10"/>
      <c r="CF1078" s="92"/>
      <c r="CG1078" s="10"/>
      <c r="CH1078" s="48"/>
      <c r="CI1078" s="48"/>
      <c r="CJ1078" s="10"/>
      <c r="CK1078" s="21"/>
    </row>
    <row r="1079" spans="1:89">
      <c r="C1079" s="10"/>
      <c r="D1079" s="10"/>
      <c r="E1079" s="10"/>
      <c r="F1079" s="92"/>
      <c r="G1079" s="10"/>
      <c r="H1079" s="48"/>
      <c r="I1079" s="48"/>
      <c r="J1079" s="10"/>
      <c r="K1079" s="21"/>
      <c r="CC1079" s="10"/>
      <c r="CD1079" s="10"/>
      <c r="CE1079" s="10"/>
      <c r="CF1079" s="92"/>
      <c r="CG1079" s="10"/>
      <c r="CH1079" s="48"/>
      <c r="CI1079" s="48"/>
      <c r="CJ1079" s="10"/>
      <c r="CK1079" s="21"/>
    </row>
    <row r="1080" spans="1:89">
      <c r="C1080" s="10"/>
      <c r="D1080" s="10"/>
      <c r="E1080" s="10"/>
      <c r="F1080" s="92"/>
      <c r="G1080" s="10"/>
      <c r="H1080" s="48"/>
      <c r="I1080" s="48"/>
      <c r="J1080" s="10"/>
      <c r="K1080" s="21"/>
      <c r="CC1080" s="10"/>
      <c r="CD1080" s="10"/>
      <c r="CE1080" s="10"/>
      <c r="CF1080" s="92"/>
      <c r="CG1080" s="10"/>
      <c r="CH1080" s="48"/>
      <c r="CI1080" s="48"/>
      <c r="CJ1080" s="10"/>
      <c r="CK1080" s="21"/>
    </row>
    <row r="1081" spans="1:89">
      <c r="C1081" s="10"/>
      <c r="D1081" s="10"/>
      <c r="E1081" s="10"/>
      <c r="F1081" s="92"/>
      <c r="G1081" s="10"/>
      <c r="H1081" s="48"/>
      <c r="I1081" s="48"/>
      <c r="J1081" s="10"/>
      <c r="K1081" s="21"/>
      <c r="CC1081" s="10"/>
      <c r="CD1081" s="10"/>
      <c r="CE1081" s="10"/>
      <c r="CF1081" s="92"/>
      <c r="CG1081" s="10"/>
      <c r="CH1081" s="48"/>
      <c r="CI1081" s="48"/>
      <c r="CJ1081" s="10"/>
      <c r="CK1081" s="21"/>
    </row>
    <row r="1082" spans="1:89">
      <c r="C1082" s="10"/>
      <c r="D1082" s="10"/>
      <c r="E1082" s="10"/>
      <c r="F1082" s="92"/>
      <c r="G1082" s="10"/>
      <c r="H1082" s="48"/>
      <c r="I1082" s="48"/>
      <c r="J1082" s="21"/>
      <c r="K1082" s="21"/>
      <c r="CC1082" s="10"/>
      <c r="CD1082" s="10"/>
      <c r="CE1082" s="10"/>
      <c r="CF1082" s="92"/>
      <c r="CG1082" s="10"/>
      <c r="CH1082" s="48"/>
      <c r="CI1082" s="48"/>
      <c r="CJ1082" s="21"/>
      <c r="CK1082" s="21"/>
    </row>
    <row r="1083" spans="1:89">
      <c r="A1083" s="4" t="s">
        <v>5026</v>
      </c>
      <c r="C1083" s="1" t="s">
        <v>5018</v>
      </c>
      <c r="D1083" s="1" t="s">
        <v>5701</v>
      </c>
      <c r="E1083" s="1" t="s">
        <v>5019</v>
      </c>
      <c r="F1083" s="1" t="s">
        <v>5020</v>
      </c>
      <c r="G1083" s="1" t="s">
        <v>5021</v>
      </c>
      <c r="H1083" s="1" t="s">
        <v>5022</v>
      </c>
      <c r="I1083" s="59" t="s">
        <v>5316</v>
      </c>
      <c r="J1083" s="4"/>
      <c r="K1083" s="21"/>
      <c r="CA1083" s="4" t="s">
        <v>5026</v>
      </c>
      <c r="CC1083" s="1" t="s">
        <v>5018</v>
      </c>
      <c r="CD1083" s="1" t="s">
        <v>5701</v>
      </c>
      <c r="CE1083" s="1" t="s">
        <v>5019</v>
      </c>
      <c r="CF1083" s="1" t="s">
        <v>5020</v>
      </c>
      <c r="CG1083" s="1" t="s">
        <v>5021</v>
      </c>
      <c r="CH1083" s="1" t="s">
        <v>5022</v>
      </c>
      <c r="CI1083" s="59" t="s">
        <v>5316</v>
      </c>
      <c r="CJ1083" s="4"/>
      <c r="CK1083" s="21"/>
    </row>
    <row r="1084" spans="1:89">
      <c r="C1084" s="10"/>
      <c r="D1084" s="10"/>
      <c r="E1084" s="10"/>
      <c r="F1084" s="92"/>
      <c r="G1084" s="10"/>
      <c r="H1084" s="48"/>
      <c r="I1084" s="48"/>
      <c r="J1084" s="10"/>
      <c r="K1084" s="21"/>
      <c r="CC1084" s="10"/>
      <c r="CD1084" s="10"/>
      <c r="CE1084" s="10"/>
      <c r="CF1084" s="92"/>
      <c r="CG1084" s="10"/>
      <c r="CH1084" s="48"/>
      <c r="CI1084" s="48"/>
      <c r="CJ1084" s="10"/>
      <c r="CK1084" s="21"/>
    </row>
    <row r="1085" spans="1:89">
      <c r="C1085" s="10"/>
      <c r="D1085" s="10"/>
      <c r="E1085" s="10"/>
      <c r="F1085" s="92"/>
      <c r="G1085" s="10"/>
      <c r="H1085" s="48"/>
      <c r="I1085" s="48"/>
      <c r="J1085" s="10"/>
      <c r="K1085" s="21"/>
      <c r="CC1085" s="10"/>
      <c r="CD1085" s="10"/>
      <c r="CE1085" s="10"/>
      <c r="CF1085" s="92"/>
      <c r="CG1085" s="10"/>
      <c r="CH1085" s="48"/>
      <c r="CI1085" s="48"/>
      <c r="CJ1085" s="10"/>
      <c r="CK1085" s="21"/>
    </row>
    <row r="1086" spans="1:89">
      <c r="A1086" s="21"/>
      <c r="B1086" s="21"/>
      <c r="C1086" s="21"/>
      <c r="D1086" s="14"/>
      <c r="E1086" s="14"/>
      <c r="F1086" s="110"/>
      <c r="G1086" s="14"/>
      <c r="H1086" s="87"/>
      <c r="I1086" s="44"/>
      <c r="J1086" s="10"/>
      <c r="K1086" s="21"/>
      <c r="CA1086" s="21"/>
      <c r="CB1086" s="21"/>
      <c r="CC1086" s="21"/>
      <c r="CD1086" s="14"/>
      <c r="CE1086" s="14"/>
      <c r="CF1086" s="110"/>
      <c r="CG1086" s="14"/>
      <c r="CH1086" s="87"/>
      <c r="CI1086" s="44"/>
      <c r="CJ1086" s="10"/>
      <c r="CK1086" s="21"/>
    </row>
    <row r="1087" spans="1:89">
      <c r="C1087" s="10"/>
      <c r="D1087" s="10"/>
      <c r="E1087" s="10"/>
      <c r="F1087" s="92"/>
      <c r="G1087" s="10"/>
      <c r="H1087" s="48"/>
      <c r="I1087" s="48"/>
      <c r="J1087" s="10"/>
      <c r="K1087" s="21"/>
      <c r="CC1087" s="10"/>
      <c r="CD1087" s="10"/>
      <c r="CE1087" s="10"/>
      <c r="CF1087" s="92"/>
      <c r="CG1087" s="10"/>
      <c r="CH1087" s="48"/>
      <c r="CI1087" s="48"/>
      <c r="CJ1087" s="10"/>
      <c r="CK1087" s="21"/>
    </row>
    <row r="1088" spans="1:89">
      <c r="C1088" s="10"/>
      <c r="D1088" s="10"/>
      <c r="E1088" s="10"/>
      <c r="F1088" s="92"/>
      <c r="G1088" s="10"/>
      <c r="H1088" s="48"/>
      <c r="I1088" s="48"/>
      <c r="J1088" s="10"/>
      <c r="K1088" s="21"/>
      <c r="CC1088" s="10"/>
      <c r="CD1088" s="10"/>
      <c r="CE1088" s="10"/>
      <c r="CF1088" s="92"/>
      <c r="CG1088" s="10"/>
      <c r="CH1088" s="48"/>
      <c r="CI1088" s="48"/>
      <c r="CJ1088" s="10"/>
      <c r="CK1088" s="21"/>
    </row>
    <row r="1089" spans="1:89">
      <c r="C1089" s="10"/>
      <c r="D1089" s="10"/>
      <c r="E1089" s="10"/>
      <c r="F1089" s="92"/>
      <c r="G1089" s="10"/>
      <c r="H1089" s="48"/>
      <c r="I1089" s="48"/>
      <c r="J1089" s="10"/>
      <c r="K1089" s="21"/>
      <c r="CC1089" s="10"/>
      <c r="CD1089" s="10"/>
      <c r="CE1089" s="10"/>
      <c r="CF1089" s="92"/>
      <c r="CG1089" s="10"/>
      <c r="CH1089" s="48"/>
      <c r="CI1089" s="48"/>
      <c r="CJ1089" s="10"/>
      <c r="CK1089" s="21"/>
    </row>
    <row r="1090" spans="1:89">
      <c r="C1090" s="10"/>
      <c r="D1090" s="10"/>
      <c r="E1090" s="10"/>
      <c r="F1090" s="92"/>
      <c r="G1090" s="10"/>
      <c r="H1090" s="48"/>
      <c r="I1090" s="48"/>
      <c r="J1090" s="10"/>
      <c r="K1090" s="21"/>
      <c r="CC1090" s="10"/>
      <c r="CD1090" s="10"/>
      <c r="CE1090" s="10"/>
      <c r="CF1090" s="92"/>
      <c r="CG1090" s="10"/>
      <c r="CH1090" s="48"/>
      <c r="CI1090" s="48"/>
      <c r="CJ1090" s="10"/>
      <c r="CK1090" s="21"/>
    </row>
    <row r="1091" spans="1:89">
      <c r="C1091" s="10"/>
      <c r="D1091" s="10"/>
      <c r="E1091" s="10"/>
      <c r="F1091" s="92"/>
      <c r="G1091" s="10"/>
      <c r="H1091" s="48"/>
      <c r="I1091" s="48"/>
      <c r="J1091" s="10"/>
      <c r="K1091" s="21"/>
      <c r="CC1091" s="10"/>
      <c r="CD1091" s="10"/>
      <c r="CE1091" s="10"/>
      <c r="CF1091" s="92"/>
      <c r="CG1091" s="10"/>
      <c r="CH1091" s="48"/>
      <c r="CI1091" s="48"/>
      <c r="CJ1091" s="10"/>
      <c r="CK1091" s="21"/>
    </row>
    <row r="1092" spans="1:89">
      <c r="C1092" s="10"/>
      <c r="D1092" s="10"/>
      <c r="E1092" s="10"/>
      <c r="F1092" s="92"/>
      <c r="G1092" s="10"/>
      <c r="H1092" s="48"/>
      <c r="I1092" s="48"/>
      <c r="J1092" s="10"/>
      <c r="K1092" s="21"/>
      <c r="CC1092" s="10"/>
      <c r="CD1092" s="10"/>
      <c r="CE1092" s="10"/>
      <c r="CF1092" s="92"/>
      <c r="CG1092" s="10"/>
      <c r="CH1092" s="48"/>
      <c r="CI1092" s="48"/>
      <c r="CJ1092" s="10"/>
      <c r="CK1092" s="21"/>
    </row>
    <row r="1093" spans="1:89">
      <c r="C1093" s="10"/>
      <c r="D1093" s="10"/>
      <c r="E1093" s="10"/>
      <c r="F1093" s="92"/>
      <c r="G1093" s="10"/>
      <c r="H1093" s="48"/>
      <c r="I1093" s="48"/>
      <c r="J1093" s="10"/>
      <c r="K1093" s="21"/>
      <c r="CC1093" s="10"/>
      <c r="CD1093" s="10"/>
      <c r="CE1093" s="10"/>
      <c r="CF1093" s="92"/>
      <c r="CG1093" s="10"/>
      <c r="CH1093" s="48"/>
      <c r="CI1093" s="48"/>
      <c r="CJ1093" s="10"/>
      <c r="CK1093" s="21"/>
    </row>
    <row r="1094" spans="1:89">
      <c r="C1094" s="10"/>
      <c r="D1094" s="10"/>
      <c r="E1094" s="10"/>
      <c r="F1094" s="92"/>
      <c r="G1094" s="10"/>
      <c r="H1094" s="48"/>
      <c r="I1094" s="48"/>
      <c r="J1094" s="10"/>
      <c r="K1094" s="21"/>
      <c r="CC1094" s="10"/>
      <c r="CD1094" s="10"/>
      <c r="CE1094" s="10"/>
      <c r="CF1094" s="92"/>
      <c r="CG1094" s="10"/>
      <c r="CH1094" s="48"/>
      <c r="CI1094" s="48"/>
      <c r="CJ1094" s="10"/>
      <c r="CK1094" s="21"/>
    </row>
    <row r="1095" spans="1:89">
      <c r="C1095" s="10"/>
      <c r="D1095" s="10"/>
      <c r="E1095" s="10"/>
      <c r="F1095" s="92"/>
      <c r="G1095" s="10"/>
      <c r="H1095" s="48"/>
      <c r="I1095" s="48"/>
      <c r="J1095" s="10"/>
      <c r="K1095" s="21"/>
      <c r="CC1095" s="10"/>
      <c r="CD1095" s="10"/>
      <c r="CE1095" s="10"/>
      <c r="CF1095" s="92"/>
      <c r="CG1095" s="10"/>
      <c r="CH1095" s="48"/>
      <c r="CI1095" s="48"/>
      <c r="CJ1095" s="10"/>
      <c r="CK1095" s="21"/>
    </row>
    <row r="1096" spans="1:89">
      <c r="C1096" s="10"/>
      <c r="D1096" s="10"/>
      <c r="E1096" s="10"/>
      <c r="F1096" s="92"/>
      <c r="G1096" s="10"/>
      <c r="H1096" s="48"/>
      <c r="I1096" s="48"/>
      <c r="J1096" s="21"/>
      <c r="K1096" s="21"/>
      <c r="CC1096" s="10"/>
      <c r="CD1096" s="10"/>
      <c r="CE1096" s="10"/>
      <c r="CF1096" s="92"/>
      <c r="CG1096" s="10"/>
      <c r="CH1096" s="48"/>
      <c r="CI1096" s="48"/>
      <c r="CJ1096" s="21"/>
      <c r="CK1096" s="21"/>
    </row>
    <row r="1097" spans="1:89">
      <c r="A1097" s="101"/>
      <c r="B1097" s="21"/>
      <c r="C1097" s="21"/>
      <c r="D1097" s="14"/>
      <c r="E1097" s="14"/>
      <c r="F1097" s="110"/>
      <c r="G1097" s="14"/>
      <c r="H1097" s="87"/>
      <c r="I1097" s="44"/>
      <c r="J1097" s="21"/>
      <c r="K1097" s="21"/>
      <c r="CA1097" s="101"/>
      <c r="CB1097" s="21"/>
      <c r="CC1097" s="21"/>
      <c r="CD1097" s="14"/>
      <c r="CE1097" s="14"/>
      <c r="CF1097" s="110"/>
      <c r="CG1097" s="14"/>
      <c r="CH1097" s="87"/>
      <c r="CI1097" s="44"/>
      <c r="CJ1097" s="21"/>
      <c r="CK1097" s="21"/>
    </row>
    <row r="1098" spans="1:89">
      <c r="A1098" s="101"/>
      <c r="B1098" s="21"/>
      <c r="C1098" s="21"/>
      <c r="D1098" s="14"/>
      <c r="E1098" s="14"/>
      <c r="F1098" s="110"/>
      <c r="G1098" s="14"/>
      <c r="H1098" s="87"/>
      <c r="I1098" s="44"/>
      <c r="J1098" s="21"/>
      <c r="K1098" s="21"/>
      <c r="CA1098" s="101"/>
      <c r="CB1098" s="21"/>
      <c r="CC1098" s="21"/>
      <c r="CD1098" s="14"/>
      <c r="CE1098" s="14"/>
      <c r="CF1098" s="110"/>
      <c r="CG1098" s="14"/>
      <c r="CH1098" s="87"/>
      <c r="CI1098" s="44"/>
      <c r="CJ1098" s="21"/>
      <c r="CK1098" s="21"/>
    </row>
    <row r="1099" spans="1:89">
      <c r="A1099" s="101"/>
      <c r="B1099" s="21"/>
      <c r="C1099" s="21"/>
      <c r="D1099" s="14"/>
      <c r="E1099" s="14"/>
      <c r="F1099" s="110"/>
      <c r="G1099" s="14"/>
      <c r="H1099" s="87"/>
      <c r="I1099" s="44"/>
      <c r="J1099" s="21"/>
      <c r="K1099" s="21"/>
      <c r="CA1099" s="101"/>
      <c r="CB1099" s="21"/>
      <c r="CC1099" s="21"/>
      <c r="CD1099" s="14"/>
      <c r="CE1099" s="14"/>
      <c r="CF1099" s="110"/>
      <c r="CG1099" s="14"/>
      <c r="CH1099" s="87"/>
      <c r="CI1099" s="44"/>
      <c r="CJ1099" s="21"/>
      <c r="CK1099" s="21"/>
    </row>
    <row r="1100" spans="1:89">
      <c r="A1100" s="21"/>
      <c r="B1100" s="21"/>
      <c r="C1100" s="21"/>
      <c r="D1100" s="14"/>
      <c r="E1100" s="14"/>
      <c r="F1100" s="14"/>
      <c r="G1100" s="14"/>
      <c r="H1100" s="14"/>
      <c r="I1100" s="87"/>
      <c r="J1100" s="21"/>
      <c r="K1100" s="21"/>
      <c r="CA1100" s="21"/>
      <c r="CB1100" s="21"/>
      <c r="CC1100" s="21"/>
      <c r="CD1100" s="14"/>
      <c r="CE1100" s="14"/>
      <c r="CF1100" s="14"/>
      <c r="CG1100" s="14"/>
      <c r="CH1100" s="14"/>
      <c r="CI1100" s="87"/>
      <c r="CJ1100" s="21"/>
      <c r="CK1100" s="21"/>
    </row>
    <row r="1101" spans="1:89">
      <c r="A1101" s="21"/>
      <c r="B1101" s="21"/>
      <c r="C1101" s="21"/>
      <c r="D1101" s="14"/>
      <c r="E1101" s="14"/>
      <c r="F1101" s="14"/>
      <c r="G1101" s="14"/>
      <c r="H1101" s="14"/>
      <c r="I1101" s="87"/>
      <c r="J1101" s="21"/>
      <c r="K1101" s="231"/>
      <c r="CA1101" s="21"/>
      <c r="CB1101" s="21"/>
      <c r="CC1101" s="21"/>
      <c r="CD1101" s="14"/>
      <c r="CE1101" s="14"/>
      <c r="CF1101" s="14"/>
      <c r="CG1101" s="14"/>
      <c r="CH1101" s="14"/>
      <c r="CI1101" s="87"/>
      <c r="CJ1101" s="21"/>
      <c r="CK1101" s="231"/>
    </row>
    <row r="1102" spans="1:89">
      <c r="A1102" s="21"/>
      <c r="B1102" s="21"/>
      <c r="C1102" s="21"/>
      <c r="D1102" s="14"/>
      <c r="E1102" s="14"/>
      <c r="F1102" s="14"/>
      <c r="G1102" s="14"/>
      <c r="H1102" s="14"/>
      <c r="I1102" s="87"/>
      <c r="J1102" s="21"/>
      <c r="K1102" s="21"/>
      <c r="CA1102" s="21"/>
      <c r="CB1102" s="21"/>
      <c r="CC1102" s="21"/>
      <c r="CD1102" s="14"/>
      <c r="CE1102" s="14"/>
      <c r="CF1102" s="14"/>
      <c r="CG1102" s="14"/>
      <c r="CH1102" s="14"/>
      <c r="CI1102" s="87"/>
      <c r="CJ1102" s="21"/>
      <c r="CK1102" s="21"/>
    </row>
    <row r="1103" spans="1:89">
      <c r="A1103" s="4" t="s">
        <v>5027</v>
      </c>
      <c r="C1103" s="1" t="s">
        <v>5018</v>
      </c>
      <c r="D1103" s="1" t="s">
        <v>5701</v>
      </c>
      <c r="E1103" s="1" t="s">
        <v>5019</v>
      </c>
      <c r="F1103" s="1" t="s">
        <v>5020</v>
      </c>
      <c r="G1103" s="1" t="s">
        <v>5021</v>
      </c>
      <c r="H1103" s="1" t="s">
        <v>5022</v>
      </c>
      <c r="I1103" s="59" t="s">
        <v>5316</v>
      </c>
      <c r="J1103" s="4"/>
      <c r="K1103" s="21"/>
      <c r="CA1103" s="4" t="s">
        <v>5027</v>
      </c>
      <c r="CC1103" s="1" t="s">
        <v>5018</v>
      </c>
      <c r="CD1103" s="1" t="s">
        <v>5701</v>
      </c>
      <c r="CE1103" s="1" t="s">
        <v>5019</v>
      </c>
      <c r="CF1103" s="1" t="s">
        <v>5020</v>
      </c>
      <c r="CG1103" s="1" t="s">
        <v>5021</v>
      </c>
      <c r="CH1103" s="1" t="s">
        <v>5022</v>
      </c>
      <c r="CI1103" s="59" t="s">
        <v>5316</v>
      </c>
      <c r="CJ1103" s="4"/>
      <c r="CK1103" s="21"/>
    </row>
    <row r="1104" spans="1:89">
      <c r="C1104" s="10"/>
      <c r="D1104" s="10"/>
      <c r="E1104" s="10"/>
      <c r="F1104" s="92"/>
      <c r="G1104" s="10"/>
      <c r="H1104" s="48"/>
      <c r="I1104" s="48"/>
      <c r="J1104" s="10"/>
      <c r="K1104" s="21"/>
      <c r="CC1104" s="10"/>
      <c r="CD1104" s="10"/>
      <c r="CE1104" s="10"/>
      <c r="CF1104" s="92"/>
      <c r="CG1104" s="10"/>
      <c r="CH1104" s="48"/>
      <c r="CI1104" s="48"/>
      <c r="CJ1104" s="10"/>
      <c r="CK1104" s="21"/>
    </row>
    <row r="1105" spans="1:89">
      <c r="C1105" s="10"/>
      <c r="D1105" s="10"/>
      <c r="E1105" s="10"/>
      <c r="F1105" s="92"/>
      <c r="G1105" s="10"/>
      <c r="H1105" s="48"/>
      <c r="I1105" s="48"/>
      <c r="J1105" s="10"/>
      <c r="K1105" s="21"/>
      <c r="CC1105" s="10"/>
      <c r="CD1105" s="10"/>
      <c r="CE1105" s="10"/>
      <c r="CF1105" s="92"/>
      <c r="CG1105" s="10"/>
      <c r="CH1105" s="48"/>
      <c r="CI1105" s="48"/>
      <c r="CJ1105" s="10"/>
      <c r="CK1105" s="21"/>
    </row>
    <row r="1106" spans="1:89">
      <c r="C1106" s="10"/>
      <c r="D1106" s="10"/>
      <c r="E1106" s="10"/>
      <c r="F1106" s="92"/>
      <c r="G1106" s="10"/>
      <c r="H1106" s="48"/>
      <c r="I1106" s="48"/>
      <c r="J1106" s="10"/>
      <c r="K1106" s="21"/>
      <c r="CC1106" s="10"/>
      <c r="CD1106" s="10"/>
      <c r="CE1106" s="10"/>
      <c r="CF1106" s="92"/>
      <c r="CG1106" s="10"/>
      <c r="CH1106" s="48"/>
      <c r="CI1106" s="48"/>
      <c r="CJ1106" s="10"/>
      <c r="CK1106" s="21"/>
    </row>
    <row r="1107" spans="1:89">
      <c r="C1107" s="10"/>
      <c r="D1107" s="10"/>
      <c r="E1107" s="10"/>
      <c r="F1107" s="92"/>
      <c r="G1107" s="10"/>
      <c r="H1107" s="48"/>
      <c r="I1107" s="48"/>
      <c r="J1107" s="10"/>
      <c r="K1107" s="21"/>
      <c r="CC1107" s="10"/>
      <c r="CD1107" s="10"/>
      <c r="CE1107" s="10"/>
      <c r="CF1107" s="92"/>
      <c r="CG1107" s="10"/>
      <c r="CH1107" s="48"/>
      <c r="CI1107" s="48"/>
      <c r="CJ1107" s="10"/>
      <c r="CK1107" s="21"/>
    </row>
    <row r="1108" spans="1:89">
      <c r="C1108" s="10"/>
      <c r="D1108" s="10"/>
      <c r="E1108" s="10"/>
      <c r="F1108" s="92"/>
      <c r="G1108" s="10"/>
      <c r="H1108" s="48"/>
      <c r="I1108" s="48"/>
      <c r="J1108" s="10"/>
      <c r="K1108" s="21"/>
      <c r="CC1108" s="10"/>
      <c r="CD1108" s="10"/>
      <c r="CE1108" s="10"/>
      <c r="CF1108" s="92"/>
      <c r="CG1108" s="10"/>
      <c r="CH1108" s="48"/>
      <c r="CI1108" s="48"/>
      <c r="CJ1108" s="10"/>
      <c r="CK1108" s="21"/>
    </row>
    <row r="1109" spans="1:89">
      <c r="C1109" s="10"/>
      <c r="D1109" s="10"/>
      <c r="E1109" s="10"/>
      <c r="F1109" s="92"/>
      <c r="G1109" s="10"/>
      <c r="H1109" s="48"/>
      <c r="I1109" s="48"/>
      <c r="J1109" s="10"/>
      <c r="K1109" s="21"/>
      <c r="CC1109" s="10"/>
      <c r="CD1109" s="10"/>
      <c r="CE1109" s="10"/>
      <c r="CF1109" s="92"/>
      <c r="CG1109" s="10"/>
      <c r="CH1109" s="48"/>
      <c r="CI1109" s="48"/>
      <c r="CJ1109" s="10"/>
      <c r="CK1109" s="21"/>
    </row>
    <row r="1110" spans="1:89">
      <c r="C1110" s="10"/>
      <c r="D1110" s="10"/>
      <c r="E1110" s="10"/>
      <c r="F1110" s="92"/>
      <c r="G1110" s="10"/>
      <c r="H1110" s="48"/>
      <c r="I1110" s="48"/>
      <c r="J1110" s="10"/>
      <c r="K1110" s="21"/>
      <c r="CC1110" s="10"/>
      <c r="CD1110" s="10"/>
      <c r="CE1110" s="10"/>
      <c r="CF1110" s="92"/>
      <c r="CG1110" s="10"/>
      <c r="CH1110" s="48"/>
      <c r="CI1110" s="48"/>
      <c r="CJ1110" s="10"/>
      <c r="CK1110" s="21"/>
    </row>
    <row r="1111" spans="1:89">
      <c r="C1111" s="10"/>
      <c r="D1111" s="10"/>
      <c r="E1111" s="10"/>
      <c r="F1111" s="92"/>
      <c r="G1111" s="10"/>
      <c r="H1111" s="48"/>
      <c r="I1111" s="48"/>
      <c r="J1111" s="10"/>
      <c r="K1111" s="21"/>
      <c r="CC1111" s="10"/>
      <c r="CD1111" s="10"/>
      <c r="CE1111" s="10"/>
      <c r="CF1111" s="92"/>
      <c r="CG1111" s="10"/>
      <c r="CH1111" s="48"/>
      <c r="CI1111" s="48"/>
      <c r="CJ1111" s="10"/>
      <c r="CK1111" s="21"/>
    </row>
    <row r="1112" spans="1:89">
      <c r="C1112" s="10"/>
      <c r="D1112" s="10"/>
      <c r="E1112" s="10"/>
      <c r="F1112" s="10"/>
      <c r="G1112" s="10"/>
      <c r="H1112" s="48"/>
      <c r="I1112" s="48"/>
      <c r="J1112" s="10"/>
      <c r="K1112" s="21"/>
      <c r="CC1112" s="10"/>
      <c r="CD1112" s="10"/>
      <c r="CE1112" s="10"/>
      <c r="CF1112" s="10"/>
      <c r="CG1112" s="10"/>
      <c r="CH1112" s="48"/>
      <c r="CI1112" s="48"/>
      <c r="CJ1112" s="10"/>
      <c r="CK1112" s="21"/>
    </row>
    <row r="1113" spans="1:89">
      <c r="C1113" s="10"/>
      <c r="D1113" s="10"/>
      <c r="E1113" s="10"/>
      <c r="F1113" s="92"/>
      <c r="G1113" s="10"/>
      <c r="H1113" s="48"/>
      <c r="I1113" s="48"/>
      <c r="J1113" s="21"/>
      <c r="K1113" s="21"/>
      <c r="CC1113" s="10"/>
      <c r="CD1113" s="10"/>
      <c r="CE1113" s="10"/>
      <c r="CF1113" s="92"/>
      <c r="CG1113" s="10"/>
      <c r="CH1113" s="48"/>
      <c r="CI1113" s="48"/>
      <c r="CJ1113" s="21"/>
      <c r="CK1113" s="21"/>
    </row>
    <row r="1114" spans="1:89">
      <c r="C1114" s="10"/>
      <c r="D1114" s="10"/>
      <c r="E1114" s="10"/>
      <c r="F1114" s="10"/>
      <c r="G1114" s="10"/>
      <c r="H1114" s="48"/>
      <c r="I1114" s="48"/>
      <c r="J1114" s="21"/>
      <c r="K1114" s="21"/>
      <c r="CC1114" s="10"/>
      <c r="CD1114" s="10"/>
      <c r="CE1114" s="10"/>
      <c r="CF1114" s="10"/>
      <c r="CG1114" s="10"/>
      <c r="CH1114" s="48"/>
      <c r="CI1114" s="48"/>
      <c r="CJ1114" s="21"/>
      <c r="CK1114" s="21"/>
    </row>
    <row r="1115" spans="1:89">
      <c r="A1115" s="21"/>
      <c r="B1115" s="21"/>
      <c r="C1115" s="21"/>
      <c r="D1115" s="14"/>
      <c r="E1115" s="14"/>
      <c r="F1115" s="14"/>
      <c r="G1115" s="14"/>
      <c r="H1115" s="14"/>
      <c r="I1115" s="87"/>
      <c r="J1115" s="21"/>
      <c r="K1115" s="21"/>
      <c r="CA1115" s="21"/>
      <c r="CB1115" s="21"/>
      <c r="CC1115" s="21"/>
      <c r="CD1115" s="14"/>
      <c r="CE1115" s="14"/>
      <c r="CF1115" s="14"/>
      <c r="CG1115" s="14"/>
      <c r="CH1115" s="14"/>
      <c r="CI1115" s="87"/>
      <c r="CJ1115" s="21"/>
      <c r="CK1115" s="21"/>
    </row>
    <row r="1116" spans="1:89">
      <c r="A1116" s="4" t="s">
        <v>5217</v>
      </c>
      <c r="C1116" s="1" t="s">
        <v>5018</v>
      </c>
      <c r="D1116" s="1" t="s">
        <v>5701</v>
      </c>
      <c r="E1116" s="1" t="s">
        <v>5019</v>
      </c>
      <c r="F1116" s="1" t="s">
        <v>5020</v>
      </c>
      <c r="G1116" s="1" t="s">
        <v>5021</v>
      </c>
      <c r="H1116" s="1" t="s">
        <v>5022</v>
      </c>
      <c r="I1116" s="59" t="s">
        <v>5316</v>
      </c>
      <c r="J1116" s="4"/>
      <c r="K1116" s="21"/>
      <c r="CA1116" s="4" t="s">
        <v>5217</v>
      </c>
      <c r="CC1116" s="1" t="s">
        <v>5018</v>
      </c>
      <c r="CD1116" s="1" t="s">
        <v>5701</v>
      </c>
      <c r="CE1116" s="1" t="s">
        <v>5019</v>
      </c>
      <c r="CF1116" s="1" t="s">
        <v>5020</v>
      </c>
      <c r="CG1116" s="1" t="s">
        <v>5021</v>
      </c>
      <c r="CH1116" s="1" t="s">
        <v>5022</v>
      </c>
      <c r="CI1116" s="59" t="s">
        <v>5316</v>
      </c>
      <c r="CJ1116" s="4"/>
      <c r="CK1116" s="21"/>
    </row>
    <row r="1117" spans="1:89">
      <c r="C1117" s="10"/>
      <c r="D1117" s="10"/>
      <c r="E1117" s="10"/>
      <c r="F1117" s="10"/>
      <c r="G1117" s="10"/>
      <c r="H1117" s="48"/>
      <c r="I1117" s="48"/>
      <c r="J1117" s="10"/>
      <c r="K1117" s="21"/>
      <c r="CC1117" s="10"/>
      <c r="CD1117" s="10"/>
      <c r="CE1117" s="10"/>
      <c r="CF1117" s="10"/>
      <c r="CG1117" s="10"/>
      <c r="CH1117" s="48"/>
      <c r="CI1117" s="48"/>
      <c r="CJ1117" s="10"/>
      <c r="CK1117" s="21"/>
    </row>
    <row r="1118" spans="1:89">
      <c r="C1118" s="10"/>
      <c r="D1118" s="10"/>
      <c r="E1118" s="10"/>
      <c r="F1118" s="92"/>
      <c r="G1118" s="10"/>
      <c r="H1118" s="48"/>
      <c r="I1118" s="48"/>
      <c r="J1118" s="10"/>
      <c r="K1118" s="21"/>
      <c r="CC1118" s="10"/>
      <c r="CD1118" s="10"/>
      <c r="CE1118" s="10"/>
      <c r="CF1118" s="92"/>
      <c r="CG1118" s="10"/>
      <c r="CH1118" s="48"/>
      <c r="CI1118" s="48"/>
      <c r="CJ1118" s="10"/>
      <c r="CK1118" s="21"/>
    </row>
    <row r="1119" spans="1:89">
      <c r="C1119" s="10"/>
      <c r="D1119" s="10"/>
      <c r="E1119" s="10"/>
      <c r="F1119" s="92"/>
      <c r="G1119" s="10"/>
      <c r="H1119" s="48"/>
      <c r="I1119" s="48"/>
      <c r="J1119" s="10"/>
      <c r="K1119" s="21"/>
      <c r="CC1119" s="10"/>
      <c r="CD1119" s="10"/>
      <c r="CE1119" s="10"/>
      <c r="CF1119" s="92"/>
      <c r="CG1119" s="10"/>
      <c r="CH1119" s="48"/>
      <c r="CI1119" s="48"/>
      <c r="CJ1119" s="10"/>
      <c r="CK1119" s="21"/>
    </row>
    <row r="1120" spans="1:89">
      <c r="C1120" s="10"/>
      <c r="D1120" s="10"/>
      <c r="E1120" s="10"/>
      <c r="F1120" s="10"/>
      <c r="G1120" s="10"/>
      <c r="H1120" s="48"/>
      <c r="I1120" s="48"/>
      <c r="J1120" s="10"/>
      <c r="K1120" s="21"/>
      <c r="CC1120" s="10"/>
      <c r="CD1120" s="10"/>
      <c r="CE1120" s="10"/>
      <c r="CF1120" s="10"/>
      <c r="CG1120" s="10"/>
      <c r="CH1120" s="48"/>
      <c r="CI1120" s="48"/>
      <c r="CJ1120" s="10"/>
      <c r="CK1120" s="21"/>
    </row>
    <row r="1121" spans="1:89">
      <c r="C1121" s="10"/>
      <c r="D1121" s="10"/>
      <c r="E1121" s="10"/>
      <c r="F1121" s="10"/>
      <c r="G1121" s="10"/>
      <c r="H1121" s="48"/>
      <c r="I1121" s="48"/>
      <c r="J1121" s="10"/>
      <c r="K1121" s="21"/>
      <c r="CC1121" s="10"/>
      <c r="CD1121" s="10"/>
      <c r="CE1121" s="10"/>
      <c r="CF1121" s="10"/>
      <c r="CG1121" s="10"/>
      <c r="CH1121" s="48"/>
      <c r="CI1121" s="48"/>
      <c r="CJ1121" s="10"/>
      <c r="CK1121" s="21"/>
    </row>
    <row r="1122" spans="1:89">
      <c r="C1122" s="10"/>
      <c r="D1122" s="10"/>
      <c r="E1122" s="10"/>
      <c r="F1122" s="92"/>
      <c r="G1122" s="10"/>
      <c r="H1122" s="48"/>
      <c r="I1122" s="48"/>
      <c r="J1122" s="10"/>
      <c r="K1122" s="21"/>
      <c r="CC1122" s="10"/>
      <c r="CD1122" s="10"/>
      <c r="CE1122" s="10"/>
      <c r="CF1122" s="92"/>
      <c r="CG1122" s="10"/>
      <c r="CH1122" s="48"/>
      <c r="CI1122" s="48"/>
      <c r="CJ1122" s="10"/>
      <c r="CK1122" s="21"/>
    </row>
    <row r="1123" spans="1:89">
      <c r="C1123" s="10"/>
      <c r="D1123" s="10"/>
      <c r="E1123" s="10"/>
      <c r="F1123" s="10"/>
      <c r="G1123" s="10"/>
      <c r="H1123" s="48"/>
      <c r="I1123" s="48"/>
      <c r="J1123" s="10"/>
      <c r="K1123" s="21"/>
      <c r="CC1123" s="10"/>
      <c r="CD1123" s="10"/>
      <c r="CE1123" s="10"/>
      <c r="CF1123" s="10"/>
      <c r="CG1123" s="10"/>
      <c r="CH1123" s="48"/>
      <c r="CI1123" s="48"/>
      <c r="CJ1123" s="10"/>
      <c r="CK1123" s="21"/>
    </row>
    <row r="1124" spans="1:89">
      <c r="C1124" s="10"/>
      <c r="D1124" s="10"/>
      <c r="E1124" s="10"/>
      <c r="F1124" s="10"/>
      <c r="G1124" s="10"/>
      <c r="H1124" s="48"/>
      <c r="I1124" s="48"/>
      <c r="J1124" s="10"/>
      <c r="K1124" s="21"/>
      <c r="CC1124" s="10"/>
      <c r="CD1124" s="10"/>
      <c r="CE1124" s="10"/>
      <c r="CF1124" s="10"/>
      <c r="CG1124" s="10"/>
      <c r="CH1124" s="48"/>
      <c r="CI1124" s="48"/>
      <c r="CJ1124" s="10"/>
      <c r="CK1124" s="21"/>
    </row>
    <row r="1125" spans="1:89">
      <c r="C1125" s="10"/>
      <c r="D1125" s="10"/>
      <c r="E1125" s="10"/>
      <c r="F1125" s="10"/>
      <c r="G1125" s="10"/>
      <c r="H1125" s="48"/>
      <c r="I1125" s="48"/>
      <c r="J1125" s="10"/>
      <c r="K1125" s="21"/>
      <c r="CC1125" s="10"/>
      <c r="CD1125" s="10"/>
      <c r="CE1125" s="10"/>
      <c r="CF1125" s="10"/>
      <c r="CG1125" s="10"/>
      <c r="CH1125" s="48"/>
      <c r="CI1125" s="48"/>
      <c r="CJ1125" s="10"/>
      <c r="CK1125" s="21"/>
    </row>
    <row r="1126" spans="1:89">
      <c r="C1126" s="10"/>
      <c r="D1126" s="10"/>
      <c r="E1126" s="10"/>
      <c r="F1126" s="10"/>
      <c r="G1126" s="10"/>
      <c r="H1126" s="48"/>
      <c r="I1126" s="48"/>
      <c r="J1126" s="10"/>
      <c r="K1126" s="21"/>
      <c r="CC1126" s="10"/>
      <c r="CD1126" s="10"/>
      <c r="CE1126" s="10"/>
      <c r="CF1126" s="10"/>
      <c r="CG1126" s="10"/>
      <c r="CH1126" s="48"/>
      <c r="CI1126" s="48"/>
      <c r="CJ1126" s="10"/>
      <c r="CK1126" s="21"/>
    </row>
    <row r="1127" spans="1:89">
      <c r="C1127" s="10"/>
      <c r="D1127" s="10"/>
      <c r="E1127" s="10"/>
      <c r="F1127" s="10"/>
      <c r="G1127" s="10"/>
      <c r="H1127" s="48"/>
      <c r="I1127" s="48"/>
      <c r="J1127" s="10"/>
      <c r="K1127" s="21"/>
      <c r="CC1127" s="10"/>
      <c r="CD1127" s="10"/>
      <c r="CE1127" s="10"/>
      <c r="CF1127" s="10"/>
      <c r="CG1127" s="10"/>
      <c r="CH1127" s="48"/>
      <c r="CI1127" s="48"/>
      <c r="CJ1127" s="10"/>
      <c r="CK1127" s="21"/>
    </row>
    <row r="1128" spans="1:89">
      <c r="C1128" s="10"/>
      <c r="D1128" s="10"/>
      <c r="E1128" s="10"/>
      <c r="F1128" s="92"/>
      <c r="G1128" s="10"/>
      <c r="H1128" s="48"/>
      <c r="I1128" s="48"/>
      <c r="J1128" s="10"/>
      <c r="K1128" s="21"/>
      <c r="CC1128" s="10"/>
      <c r="CD1128" s="10"/>
      <c r="CE1128" s="10"/>
      <c r="CF1128" s="92"/>
      <c r="CG1128" s="10"/>
      <c r="CH1128" s="48"/>
      <c r="CI1128" s="48"/>
      <c r="CJ1128" s="10"/>
      <c r="CK1128" s="21"/>
    </row>
    <row r="1129" spans="1:89">
      <c r="C1129" s="10"/>
      <c r="D1129" s="10"/>
      <c r="E1129" s="10"/>
      <c r="F1129" s="10"/>
      <c r="G1129" s="10"/>
      <c r="H1129" s="48"/>
      <c r="I1129" s="48"/>
      <c r="J1129" s="10"/>
      <c r="K1129" s="21"/>
      <c r="CC1129" s="10"/>
      <c r="CD1129" s="10"/>
      <c r="CE1129" s="10"/>
      <c r="CF1129" s="10"/>
      <c r="CG1129" s="10"/>
      <c r="CH1129" s="48"/>
      <c r="CI1129" s="48"/>
      <c r="CJ1129" s="10"/>
      <c r="CK1129" s="21"/>
    </row>
    <row r="1130" spans="1:89">
      <c r="C1130" s="10"/>
      <c r="D1130" s="10"/>
      <c r="E1130" s="10"/>
      <c r="F1130" s="92"/>
      <c r="G1130" s="10"/>
      <c r="H1130" s="48"/>
      <c r="I1130" s="48"/>
      <c r="J1130" s="21"/>
      <c r="K1130" s="21"/>
      <c r="CC1130" s="10"/>
      <c r="CD1130" s="10"/>
      <c r="CE1130" s="10"/>
      <c r="CF1130" s="92"/>
      <c r="CG1130" s="10"/>
      <c r="CH1130" s="48"/>
      <c r="CI1130" s="48"/>
      <c r="CJ1130" s="21"/>
      <c r="CK1130" s="21"/>
    </row>
    <row r="1131" spans="1:89">
      <c r="A1131" s="21"/>
      <c r="B1131" s="21"/>
      <c r="C1131" s="21"/>
      <c r="D1131" s="14"/>
      <c r="E1131" s="14"/>
      <c r="F1131" s="14"/>
      <c r="G1131" s="14"/>
      <c r="H1131" s="14"/>
      <c r="I1131" s="87"/>
      <c r="J1131" s="21"/>
      <c r="K1131" s="21"/>
      <c r="CA1131" s="21"/>
      <c r="CB1131" s="21"/>
      <c r="CC1131" s="21"/>
      <c r="CD1131" s="14"/>
      <c r="CE1131" s="14"/>
      <c r="CF1131" s="14"/>
      <c r="CG1131" s="14"/>
      <c r="CH1131" s="14"/>
      <c r="CI1131" s="87"/>
      <c r="CJ1131" s="21"/>
      <c r="CK1131" s="21"/>
    </row>
    <row r="1132" spans="1:89">
      <c r="A1132" s="21"/>
      <c r="B1132" s="21"/>
      <c r="C1132" s="21"/>
      <c r="D1132" s="14"/>
      <c r="E1132" s="14"/>
      <c r="F1132" s="14"/>
      <c r="G1132" s="14"/>
      <c r="H1132" s="14"/>
      <c r="I1132" s="87"/>
      <c r="J1132" s="21"/>
      <c r="K1132" s="21"/>
      <c r="CA1132" s="21"/>
      <c r="CB1132" s="21"/>
      <c r="CC1132" s="21"/>
      <c r="CD1132" s="14"/>
      <c r="CE1132" s="14"/>
      <c r="CF1132" s="14"/>
      <c r="CG1132" s="14"/>
      <c r="CH1132" s="14"/>
      <c r="CI1132" s="87"/>
      <c r="CJ1132" s="21"/>
      <c r="CK1132" s="21"/>
    </row>
    <row r="1133" spans="1:89">
      <c r="A1133" s="4" t="s">
        <v>5212</v>
      </c>
      <c r="C1133" s="1" t="s">
        <v>5018</v>
      </c>
      <c r="D1133" s="1" t="s">
        <v>5701</v>
      </c>
      <c r="E1133" s="1" t="s">
        <v>5019</v>
      </c>
      <c r="F1133" s="1" t="s">
        <v>5020</v>
      </c>
      <c r="G1133" s="1" t="s">
        <v>5021</v>
      </c>
      <c r="H1133" s="1" t="s">
        <v>5022</v>
      </c>
      <c r="I1133" s="59" t="s">
        <v>5316</v>
      </c>
      <c r="J1133" s="4"/>
      <c r="K1133" s="21"/>
      <c r="CA1133" s="4" t="s">
        <v>5212</v>
      </c>
      <c r="CC1133" s="1" t="s">
        <v>5018</v>
      </c>
      <c r="CD1133" s="1" t="s">
        <v>5701</v>
      </c>
      <c r="CE1133" s="1" t="s">
        <v>5019</v>
      </c>
      <c r="CF1133" s="1" t="s">
        <v>5020</v>
      </c>
      <c r="CG1133" s="1" t="s">
        <v>5021</v>
      </c>
      <c r="CH1133" s="1" t="s">
        <v>5022</v>
      </c>
      <c r="CI1133" s="59" t="s">
        <v>5316</v>
      </c>
      <c r="CJ1133" s="4"/>
      <c r="CK1133" s="21"/>
    </row>
    <row r="1134" spans="1:89">
      <c r="C1134" s="10"/>
      <c r="D1134" s="10"/>
      <c r="E1134" s="10"/>
      <c r="F1134" s="10"/>
      <c r="G1134" s="10"/>
      <c r="H1134" s="48"/>
      <c r="I1134" s="48"/>
      <c r="J1134" s="10"/>
      <c r="K1134" s="21"/>
      <c r="CC1134" s="10"/>
      <c r="CD1134" s="10"/>
      <c r="CE1134" s="10"/>
      <c r="CF1134" s="10"/>
      <c r="CG1134" s="10"/>
      <c r="CH1134" s="48"/>
      <c r="CI1134" s="48"/>
      <c r="CJ1134" s="10"/>
      <c r="CK1134" s="21"/>
    </row>
    <row r="1135" spans="1:89">
      <c r="C1135" s="10"/>
      <c r="D1135" s="10"/>
      <c r="E1135" s="10"/>
      <c r="F1135" s="10"/>
      <c r="G1135" s="10"/>
      <c r="H1135" s="48"/>
      <c r="I1135" s="48"/>
      <c r="J1135" s="10"/>
      <c r="K1135" s="21"/>
      <c r="CC1135" s="10"/>
      <c r="CD1135" s="10"/>
      <c r="CE1135" s="10"/>
      <c r="CF1135" s="10"/>
      <c r="CG1135" s="10"/>
      <c r="CH1135" s="48"/>
      <c r="CI1135" s="48"/>
      <c r="CJ1135" s="10"/>
      <c r="CK1135" s="21"/>
    </row>
    <row r="1136" spans="1:89">
      <c r="C1136" s="10"/>
      <c r="D1136" s="10"/>
      <c r="E1136" s="10"/>
      <c r="F1136" s="92"/>
      <c r="G1136" s="10"/>
      <c r="H1136" s="48"/>
      <c r="I1136" s="48"/>
      <c r="J1136" s="10"/>
      <c r="K1136" s="21"/>
      <c r="CC1136" s="10"/>
      <c r="CD1136" s="10"/>
      <c r="CE1136" s="10"/>
      <c r="CF1136" s="92"/>
      <c r="CG1136" s="10"/>
      <c r="CH1136" s="48"/>
      <c r="CI1136" s="48"/>
      <c r="CJ1136" s="10"/>
      <c r="CK1136" s="21"/>
    </row>
    <row r="1137" spans="1:89">
      <c r="C1137" s="10"/>
      <c r="D1137" s="10"/>
      <c r="E1137" s="92"/>
      <c r="F1137" s="10"/>
      <c r="G1137" s="10"/>
      <c r="H1137" s="48"/>
      <c r="I1137" s="48"/>
      <c r="J1137" s="10"/>
      <c r="K1137" s="21"/>
      <c r="CC1137" s="10"/>
      <c r="CD1137" s="10"/>
      <c r="CE1137" s="92"/>
      <c r="CF1137" s="10"/>
      <c r="CG1137" s="10"/>
      <c r="CH1137" s="48"/>
      <c r="CI1137" s="48"/>
      <c r="CJ1137" s="10"/>
      <c r="CK1137" s="21"/>
    </row>
    <row r="1138" spans="1:89">
      <c r="C1138" s="10"/>
      <c r="D1138" s="10"/>
      <c r="E1138" s="10"/>
      <c r="F1138" s="92"/>
      <c r="G1138" s="10"/>
      <c r="H1138" s="48"/>
      <c r="I1138" s="48"/>
      <c r="J1138" s="10"/>
      <c r="K1138" s="21"/>
      <c r="CC1138" s="10"/>
      <c r="CD1138" s="10"/>
      <c r="CE1138" s="10"/>
      <c r="CF1138" s="92"/>
      <c r="CG1138" s="10"/>
      <c r="CH1138" s="48"/>
      <c r="CI1138" s="48"/>
      <c r="CJ1138" s="10"/>
      <c r="CK1138" s="21"/>
    </row>
    <row r="1139" spans="1:89">
      <c r="C1139" s="10"/>
      <c r="D1139" s="10"/>
      <c r="E1139" s="10"/>
      <c r="F1139" s="92"/>
      <c r="G1139" s="10"/>
      <c r="H1139" s="48"/>
      <c r="I1139" s="48"/>
      <c r="J1139" s="10"/>
      <c r="K1139" s="21"/>
      <c r="CC1139" s="10"/>
      <c r="CD1139" s="10"/>
      <c r="CE1139" s="10"/>
      <c r="CF1139" s="92"/>
      <c r="CG1139" s="10"/>
      <c r="CH1139" s="48"/>
      <c r="CI1139" s="48"/>
      <c r="CJ1139" s="10"/>
      <c r="CK1139" s="21"/>
    </row>
    <row r="1140" spans="1:89">
      <c r="C1140" s="10"/>
      <c r="D1140" s="10"/>
      <c r="E1140" s="10"/>
      <c r="F1140" s="10"/>
      <c r="G1140" s="10"/>
      <c r="H1140" s="48"/>
      <c r="I1140" s="48"/>
      <c r="J1140" s="10"/>
      <c r="K1140" s="21"/>
      <c r="CC1140" s="10"/>
      <c r="CD1140" s="10"/>
      <c r="CE1140" s="10"/>
      <c r="CF1140" s="10"/>
      <c r="CG1140" s="10"/>
      <c r="CH1140" s="48"/>
      <c r="CI1140" s="48"/>
      <c r="CJ1140" s="10"/>
      <c r="CK1140" s="21"/>
    </row>
    <row r="1141" spans="1:89">
      <c r="C1141" s="10"/>
      <c r="D1141" s="10"/>
      <c r="E1141" s="10"/>
      <c r="F1141" s="92"/>
      <c r="G1141" s="10"/>
      <c r="H1141" s="48"/>
      <c r="I1141" s="48"/>
      <c r="J1141" s="10"/>
      <c r="K1141" s="21"/>
      <c r="CC1141" s="10"/>
      <c r="CD1141" s="10"/>
      <c r="CE1141" s="10"/>
      <c r="CF1141" s="92"/>
      <c r="CG1141" s="10"/>
      <c r="CH1141" s="48"/>
      <c r="CI1141" s="48"/>
      <c r="CJ1141" s="10"/>
      <c r="CK1141" s="21"/>
    </row>
    <row r="1142" spans="1:89">
      <c r="C1142" s="10"/>
      <c r="D1142" s="10"/>
      <c r="E1142" s="10"/>
      <c r="F1142" s="10"/>
      <c r="G1142" s="10"/>
      <c r="H1142" s="48"/>
      <c r="I1142" s="48"/>
      <c r="J1142" s="21"/>
      <c r="K1142" s="21"/>
      <c r="CC1142" s="10"/>
      <c r="CD1142" s="10"/>
      <c r="CE1142" s="10"/>
      <c r="CF1142" s="10"/>
      <c r="CG1142" s="10"/>
      <c r="CH1142" s="48"/>
      <c r="CI1142" s="48"/>
      <c r="CJ1142" s="21"/>
      <c r="CK1142" s="21"/>
    </row>
    <row r="1143" spans="1:89">
      <c r="A1143" s="21"/>
      <c r="B1143" s="21"/>
      <c r="C1143" s="21"/>
      <c r="D1143" s="14"/>
      <c r="E1143" s="14"/>
      <c r="F1143" s="106"/>
      <c r="G1143" s="14"/>
      <c r="H1143" s="87"/>
      <c r="I1143" s="44"/>
      <c r="J1143" s="21"/>
      <c r="K1143" s="21"/>
      <c r="CA1143" s="21"/>
      <c r="CB1143" s="21"/>
      <c r="CC1143" s="21"/>
      <c r="CD1143" s="14"/>
      <c r="CE1143" s="14"/>
      <c r="CF1143" s="106"/>
      <c r="CG1143" s="14"/>
      <c r="CH1143" s="87"/>
      <c r="CI1143" s="44"/>
      <c r="CJ1143" s="21"/>
      <c r="CK1143" s="21"/>
    </row>
    <row r="1144" spans="1:89">
      <c r="A1144" s="21"/>
      <c r="B1144" s="21"/>
      <c r="C1144" s="21"/>
      <c r="D1144" s="14"/>
      <c r="E1144" s="14"/>
      <c r="F1144" s="14"/>
      <c r="G1144" s="14"/>
      <c r="H1144" s="14"/>
      <c r="I1144" s="87"/>
      <c r="J1144" s="21"/>
      <c r="K1144" s="21"/>
      <c r="CA1144" s="21"/>
      <c r="CB1144" s="21"/>
      <c r="CC1144" s="21"/>
      <c r="CD1144" s="14"/>
      <c r="CE1144" s="14"/>
      <c r="CF1144" s="14"/>
      <c r="CG1144" s="14"/>
      <c r="CH1144" s="14"/>
      <c r="CI1144" s="87"/>
      <c r="CJ1144" s="21"/>
      <c r="CK1144" s="21"/>
    </row>
    <row r="1145" spans="1:89">
      <c r="A1145" s="21"/>
      <c r="B1145" s="21"/>
      <c r="C1145" s="21"/>
      <c r="D1145" s="14"/>
      <c r="E1145" s="14"/>
      <c r="F1145" s="14"/>
      <c r="G1145" s="14"/>
      <c r="H1145" s="14"/>
      <c r="I1145" s="87"/>
      <c r="J1145" s="21"/>
      <c r="K1145" s="21"/>
      <c r="CA1145" s="21"/>
      <c r="CB1145" s="21"/>
      <c r="CC1145" s="21"/>
      <c r="CD1145" s="14"/>
      <c r="CE1145" s="14"/>
      <c r="CF1145" s="14"/>
      <c r="CG1145" s="14"/>
      <c r="CH1145" s="14"/>
      <c r="CI1145" s="87"/>
      <c r="CJ1145" s="21"/>
      <c r="CK1145" s="21"/>
    </row>
    <row r="1146" spans="1:89">
      <c r="A1146" s="4" t="s">
        <v>5213</v>
      </c>
      <c r="C1146" s="1" t="s">
        <v>5018</v>
      </c>
      <c r="D1146" s="1" t="s">
        <v>5701</v>
      </c>
      <c r="E1146" s="1" t="s">
        <v>5019</v>
      </c>
      <c r="F1146" s="1" t="s">
        <v>5020</v>
      </c>
      <c r="G1146" s="1" t="s">
        <v>5021</v>
      </c>
      <c r="H1146" s="1" t="s">
        <v>5022</v>
      </c>
      <c r="I1146" s="59" t="s">
        <v>5316</v>
      </c>
      <c r="J1146" s="4"/>
      <c r="K1146" s="21"/>
      <c r="CA1146" s="4" t="s">
        <v>5213</v>
      </c>
      <c r="CC1146" s="1" t="s">
        <v>5018</v>
      </c>
      <c r="CD1146" s="1" t="s">
        <v>5701</v>
      </c>
      <c r="CE1146" s="1" t="s">
        <v>5019</v>
      </c>
      <c r="CF1146" s="1" t="s">
        <v>5020</v>
      </c>
      <c r="CG1146" s="1" t="s">
        <v>5021</v>
      </c>
      <c r="CH1146" s="1" t="s">
        <v>5022</v>
      </c>
      <c r="CI1146" s="59" t="s">
        <v>5316</v>
      </c>
      <c r="CJ1146" s="4"/>
      <c r="CK1146" s="21"/>
    </row>
    <row r="1147" spans="1:89">
      <c r="C1147" s="10"/>
      <c r="D1147" s="10"/>
      <c r="E1147" s="10"/>
      <c r="F1147" s="10"/>
      <c r="G1147" s="10"/>
      <c r="H1147" s="48"/>
      <c r="I1147" s="48"/>
      <c r="J1147" s="10"/>
      <c r="K1147" s="21"/>
      <c r="CC1147" s="10"/>
      <c r="CD1147" s="10"/>
      <c r="CE1147" s="10"/>
      <c r="CF1147" s="10"/>
      <c r="CG1147" s="10"/>
      <c r="CH1147" s="48"/>
      <c r="CI1147" s="48"/>
      <c r="CJ1147" s="10"/>
      <c r="CK1147" s="21"/>
    </row>
    <row r="1148" spans="1:89">
      <c r="C1148" s="10"/>
      <c r="D1148" s="10"/>
      <c r="E1148" s="10"/>
      <c r="F1148" s="10"/>
      <c r="G1148" s="10"/>
      <c r="H1148" s="48"/>
      <c r="I1148" s="48"/>
      <c r="J1148" s="10"/>
      <c r="K1148" s="21"/>
      <c r="CC1148" s="10"/>
      <c r="CD1148" s="10"/>
      <c r="CE1148" s="10"/>
      <c r="CF1148" s="10"/>
      <c r="CG1148" s="10"/>
      <c r="CH1148" s="48"/>
      <c r="CI1148" s="48"/>
      <c r="CJ1148" s="10"/>
      <c r="CK1148" s="21"/>
    </row>
    <row r="1149" spans="1:89">
      <c r="C1149" s="10"/>
      <c r="D1149" s="10"/>
      <c r="E1149" s="10"/>
      <c r="F1149" s="10"/>
      <c r="G1149" s="10"/>
      <c r="H1149" s="48"/>
      <c r="I1149" s="48"/>
      <c r="J1149" s="10"/>
      <c r="K1149" s="21"/>
      <c r="CC1149" s="10"/>
      <c r="CD1149" s="10"/>
      <c r="CE1149" s="10"/>
      <c r="CF1149" s="10"/>
      <c r="CG1149" s="10"/>
      <c r="CH1149" s="48"/>
      <c r="CI1149" s="48"/>
      <c r="CJ1149" s="10"/>
      <c r="CK1149" s="21"/>
    </row>
    <row r="1150" spans="1:89">
      <c r="C1150" s="10"/>
      <c r="D1150" s="10"/>
      <c r="E1150" s="10"/>
      <c r="F1150" s="10"/>
      <c r="G1150" s="10"/>
      <c r="H1150" s="48"/>
      <c r="I1150" s="48"/>
      <c r="J1150" s="10"/>
      <c r="K1150" s="21"/>
      <c r="CC1150" s="10"/>
      <c r="CD1150" s="10"/>
      <c r="CE1150" s="10"/>
      <c r="CF1150" s="10"/>
      <c r="CG1150" s="10"/>
      <c r="CH1150" s="48"/>
      <c r="CI1150" s="48"/>
      <c r="CJ1150" s="10"/>
      <c r="CK1150" s="21"/>
    </row>
    <row r="1151" spans="1:89">
      <c r="C1151" s="10"/>
      <c r="D1151" s="10"/>
      <c r="E1151" s="10"/>
      <c r="F1151" s="10"/>
      <c r="G1151" s="10"/>
      <c r="H1151" s="48"/>
      <c r="I1151" s="48"/>
      <c r="J1151" s="10"/>
      <c r="K1151" s="21"/>
      <c r="CC1151" s="10"/>
      <c r="CD1151" s="10"/>
      <c r="CE1151" s="10"/>
      <c r="CF1151" s="10"/>
      <c r="CG1151" s="10"/>
      <c r="CH1151" s="48"/>
      <c r="CI1151" s="48"/>
      <c r="CJ1151" s="10"/>
      <c r="CK1151" s="21"/>
    </row>
    <row r="1152" spans="1:89">
      <c r="C1152" s="10"/>
      <c r="D1152" s="10"/>
      <c r="E1152" s="10"/>
      <c r="F1152" s="10"/>
      <c r="G1152" s="10"/>
      <c r="H1152" s="48"/>
      <c r="I1152" s="48"/>
      <c r="J1152" s="10"/>
      <c r="K1152" s="21"/>
      <c r="CC1152" s="10"/>
      <c r="CD1152" s="10"/>
      <c r="CE1152" s="10"/>
      <c r="CF1152" s="10"/>
      <c r="CG1152" s="10"/>
      <c r="CH1152" s="48"/>
      <c r="CI1152" s="48"/>
      <c r="CJ1152" s="10"/>
      <c r="CK1152" s="21"/>
    </row>
    <row r="1153" spans="1:88">
      <c r="C1153" s="10"/>
      <c r="D1153" s="10"/>
      <c r="E1153" s="10"/>
      <c r="F1153" s="10"/>
      <c r="G1153" s="10"/>
      <c r="H1153" s="48"/>
      <c r="I1153" s="48"/>
      <c r="J1153" s="10"/>
      <c r="CC1153" s="10"/>
      <c r="CD1153" s="10"/>
      <c r="CE1153" s="10"/>
      <c r="CF1153" s="10"/>
      <c r="CG1153" s="10"/>
      <c r="CH1153" s="48"/>
      <c r="CI1153" s="48"/>
      <c r="CJ1153" s="10"/>
    </row>
    <row r="1154" spans="1:88">
      <c r="A1154" s="21"/>
      <c r="B1154" s="21"/>
      <c r="C1154" s="21"/>
      <c r="D1154" s="14"/>
      <c r="E1154" s="14"/>
      <c r="F1154" s="14"/>
      <c r="G1154" s="14"/>
      <c r="H1154" s="14"/>
      <c r="I1154" s="87"/>
      <c r="J1154" s="21"/>
      <c r="CA1154" s="21"/>
      <c r="CB1154" s="21"/>
      <c r="CC1154" s="21"/>
      <c r="CD1154" s="14"/>
      <c r="CE1154" s="14"/>
      <c r="CF1154" s="14"/>
      <c r="CG1154" s="14"/>
      <c r="CH1154" s="14"/>
      <c r="CI1154" s="87"/>
      <c r="CJ1154" s="21"/>
    </row>
    <row r="1155" spans="1:88">
      <c r="A1155" s="21"/>
      <c r="B1155" s="21"/>
      <c r="C1155" s="21"/>
      <c r="D1155" s="14"/>
      <c r="E1155" s="14"/>
      <c r="F1155" s="14"/>
      <c r="G1155" s="14"/>
      <c r="H1155" s="14"/>
      <c r="I1155" s="87"/>
      <c r="J1155" s="21"/>
      <c r="CA1155" s="21"/>
      <c r="CB1155" s="21"/>
      <c r="CC1155" s="21"/>
      <c r="CD1155" s="14"/>
      <c r="CE1155" s="14"/>
      <c r="CF1155" s="14"/>
      <c r="CG1155" s="14"/>
      <c r="CH1155" s="14"/>
      <c r="CI1155" s="87"/>
      <c r="CJ1155" s="21"/>
    </row>
    <row r="1156" spans="1:88">
      <c r="A1156" s="21"/>
      <c r="B1156" s="21"/>
      <c r="C1156" s="21"/>
      <c r="D1156" s="14"/>
      <c r="E1156" s="14"/>
      <c r="F1156" s="14"/>
      <c r="G1156" s="14"/>
      <c r="H1156" s="14"/>
      <c r="I1156" s="87"/>
      <c r="J1156" s="21"/>
      <c r="CA1156" s="21"/>
      <c r="CB1156" s="21"/>
      <c r="CC1156" s="21"/>
      <c r="CD1156" s="14"/>
      <c r="CE1156" s="14"/>
      <c r="CF1156" s="14"/>
      <c r="CG1156" s="14"/>
      <c r="CH1156" s="14"/>
      <c r="CI1156" s="87"/>
      <c r="CJ1156" s="21"/>
    </row>
    <row r="1157" spans="1:88">
      <c r="A1157" s="21"/>
      <c r="B1157" s="21"/>
      <c r="C1157" s="21"/>
      <c r="D1157" s="14"/>
      <c r="E1157" s="14"/>
      <c r="F1157" s="14"/>
      <c r="G1157" s="14"/>
      <c r="H1157" s="14"/>
      <c r="I1157" s="87"/>
      <c r="J1157" s="21"/>
      <c r="CA1157" s="21"/>
      <c r="CB1157" s="21"/>
      <c r="CC1157" s="21"/>
      <c r="CD1157" s="14"/>
      <c r="CE1157" s="14"/>
      <c r="CF1157" s="14"/>
      <c r="CG1157" s="14"/>
      <c r="CH1157" s="14"/>
      <c r="CI1157" s="87"/>
      <c r="CJ1157" s="21"/>
    </row>
    <row r="1158" spans="1:88">
      <c r="A1158" s="4" t="s">
        <v>5214</v>
      </c>
      <c r="C1158" s="1" t="s">
        <v>5018</v>
      </c>
      <c r="D1158" s="1" t="s">
        <v>5701</v>
      </c>
      <c r="E1158" s="1" t="s">
        <v>5019</v>
      </c>
      <c r="F1158" s="1" t="s">
        <v>5020</v>
      </c>
      <c r="G1158" s="1" t="s">
        <v>5021</v>
      </c>
      <c r="H1158" s="1" t="s">
        <v>5022</v>
      </c>
      <c r="I1158" s="59" t="s">
        <v>5316</v>
      </c>
      <c r="J1158" s="4"/>
      <c r="CA1158" s="4" t="s">
        <v>5214</v>
      </c>
      <c r="CC1158" s="1" t="s">
        <v>5018</v>
      </c>
      <c r="CD1158" s="1" t="s">
        <v>5701</v>
      </c>
      <c r="CE1158" s="1" t="s">
        <v>5019</v>
      </c>
      <c r="CF1158" s="1" t="s">
        <v>5020</v>
      </c>
      <c r="CG1158" s="1" t="s">
        <v>5021</v>
      </c>
      <c r="CH1158" s="1" t="s">
        <v>5022</v>
      </c>
      <c r="CI1158" s="59" t="s">
        <v>5316</v>
      </c>
      <c r="CJ1158" s="4"/>
    </row>
    <row r="1159" spans="1:88">
      <c r="C1159" s="10"/>
      <c r="D1159" s="10"/>
      <c r="E1159" s="10"/>
      <c r="F1159" s="10"/>
      <c r="G1159" s="10"/>
      <c r="H1159" s="48"/>
      <c r="I1159" s="48"/>
      <c r="J1159" s="10"/>
      <c r="CC1159" s="10"/>
      <c r="CD1159" s="10"/>
      <c r="CE1159" s="10"/>
      <c r="CF1159" s="10"/>
      <c r="CG1159" s="10"/>
      <c r="CH1159" s="48"/>
      <c r="CI1159" s="48"/>
      <c r="CJ1159" s="10"/>
    </row>
    <row r="1160" spans="1:88">
      <c r="C1160" s="10"/>
      <c r="D1160" s="10"/>
      <c r="E1160" s="10"/>
      <c r="F1160" s="10"/>
      <c r="G1160" s="10"/>
      <c r="H1160" s="48"/>
      <c r="I1160" s="48"/>
      <c r="J1160" s="10"/>
      <c r="CC1160" s="10"/>
      <c r="CD1160" s="10"/>
      <c r="CE1160" s="10"/>
      <c r="CF1160" s="10"/>
      <c r="CG1160" s="10"/>
      <c r="CH1160" s="48"/>
      <c r="CI1160" s="48"/>
      <c r="CJ1160" s="10"/>
    </row>
    <row r="1161" spans="1:88">
      <c r="C1161" s="10"/>
      <c r="D1161" s="10"/>
      <c r="E1161" s="10"/>
      <c r="F1161" s="10"/>
      <c r="G1161" s="10"/>
      <c r="H1161" s="48"/>
      <c r="I1161" s="48"/>
      <c r="J1161" s="10"/>
      <c r="CC1161" s="10"/>
      <c r="CD1161" s="10"/>
      <c r="CE1161" s="10"/>
      <c r="CF1161" s="10"/>
      <c r="CG1161" s="10"/>
      <c r="CH1161" s="48"/>
      <c r="CI1161" s="48"/>
      <c r="CJ1161" s="10"/>
    </row>
    <row r="1162" spans="1:88">
      <c r="C1162" s="10"/>
      <c r="D1162" s="10"/>
      <c r="E1162" s="10"/>
      <c r="F1162" s="10"/>
      <c r="G1162" s="10"/>
      <c r="H1162" s="48"/>
      <c r="I1162" s="48"/>
      <c r="J1162" s="10"/>
      <c r="CC1162" s="10"/>
      <c r="CD1162" s="10"/>
      <c r="CE1162" s="10"/>
      <c r="CF1162" s="10"/>
      <c r="CG1162" s="10"/>
      <c r="CH1162" s="48"/>
      <c r="CI1162" s="48"/>
      <c r="CJ1162" s="10"/>
    </row>
    <row r="1163" spans="1:88">
      <c r="C1163" s="10"/>
      <c r="D1163" s="10"/>
      <c r="E1163" s="10"/>
      <c r="F1163" s="10"/>
      <c r="G1163" s="10"/>
      <c r="H1163" s="48"/>
      <c r="I1163" s="48"/>
      <c r="J1163" s="10"/>
      <c r="CC1163" s="10"/>
      <c r="CD1163" s="10"/>
      <c r="CE1163" s="10"/>
      <c r="CF1163" s="10"/>
      <c r="CG1163" s="10"/>
      <c r="CH1163" s="48"/>
      <c r="CI1163" s="48"/>
      <c r="CJ1163" s="10"/>
    </row>
    <row r="1164" spans="1:88">
      <c r="C1164" s="10"/>
      <c r="D1164" s="10"/>
      <c r="E1164" s="10"/>
      <c r="F1164" s="10"/>
      <c r="G1164" s="10"/>
      <c r="H1164" s="48"/>
      <c r="I1164" s="48"/>
      <c r="J1164" s="10"/>
      <c r="CC1164" s="10"/>
      <c r="CD1164" s="10"/>
      <c r="CE1164" s="10"/>
      <c r="CF1164" s="10"/>
      <c r="CG1164" s="10"/>
      <c r="CH1164" s="48"/>
      <c r="CI1164" s="48"/>
      <c r="CJ1164" s="10"/>
    </row>
    <row r="1165" spans="1:88">
      <c r="C1165" s="10"/>
      <c r="D1165" s="10"/>
      <c r="E1165" s="10"/>
      <c r="F1165" s="10"/>
      <c r="G1165" s="10"/>
      <c r="H1165" s="48"/>
      <c r="I1165" s="48"/>
      <c r="J1165" s="10"/>
      <c r="CC1165" s="10"/>
      <c r="CD1165" s="10"/>
      <c r="CE1165" s="10"/>
      <c r="CF1165" s="10"/>
      <c r="CG1165" s="10"/>
      <c r="CH1165" s="48"/>
      <c r="CI1165" s="48"/>
      <c r="CJ1165" s="10"/>
    </row>
    <row r="1166" spans="1:88">
      <c r="C1166" s="10"/>
      <c r="D1166" s="10"/>
      <c r="E1166" s="10"/>
      <c r="F1166" s="10"/>
      <c r="G1166" s="10"/>
      <c r="H1166" s="48"/>
      <c r="I1166" s="48"/>
      <c r="CC1166" s="10"/>
      <c r="CD1166" s="10"/>
      <c r="CE1166" s="10"/>
      <c r="CF1166" s="10"/>
      <c r="CG1166" s="10"/>
      <c r="CH1166" s="48"/>
      <c r="CI1166" s="48"/>
    </row>
    <row r="1167" spans="1:88">
      <c r="C1167" s="10"/>
      <c r="D1167" s="10"/>
      <c r="E1167" s="10"/>
      <c r="F1167" s="10"/>
      <c r="G1167" s="10"/>
      <c r="H1167" s="48"/>
      <c r="I1167" s="48"/>
      <c r="CC1167" s="10"/>
      <c r="CD1167" s="10"/>
      <c r="CE1167" s="10"/>
      <c r="CF1167" s="10"/>
      <c r="CG1167" s="10"/>
      <c r="CH1167" s="48"/>
      <c r="CI1167" s="48"/>
    </row>
    <row r="1168" spans="1:88">
      <c r="B1168" s="21"/>
      <c r="C1168" s="21"/>
      <c r="D1168" s="10"/>
      <c r="E1168" s="10"/>
      <c r="F1168" s="10"/>
      <c r="G1168" s="10"/>
      <c r="H1168" s="10"/>
      <c r="I1168" s="48"/>
      <c r="CB1168" s="21"/>
      <c r="CC1168" s="21"/>
      <c r="CD1168" s="10"/>
      <c r="CE1168" s="10"/>
      <c r="CF1168" s="10"/>
      <c r="CG1168" s="10"/>
      <c r="CH1168" s="10"/>
      <c r="CI1168" s="48"/>
    </row>
    <row r="1169" spans="1:88">
      <c r="B1169" s="21"/>
      <c r="C1169" s="21"/>
      <c r="D1169" s="10"/>
      <c r="E1169" s="10"/>
      <c r="F1169" s="10"/>
      <c r="G1169" s="10"/>
      <c r="H1169" s="10"/>
      <c r="I1169" s="48"/>
      <c r="CB1169" s="21"/>
      <c r="CC1169" s="21"/>
      <c r="CD1169" s="10"/>
      <c r="CE1169" s="10"/>
      <c r="CF1169" s="10"/>
      <c r="CG1169" s="10"/>
      <c r="CH1169" s="10"/>
      <c r="CI1169" s="48"/>
    </row>
    <row r="1170" spans="1:88">
      <c r="B1170" s="21"/>
      <c r="C1170" s="21"/>
      <c r="D1170" s="10"/>
      <c r="E1170" s="10"/>
      <c r="F1170" s="10"/>
      <c r="G1170" s="10"/>
      <c r="H1170" s="10"/>
      <c r="I1170" s="48"/>
      <c r="CB1170" s="21"/>
      <c r="CC1170" s="21"/>
      <c r="CD1170" s="10"/>
      <c r="CE1170" s="10"/>
      <c r="CF1170" s="10"/>
      <c r="CG1170" s="10"/>
      <c r="CH1170" s="10"/>
      <c r="CI1170" s="48"/>
    </row>
    <row r="1171" spans="1:88">
      <c r="A1171" s="4" t="s">
        <v>5215</v>
      </c>
      <c r="C1171" s="1" t="s">
        <v>5018</v>
      </c>
      <c r="D1171" s="1" t="s">
        <v>5701</v>
      </c>
      <c r="E1171" s="1" t="s">
        <v>5019</v>
      </c>
      <c r="F1171" s="1" t="s">
        <v>5020</v>
      </c>
      <c r="G1171" s="1" t="s">
        <v>5021</v>
      </c>
      <c r="H1171" s="1" t="s">
        <v>5022</v>
      </c>
      <c r="I1171" s="59" t="s">
        <v>5316</v>
      </c>
      <c r="J1171" s="4"/>
      <c r="CA1171" s="4" t="s">
        <v>5215</v>
      </c>
      <c r="CC1171" s="1" t="s">
        <v>5018</v>
      </c>
      <c r="CD1171" s="1" t="s">
        <v>5701</v>
      </c>
      <c r="CE1171" s="1" t="s">
        <v>5019</v>
      </c>
      <c r="CF1171" s="1" t="s">
        <v>5020</v>
      </c>
      <c r="CG1171" s="1" t="s">
        <v>5021</v>
      </c>
      <c r="CH1171" s="1" t="s">
        <v>5022</v>
      </c>
      <c r="CI1171" s="59" t="s">
        <v>5316</v>
      </c>
      <c r="CJ1171" s="4"/>
    </row>
    <row r="1172" spans="1:88">
      <c r="C1172" s="10"/>
      <c r="D1172" s="10"/>
      <c r="E1172" s="10"/>
      <c r="F1172" s="10"/>
      <c r="G1172" s="10"/>
      <c r="H1172" s="48"/>
      <c r="I1172" s="48"/>
      <c r="J1172" s="10"/>
      <c r="CC1172" s="10"/>
      <c r="CD1172" s="10"/>
      <c r="CE1172" s="10"/>
      <c r="CF1172" s="10"/>
      <c r="CG1172" s="10"/>
      <c r="CH1172" s="48"/>
      <c r="CI1172" s="48"/>
      <c r="CJ1172" s="10"/>
    </row>
    <row r="1173" spans="1:88">
      <c r="C1173" s="10"/>
      <c r="D1173" s="10"/>
      <c r="E1173" s="10"/>
      <c r="F1173" s="10"/>
      <c r="G1173" s="10"/>
      <c r="H1173" s="10"/>
      <c r="I1173" s="48"/>
      <c r="J1173" s="10"/>
      <c r="CC1173" s="10"/>
      <c r="CD1173" s="10"/>
      <c r="CE1173" s="10"/>
      <c r="CF1173" s="10"/>
      <c r="CG1173" s="10"/>
      <c r="CH1173" s="10"/>
      <c r="CI1173" s="48"/>
      <c r="CJ1173" s="10"/>
    </row>
    <row r="1174" spans="1:88">
      <c r="C1174" s="10"/>
      <c r="D1174" s="10"/>
      <c r="E1174" s="10"/>
      <c r="F1174" s="10"/>
      <c r="G1174" s="10"/>
      <c r="H1174" s="10"/>
      <c r="I1174" s="48"/>
      <c r="J1174" s="10"/>
      <c r="CC1174" s="10"/>
      <c r="CD1174" s="10"/>
      <c r="CE1174" s="10"/>
      <c r="CF1174" s="10"/>
      <c r="CG1174" s="10"/>
      <c r="CH1174" s="10"/>
      <c r="CI1174" s="48"/>
      <c r="CJ1174" s="10"/>
    </row>
    <row r="1175" spans="1:88">
      <c r="C1175" s="10"/>
      <c r="D1175" s="10"/>
      <c r="E1175" s="10"/>
      <c r="F1175" s="10"/>
      <c r="G1175" s="10"/>
      <c r="H1175" s="10"/>
      <c r="I1175" s="48"/>
      <c r="J1175" s="10"/>
      <c r="CC1175" s="10"/>
      <c r="CD1175" s="10"/>
      <c r="CE1175" s="10"/>
      <c r="CF1175" s="10"/>
      <c r="CG1175" s="10"/>
      <c r="CH1175" s="10"/>
      <c r="CI1175" s="48"/>
      <c r="CJ1175" s="10"/>
    </row>
    <row r="1176" spans="1:88">
      <c r="C1176" s="10"/>
      <c r="D1176" s="10"/>
      <c r="E1176" s="10"/>
      <c r="F1176" s="10"/>
      <c r="G1176" s="10"/>
      <c r="H1176" s="10"/>
      <c r="I1176" s="48"/>
      <c r="J1176" s="10"/>
      <c r="CC1176" s="10"/>
      <c r="CD1176" s="10"/>
      <c r="CE1176" s="10"/>
      <c r="CF1176" s="10"/>
      <c r="CG1176" s="10"/>
      <c r="CH1176" s="10"/>
      <c r="CI1176" s="48"/>
      <c r="CJ1176" s="10"/>
    </row>
    <row r="1177" spans="1:88">
      <c r="A1177" s="4" t="s">
        <v>5216</v>
      </c>
      <c r="C1177" s="1" t="s">
        <v>5018</v>
      </c>
      <c r="D1177" s="1" t="s">
        <v>5701</v>
      </c>
      <c r="E1177" s="1" t="s">
        <v>5019</v>
      </c>
      <c r="F1177" s="1" t="s">
        <v>5020</v>
      </c>
      <c r="G1177" s="1" t="s">
        <v>5021</v>
      </c>
      <c r="H1177" s="1" t="s">
        <v>5022</v>
      </c>
      <c r="I1177" s="59" t="s">
        <v>5316</v>
      </c>
      <c r="J1177" s="4"/>
      <c r="CA1177" s="4" t="s">
        <v>5216</v>
      </c>
      <c r="CC1177" s="1" t="s">
        <v>5018</v>
      </c>
      <c r="CD1177" s="1" t="s">
        <v>5701</v>
      </c>
      <c r="CE1177" s="1" t="s">
        <v>5019</v>
      </c>
      <c r="CF1177" s="1" t="s">
        <v>5020</v>
      </c>
      <c r="CG1177" s="1" t="s">
        <v>5021</v>
      </c>
      <c r="CH1177" s="1" t="s">
        <v>5022</v>
      </c>
      <c r="CI1177" s="59" t="s">
        <v>5316</v>
      </c>
      <c r="CJ1177" s="4"/>
    </row>
    <row r="1178" spans="1:88">
      <c r="C1178" s="10"/>
      <c r="D1178" s="10"/>
      <c r="E1178" s="10"/>
      <c r="F1178" s="10"/>
      <c r="G1178" s="10"/>
      <c r="H1178" s="48"/>
      <c r="I1178" s="48"/>
      <c r="J1178" s="10"/>
      <c r="CC1178" s="10"/>
      <c r="CD1178" s="10"/>
      <c r="CE1178" s="10"/>
      <c r="CF1178" s="10"/>
      <c r="CG1178" s="10"/>
      <c r="CH1178" s="48"/>
      <c r="CI1178" s="48"/>
      <c r="CJ1178" s="10"/>
    </row>
    <row r="1179" spans="1:88">
      <c r="D1179" s="14"/>
      <c r="E1179" s="14"/>
      <c r="F1179" s="106"/>
      <c r="G1179" s="14"/>
      <c r="H1179" s="87"/>
      <c r="I1179" s="44"/>
      <c r="CD1179" s="14"/>
      <c r="CE1179" s="14"/>
      <c r="CF1179" s="106"/>
      <c r="CG1179" s="14"/>
      <c r="CH1179" s="87"/>
      <c r="CI1179" s="44"/>
    </row>
    <row r="1180" spans="1:88">
      <c r="A1180" s="4"/>
      <c r="C1180" s="1"/>
      <c r="D1180" s="1"/>
      <c r="E1180" s="1"/>
      <c r="F1180" s="1"/>
      <c r="G1180" s="1"/>
      <c r="H1180" s="1"/>
      <c r="I1180" s="59"/>
      <c r="J1180" s="4"/>
      <c r="CA1180" s="4"/>
      <c r="CC1180" s="1"/>
      <c r="CD1180" s="1"/>
      <c r="CE1180" s="1"/>
      <c r="CF1180" s="1"/>
      <c r="CG1180" s="1"/>
      <c r="CH1180" s="1"/>
      <c r="CI1180" s="59"/>
      <c r="CJ1180" s="4"/>
    </row>
    <row r="1181" spans="1:88">
      <c r="A1181" s="4"/>
      <c r="C1181" s="1"/>
      <c r="D1181" s="1"/>
      <c r="E1181" s="1"/>
      <c r="F1181" s="1"/>
      <c r="G1181" s="1"/>
      <c r="H1181" s="1"/>
      <c r="I1181" s="59"/>
      <c r="J1181" s="4"/>
      <c r="CA1181" s="4"/>
      <c r="CC1181" s="1"/>
      <c r="CD1181" s="1"/>
      <c r="CE1181" s="1"/>
      <c r="CF1181" s="1"/>
      <c r="CG1181" s="1"/>
      <c r="CH1181" s="1"/>
      <c r="CI1181" s="59"/>
      <c r="CJ1181" s="4"/>
    </row>
    <row r="1182" spans="1:88">
      <c r="D1182" s="10"/>
      <c r="E1182" s="10"/>
      <c r="F1182" s="10"/>
      <c r="G1182" s="10"/>
      <c r="H1182" s="10"/>
      <c r="I1182" s="48"/>
      <c r="CD1182" s="10"/>
      <c r="CE1182" s="10"/>
      <c r="CF1182" s="10"/>
      <c r="CG1182" s="10"/>
      <c r="CH1182" s="10"/>
      <c r="CI1182" s="48"/>
    </row>
    <row r="1183" spans="1:88">
      <c r="A1183" s="4" t="s">
        <v>5418</v>
      </c>
      <c r="C1183" s="1" t="s">
        <v>5018</v>
      </c>
      <c r="D1183" s="1" t="s">
        <v>5701</v>
      </c>
      <c r="E1183" s="1" t="s">
        <v>5019</v>
      </c>
      <c r="F1183" s="1" t="s">
        <v>5020</v>
      </c>
      <c r="G1183" s="1" t="s">
        <v>5021</v>
      </c>
      <c r="H1183" s="1" t="s">
        <v>5022</v>
      </c>
      <c r="I1183" s="59" t="s">
        <v>5316</v>
      </c>
      <c r="J1183" s="4"/>
      <c r="CA1183" s="4" t="s">
        <v>5418</v>
      </c>
      <c r="CC1183" s="1" t="s">
        <v>5018</v>
      </c>
      <c r="CD1183" s="1" t="s">
        <v>5701</v>
      </c>
      <c r="CE1183" s="1" t="s">
        <v>5019</v>
      </c>
      <c r="CF1183" s="1" t="s">
        <v>5020</v>
      </c>
      <c r="CG1183" s="1" t="s">
        <v>5021</v>
      </c>
      <c r="CH1183" s="1" t="s">
        <v>5022</v>
      </c>
      <c r="CI1183" s="59" t="s">
        <v>5316</v>
      </c>
      <c r="CJ1183" s="4"/>
    </row>
    <row r="1184" spans="1:88">
      <c r="D1184" s="10"/>
      <c r="E1184" s="10"/>
      <c r="F1184" s="10"/>
      <c r="G1184" s="10"/>
      <c r="H1184" s="10"/>
      <c r="I1184" s="48"/>
      <c r="CD1184" s="10"/>
      <c r="CE1184" s="10"/>
      <c r="CF1184" s="10"/>
      <c r="CG1184" s="10"/>
      <c r="CH1184" s="10"/>
      <c r="CI1184" s="48"/>
    </row>
    <row r="1185" spans="1:89">
      <c r="D1185" s="10"/>
      <c r="E1185" s="10"/>
      <c r="F1185" s="10"/>
      <c r="G1185" s="10"/>
      <c r="H1185" s="10"/>
      <c r="I1185" s="48"/>
      <c r="CD1185" s="10"/>
      <c r="CE1185" s="10"/>
      <c r="CF1185" s="10"/>
      <c r="CG1185" s="10"/>
      <c r="CH1185" s="10"/>
      <c r="CI1185" s="48"/>
    </row>
    <row r="1186" spans="1:89">
      <c r="D1186" s="10"/>
      <c r="E1186" s="10"/>
      <c r="F1186" s="10"/>
      <c r="G1186" s="10"/>
      <c r="H1186" s="10"/>
      <c r="I1186" s="48"/>
      <c r="CD1186" s="10"/>
      <c r="CE1186" s="10"/>
      <c r="CF1186" s="10"/>
      <c r="CG1186" s="10"/>
      <c r="CH1186" s="10"/>
      <c r="CI1186" s="48"/>
    </row>
    <row r="1187" spans="1:89">
      <c r="A1187" s="4"/>
      <c r="C1187" s="1"/>
      <c r="D1187" s="1"/>
      <c r="E1187" s="1"/>
      <c r="F1187" s="1"/>
      <c r="G1187" s="1"/>
      <c r="H1187" s="1"/>
      <c r="I1187" s="59"/>
      <c r="J1187" s="4"/>
      <c r="CA1187" s="4"/>
      <c r="CC1187" s="1"/>
      <c r="CD1187" s="1"/>
      <c r="CE1187" s="1"/>
      <c r="CF1187" s="1"/>
      <c r="CG1187" s="1"/>
      <c r="CH1187" s="1"/>
      <c r="CI1187" s="59"/>
      <c r="CJ1187" s="4"/>
    </row>
    <row r="1188" spans="1:89">
      <c r="A1188" s="4"/>
      <c r="C1188" s="1"/>
      <c r="D1188" s="1"/>
      <c r="E1188" s="1"/>
      <c r="F1188" s="1"/>
      <c r="G1188" s="1"/>
      <c r="H1188" s="1"/>
      <c r="I1188" s="59"/>
      <c r="J1188" s="4"/>
      <c r="CA1188" s="4"/>
      <c r="CC1188" s="1"/>
      <c r="CD1188" s="1"/>
      <c r="CE1188" s="1"/>
      <c r="CF1188" s="1"/>
      <c r="CG1188" s="1"/>
      <c r="CH1188" s="1"/>
      <c r="CI1188" s="59"/>
      <c r="CJ1188" s="4"/>
    </row>
    <row r="1189" spans="1:89">
      <c r="A1189" s="4" t="s">
        <v>5419</v>
      </c>
      <c r="C1189" s="1" t="s">
        <v>5018</v>
      </c>
      <c r="D1189" s="1" t="s">
        <v>5701</v>
      </c>
      <c r="E1189" s="1" t="s">
        <v>5019</v>
      </c>
      <c r="F1189" s="1" t="s">
        <v>5020</v>
      </c>
      <c r="G1189" s="1" t="s">
        <v>5021</v>
      </c>
      <c r="H1189" s="1" t="s">
        <v>5022</v>
      </c>
      <c r="I1189" s="59" t="s">
        <v>5316</v>
      </c>
      <c r="J1189" s="4"/>
      <c r="CA1189" s="4" t="s">
        <v>5419</v>
      </c>
      <c r="CC1189" s="1" t="s">
        <v>5018</v>
      </c>
      <c r="CD1189" s="1" t="s">
        <v>5701</v>
      </c>
      <c r="CE1189" s="1" t="s">
        <v>5019</v>
      </c>
      <c r="CF1189" s="1" t="s">
        <v>5020</v>
      </c>
      <c r="CG1189" s="1" t="s">
        <v>5021</v>
      </c>
      <c r="CH1189" s="1" t="s">
        <v>5022</v>
      </c>
      <c r="CI1189" s="59" t="s">
        <v>5316</v>
      </c>
      <c r="CJ1189" s="4"/>
    </row>
    <row r="1190" spans="1:89">
      <c r="C1190" s="10"/>
      <c r="D1190" s="10"/>
      <c r="E1190" s="10"/>
      <c r="F1190" s="10"/>
      <c r="G1190" s="10"/>
      <c r="H1190" s="48"/>
      <c r="I1190" s="48"/>
      <c r="J1190" s="10"/>
      <c r="CC1190" s="10"/>
      <c r="CD1190" s="10"/>
      <c r="CE1190" s="10"/>
      <c r="CF1190" s="10"/>
      <c r="CG1190" s="10"/>
      <c r="CH1190" s="48"/>
      <c r="CI1190" s="48"/>
      <c r="CJ1190" s="10"/>
    </row>
    <row r="1191" spans="1:89">
      <c r="D1191" s="10"/>
      <c r="E1191" s="10"/>
      <c r="F1191" s="10"/>
      <c r="G1191" s="10"/>
      <c r="H1191" s="10"/>
      <c r="I1191" s="48"/>
      <c r="CD1191" s="10"/>
      <c r="CE1191" s="10"/>
      <c r="CF1191" s="10"/>
      <c r="CG1191" s="10"/>
      <c r="CH1191" s="10"/>
      <c r="CI1191" s="48"/>
    </row>
    <row r="1192" spans="1:89">
      <c r="D1192" s="10"/>
      <c r="E1192" s="10"/>
      <c r="F1192" s="10"/>
      <c r="G1192" s="10"/>
      <c r="H1192" s="10"/>
      <c r="I1192" s="48"/>
      <c r="CD1192" s="10"/>
      <c r="CE1192" s="10"/>
      <c r="CF1192" s="10"/>
      <c r="CG1192" s="10"/>
      <c r="CH1192" s="10"/>
      <c r="CI1192" s="48"/>
    </row>
    <row r="1193" spans="1:89">
      <c r="D1193" s="10"/>
      <c r="E1193" s="10"/>
      <c r="F1193" s="10"/>
      <c r="G1193" s="10"/>
      <c r="H1193" s="10"/>
      <c r="I1193" s="48"/>
      <c r="CD1193" s="10"/>
      <c r="CE1193" s="10"/>
      <c r="CF1193" s="10"/>
      <c r="CG1193" s="10"/>
      <c r="CH1193" s="10"/>
      <c r="CI1193" s="48"/>
    </row>
    <row r="1194" spans="1:89">
      <c r="A1194" s="4"/>
      <c r="C1194" s="1"/>
      <c r="D1194" s="1"/>
      <c r="E1194" s="1"/>
      <c r="F1194" s="1"/>
      <c r="G1194" s="1"/>
      <c r="H1194" s="1"/>
      <c r="I1194" s="59"/>
      <c r="J1194" s="4"/>
      <c r="CA1194" s="4"/>
      <c r="CC1194" s="1"/>
      <c r="CD1194" s="1"/>
      <c r="CE1194" s="1"/>
      <c r="CF1194" s="1"/>
      <c r="CG1194" s="1"/>
      <c r="CH1194" s="1"/>
      <c r="CI1194" s="59"/>
      <c r="CJ1194" s="4"/>
    </row>
    <row r="1195" spans="1:89">
      <c r="A1195" s="4" t="s">
        <v>5420</v>
      </c>
      <c r="C1195" s="1" t="s">
        <v>5018</v>
      </c>
      <c r="D1195" s="1" t="s">
        <v>5701</v>
      </c>
      <c r="E1195" s="1" t="s">
        <v>5019</v>
      </c>
      <c r="F1195" s="1" t="s">
        <v>5020</v>
      </c>
      <c r="G1195" s="1" t="s">
        <v>5021</v>
      </c>
      <c r="H1195" s="1" t="s">
        <v>5022</v>
      </c>
      <c r="I1195" s="59" t="s">
        <v>5316</v>
      </c>
      <c r="J1195" s="4"/>
      <c r="CA1195" s="4" t="s">
        <v>5420</v>
      </c>
      <c r="CC1195" s="1" t="s">
        <v>5018</v>
      </c>
      <c r="CD1195" s="1" t="s">
        <v>5701</v>
      </c>
      <c r="CE1195" s="1" t="s">
        <v>5019</v>
      </c>
      <c r="CF1195" s="1" t="s">
        <v>5020</v>
      </c>
      <c r="CG1195" s="1" t="s">
        <v>5021</v>
      </c>
      <c r="CH1195" s="1" t="s">
        <v>5022</v>
      </c>
      <c r="CI1195" s="59" t="s">
        <v>5316</v>
      </c>
      <c r="CJ1195" s="4"/>
    </row>
    <row r="1196" spans="1:89">
      <c r="C1196" s="10"/>
      <c r="D1196" s="10"/>
      <c r="E1196" s="10"/>
      <c r="F1196" s="10"/>
      <c r="G1196" s="10"/>
      <c r="H1196" s="48"/>
      <c r="I1196" s="48"/>
      <c r="J1196" s="10"/>
      <c r="CC1196" s="10"/>
      <c r="CD1196" s="10"/>
      <c r="CE1196" s="10"/>
      <c r="CF1196" s="10"/>
      <c r="CG1196" s="10"/>
      <c r="CH1196" s="48"/>
      <c r="CI1196" s="48"/>
      <c r="CJ1196" s="10"/>
    </row>
    <row r="1197" spans="1:89">
      <c r="A1197" s="166"/>
      <c r="B1197" s="101"/>
      <c r="C1197" s="100"/>
      <c r="D1197" s="167"/>
      <c r="E1197" s="167"/>
      <c r="F1197" s="167"/>
      <c r="G1197" s="167"/>
      <c r="H1197" s="168"/>
      <c r="I1197" s="101"/>
      <c r="J1197" s="101"/>
      <c r="K1197" s="165"/>
      <c r="CA1197" s="166"/>
      <c r="CB1197" s="101"/>
      <c r="CC1197" s="100"/>
      <c r="CD1197" s="167"/>
      <c r="CE1197" s="167"/>
      <c r="CF1197" s="167"/>
      <c r="CG1197" s="167"/>
      <c r="CH1197" s="168"/>
      <c r="CI1197" s="101"/>
      <c r="CJ1197" s="101"/>
      <c r="CK1197" s="165"/>
    </row>
    <row r="1198" spans="1:89">
      <c r="A1198" s="166"/>
      <c r="B1198" s="101"/>
      <c r="C1198" s="100"/>
      <c r="D1198" s="167"/>
      <c r="E1198" s="167"/>
      <c r="F1198" s="167"/>
      <c r="G1198" s="167"/>
      <c r="H1198" s="168"/>
      <c r="I1198" s="101"/>
      <c r="J1198" s="101"/>
      <c r="K1198" s="165"/>
      <c r="CA1198" s="166"/>
      <c r="CB1198" s="101"/>
      <c r="CC1198" s="100"/>
      <c r="CD1198" s="167"/>
      <c r="CE1198" s="167"/>
      <c r="CF1198" s="167"/>
      <c r="CG1198" s="167"/>
      <c r="CH1198" s="168"/>
      <c r="CI1198" s="101"/>
      <c r="CJ1198" s="101"/>
      <c r="CK1198" s="165"/>
    </row>
    <row r="1199" spans="1:89">
      <c r="A1199" s="166"/>
      <c r="B1199" s="101"/>
      <c r="C1199" s="100"/>
      <c r="D1199" s="167"/>
      <c r="E1199" s="167"/>
      <c r="F1199" s="167"/>
      <c r="G1199" s="167"/>
      <c r="H1199" s="168"/>
      <c r="I1199" s="101"/>
      <c r="J1199" s="101"/>
      <c r="K1199" s="165"/>
      <c r="CA1199" s="166"/>
      <c r="CB1199" s="101"/>
      <c r="CC1199" s="100"/>
      <c r="CD1199" s="167"/>
      <c r="CE1199" s="167"/>
      <c r="CF1199" s="167"/>
      <c r="CG1199" s="167"/>
      <c r="CH1199" s="168"/>
      <c r="CI1199" s="101"/>
      <c r="CJ1199" s="101"/>
      <c r="CK1199" s="165"/>
    </row>
    <row r="1200" spans="1:89" ht="14" thickBot="1">
      <c r="A1200" s="170"/>
      <c r="B1200" s="171"/>
      <c r="C1200" s="172"/>
      <c r="D1200" s="172"/>
      <c r="E1200" s="172"/>
      <c r="F1200" s="172"/>
      <c r="G1200" s="172"/>
      <c r="H1200" s="173"/>
      <c r="I1200" s="171"/>
      <c r="J1200" s="171"/>
      <c r="K1200" s="174"/>
      <c r="CA1200" s="170"/>
      <c r="CB1200" s="171"/>
      <c r="CC1200" s="172"/>
      <c r="CD1200" s="172"/>
      <c r="CE1200" s="172"/>
      <c r="CF1200" s="172"/>
      <c r="CG1200" s="172"/>
      <c r="CH1200" s="173"/>
      <c r="CI1200" s="171"/>
      <c r="CJ1200" s="171"/>
      <c r="CK1200" s="174"/>
    </row>
    <row r="1201" spans="1:81">
      <c r="A1201" s="4" t="s">
        <v>5223</v>
      </c>
      <c r="B1201" s="1" t="s">
        <v>5348</v>
      </c>
      <c r="C1201" s="1" t="s">
        <v>5353</v>
      </c>
      <c r="D1201" s="231"/>
      <c r="E1201" s="231"/>
      <c r="F1201" s="231"/>
      <c r="G1201" s="231"/>
      <c r="H1201" s="231"/>
      <c r="CA1201" s="4" t="s">
        <v>5223</v>
      </c>
      <c r="CB1201" s="1" t="s">
        <v>5348</v>
      </c>
      <c r="CC1201" s="1" t="s">
        <v>5353</v>
      </c>
    </row>
    <row r="1202" spans="1:81">
      <c r="A1202" s="231" t="s">
        <v>5224</v>
      </c>
      <c r="B1202" s="5">
        <v>1</v>
      </c>
      <c r="C1202" s="5" t="s">
        <v>5225</v>
      </c>
      <c r="D1202" s="231"/>
      <c r="E1202" s="231"/>
      <c r="F1202" s="5" t="s">
        <v>5132</v>
      </c>
      <c r="G1202" s="231"/>
      <c r="H1202" s="231"/>
    </row>
    <row r="1203" spans="1:81">
      <c r="A1203" s="231" t="s">
        <v>5133</v>
      </c>
      <c r="B1203" s="5">
        <v>1</v>
      </c>
      <c r="C1203" s="5" t="s">
        <v>5227</v>
      </c>
      <c r="D1203" s="231"/>
      <c r="E1203" s="231"/>
      <c r="F1203" s="5" t="s">
        <v>5134</v>
      </c>
      <c r="G1203" s="231"/>
      <c r="H1203" s="231"/>
    </row>
    <row r="1204" spans="1:81">
      <c r="A1204" s="231" t="s">
        <v>5135</v>
      </c>
      <c r="B1204" s="5">
        <v>1</v>
      </c>
      <c r="C1204" s="5" t="s">
        <v>5227</v>
      </c>
      <c r="D1204" s="231"/>
      <c r="E1204" s="231"/>
      <c r="F1204" s="5" t="s">
        <v>5136</v>
      </c>
      <c r="G1204" s="231"/>
      <c r="H1204" s="231"/>
    </row>
    <row r="1205" spans="1:81">
      <c r="A1205" s="231" t="s">
        <v>5137</v>
      </c>
      <c r="B1205" s="5">
        <v>1</v>
      </c>
      <c r="C1205" s="5" t="s">
        <v>5227</v>
      </c>
      <c r="D1205" s="231"/>
      <c r="E1205" s="231"/>
      <c r="F1205" s="5" t="s">
        <v>5325</v>
      </c>
      <c r="G1205" s="231"/>
      <c r="H1205" s="231"/>
    </row>
    <row r="1206" spans="1:81">
      <c r="A1206" s="231" t="s">
        <v>5326</v>
      </c>
      <c r="B1206" s="5">
        <v>1</v>
      </c>
      <c r="C1206" s="5" t="s">
        <v>5225</v>
      </c>
      <c r="D1206" s="231"/>
      <c r="E1206" s="231"/>
      <c r="F1206" s="5" t="s">
        <v>5327</v>
      </c>
      <c r="G1206" s="231"/>
      <c r="H1206" s="231"/>
    </row>
    <row r="1207" spans="1:81">
      <c r="A1207" s="231" t="s">
        <v>5433</v>
      </c>
      <c r="B1207" s="5">
        <v>1</v>
      </c>
      <c r="C1207" s="5" t="s">
        <v>5225</v>
      </c>
      <c r="D1207" s="231"/>
      <c r="E1207" s="231"/>
      <c r="F1207" s="5" t="s">
        <v>5328</v>
      </c>
      <c r="G1207" s="231"/>
      <c r="H1207" s="231"/>
    </row>
    <row r="1208" spans="1:81">
      <c r="A1208" s="231" t="s">
        <v>4796</v>
      </c>
      <c r="B1208" s="5">
        <v>2</v>
      </c>
      <c r="C1208" s="5" t="s">
        <v>5227</v>
      </c>
      <c r="D1208" s="231"/>
      <c r="E1208" s="231"/>
      <c r="F1208" s="231"/>
      <c r="G1208" s="231"/>
      <c r="H1208" s="231"/>
    </row>
    <row r="1209" spans="1:81">
      <c r="A1209" s="231" t="s">
        <v>4797</v>
      </c>
      <c r="B1209" s="5">
        <v>2</v>
      </c>
      <c r="C1209" s="5" t="s">
        <v>5225</v>
      </c>
      <c r="D1209" s="231"/>
      <c r="E1209" s="231"/>
      <c r="F1209" s="231"/>
      <c r="G1209" s="231"/>
      <c r="H1209" s="231"/>
    </row>
    <row r="1210" spans="1:81">
      <c r="A1210" s="231" t="s">
        <v>4798</v>
      </c>
      <c r="B1210" s="5">
        <v>3</v>
      </c>
      <c r="C1210" s="5" t="s">
        <v>5225</v>
      </c>
      <c r="D1210" s="231"/>
      <c r="E1210" s="231"/>
      <c r="F1210" s="231"/>
      <c r="G1210" s="231"/>
      <c r="H1210" s="231"/>
    </row>
    <row r="1211" spans="1:81">
      <c r="A1211" s="231" t="s">
        <v>4799</v>
      </c>
      <c r="B1211" s="5">
        <v>3</v>
      </c>
      <c r="C1211" s="5" t="s">
        <v>5227</v>
      </c>
      <c r="D1211" s="231"/>
      <c r="E1211" s="231"/>
      <c r="F1211" s="231"/>
      <c r="G1211" s="231"/>
      <c r="H1211" s="231"/>
    </row>
    <row r="1212" spans="1:81">
      <c r="A1212" s="231" t="s">
        <v>4829</v>
      </c>
      <c r="B1212" s="5">
        <v>4</v>
      </c>
      <c r="C1212" s="5" t="s">
        <v>5227</v>
      </c>
      <c r="D1212" s="231"/>
      <c r="E1212" s="231"/>
      <c r="F1212" s="231"/>
      <c r="G1212" s="231"/>
      <c r="H1212" s="231"/>
    </row>
    <row r="1213" spans="1:81">
      <c r="A1213" s="231" t="s">
        <v>4956</v>
      </c>
      <c r="B1213" s="5">
        <v>4</v>
      </c>
      <c r="C1213" s="5" t="s">
        <v>5225</v>
      </c>
      <c r="D1213" s="231"/>
      <c r="E1213" s="231"/>
      <c r="F1213" s="231"/>
      <c r="G1213" s="231"/>
      <c r="H1213" s="231"/>
    </row>
    <row r="1214" spans="1:81">
      <c r="A1214" s="231" t="s">
        <v>4957</v>
      </c>
      <c r="B1214" s="5">
        <v>5</v>
      </c>
      <c r="C1214" s="5" t="s">
        <v>5227</v>
      </c>
      <c r="D1214" s="231"/>
      <c r="E1214" s="231"/>
      <c r="F1214" s="231"/>
      <c r="G1214" s="231"/>
      <c r="H1214" s="231"/>
    </row>
    <row r="1215" spans="1:81">
      <c r="A1215" s="231" t="s">
        <v>4958</v>
      </c>
      <c r="B1215" s="5">
        <v>5</v>
      </c>
      <c r="C1215" s="5" t="s">
        <v>5227</v>
      </c>
      <c r="D1215" s="231"/>
      <c r="E1215" s="231"/>
      <c r="F1215" s="231"/>
      <c r="G1215" s="231"/>
      <c r="H1215" s="231"/>
    </row>
    <row r="1216" spans="1:81">
      <c r="A1216" s="231" t="s">
        <v>4959</v>
      </c>
      <c r="B1216" s="5">
        <v>6</v>
      </c>
      <c r="C1216" s="5" t="s">
        <v>5225</v>
      </c>
      <c r="D1216" s="231"/>
      <c r="E1216" s="231"/>
      <c r="F1216" s="231"/>
      <c r="G1216" s="231"/>
      <c r="H1216" s="231"/>
    </row>
    <row r="1217" spans="1:8">
      <c r="A1217" s="231" t="s">
        <v>4960</v>
      </c>
      <c r="B1217" s="5">
        <v>6</v>
      </c>
      <c r="C1217" s="5" t="s">
        <v>5225</v>
      </c>
      <c r="D1217" s="231"/>
      <c r="E1217" s="231"/>
      <c r="F1217" s="231"/>
      <c r="G1217" s="231"/>
      <c r="H1217" s="231"/>
    </row>
    <row r="1218" spans="1:8">
      <c r="A1218" s="231" t="s">
        <v>4961</v>
      </c>
      <c r="B1218" s="5">
        <v>7</v>
      </c>
      <c r="C1218" s="5" t="s">
        <v>5225</v>
      </c>
      <c r="D1218" s="231"/>
      <c r="E1218" s="231"/>
      <c r="F1218" s="231"/>
      <c r="G1218" s="231"/>
      <c r="H1218" s="231"/>
    </row>
    <row r="1219" spans="1:8">
      <c r="A1219" s="231" t="s">
        <v>4962</v>
      </c>
      <c r="B1219" s="5">
        <v>7</v>
      </c>
      <c r="C1219" s="5" t="s">
        <v>5225</v>
      </c>
      <c r="D1219" s="1"/>
      <c r="E1219" s="1"/>
      <c r="F1219" s="1"/>
      <c r="G1219" s="4"/>
      <c r="H1219" s="1"/>
    </row>
    <row r="1220" spans="1:8">
      <c r="A1220" s="231" t="s">
        <v>4963</v>
      </c>
      <c r="B1220" s="5">
        <v>8</v>
      </c>
      <c r="C1220" s="5" t="s">
        <v>5225</v>
      </c>
      <c r="D1220" s="5"/>
      <c r="E1220" s="5"/>
      <c r="F1220" s="5"/>
      <c r="G1220" s="5"/>
      <c r="H1220" s="5"/>
    </row>
    <row r="1221" spans="1:8">
      <c r="A1221" s="231" t="s">
        <v>4964</v>
      </c>
      <c r="B1221" s="5">
        <v>8</v>
      </c>
      <c r="C1221" s="5" t="s">
        <v>5225</v>
      </c>
      <c r="D1221" s="5"/>
      <c r="E1221" s="5"/>
      <c r="F1221" s="5"/>
      <c r="G1221" s="5"/>
      <c r="H1221" s="5"/>
    </row>
    <row r="1222" spans="1:8">
      <c r="A1222" s="231" t="s">
        <v>4965</v>
      </c>
      <c r="B1222" s="5">
        <v>9</v>
      </c>
      <c r="C1222" s="5" t="s">
        <v>5225</v>
      </c>
      <c r="D1222" s="5"/>
      <c r="E1222" s="5"/>
      <c r="F1222" s="5"/>
      <c r="G1222" s="5"/>
      <c r="H1222" s="5"/>
    </row>
    <row r="1223" spans="1:8">
      <c r="A1223" s="231" t="s">
        <v>4883</v>
      </c>
      <c r="B1223" s="5">
        <v>9</v>
      </c>
      <c r="C1223" s="5" t="s">
        <v>5225</v>
      </c>
      <c r="D1223" s="5"/>
      <c r="E1223" s="5"/>
      <c r="F1223" s="5"/>
      <c r="G1223" s="5"/>
      <c r="H1223" s="5"/>
    </row>
    <row r="1224" spans="1:8">
      <c r="A1224" s="231" t="s">
        <v>4966</v>
      </c>
      <c r="B1224" s="5">
        <v>9</v>
      </c>
      <c r="C1224" s="5" t="s">
        <v>5227</v>
      </c>
      <c r="D1224" s="5"/>
      <c r="E1224" s="5"/>
      <c r="F1224" s="5"/>
      <c r="G1224" s="5"/>
      <c r="H1224" s="5"/>
    </row>
    <row r="1225" spans="1:8">
      <c r="A1225" s="231" t="s">
        <v>5052</v>
      </c>
      <c r="B1225" s="5">
        <v>10</v>
      </c>
      <c r="C1225" s="5" t="s">
        <v>5227</v>
      </c>
      <c r="D1225" s="5"/>
      <c r="E1225" s="5"/>
      <c r="F1225" s="5"/>
      <c r="G1225" s="5"/>
      <c r="H1225" s="5"/>
    </row>
    <row r="1226" spans="1:8">
      <c r="A1226" s="231" t="s">
        <v>4901</v>
      </c>
      <c r="B1226" s="5">
        <v>10</v>
      </c>
      <c r="C1226" s="5" t="s">
        <v>5225</v>
      </c>
      <c r="D1226" s="5"/>
      <c r="E1226" s="5"/>
      <c r="F1226" s="5"/>
      <c r="G1226" s="5"/>
      <c r="H1226" s="5"/>
    </row>
    <row r="1227" spans="1:8">
      <c r="A1227" s="231" t="s">
        <v>5365</v>
      </c>
      <c r="B1227" s="5">
        <v>11</v>
      </c>
      <c r="C1227" s="5" t="s">
        <v>5225</v>
      </c>
      <c r="D1227" s="5"/>
      <c r="E1227" s="5"/>
      <c r="F1227" s="5"/>
      <c r="G1227" s="5"/>
      <c r="H1227" s="5"/>
    </row>
    <row r="1228" spans="1:8">
      <c r="A1228" s="231" t="s">
        <v>4967</v>
      </c>
      <c r="B1228" s="5">
        <v>11</v>
      </c>
      <c r="C1228" s="5" t="s">
        <v>5225</v>
      </c>
      <c r="D1228" s="5"/>
      <c r="E1228" s="5"/>
      <c r="F1228" s="5"/>
      <c r="G1228" s="5"/>
      <c r="H1228" s="5"/>
    </row>
    <row r="1229" spans="1:8">
      <c r="A1229" s="231" t="s">
        <v>4968</v>
      </c>
      <c r="B1229" s="5">
        <v>12</v>
      </c>
      <c r="C1229" s="5" t="s">
        <v>5225</v>
      </c>
      <c r="D1229" s="5"/>
      <c r="E1229" s="5"/>
      <c r="F1229" s="5"/>
      <c r="G1229" s="5"/>
      <c r="H1229" s="5"/>
    </row>
    <row r="1230" spans="1:8">
      <c r="A1230" s="231" t="s">
        <v>4817</v>
      </c>
      <c r="B1230" s="5">
        <v>12</v>
      </c>
      <c r="C1230" s="5" t="s">
        <v>5225</v>
      </c>
      <c r="D1230" s="5"/>
      <c r="E1230" s="5"/>
      <c r="F1230" s="5"/>
      <c r="G1230" s="5"/>
      <c r="H1230" s="5"/>
    </row>
    <row r="1231" spans="1:8">
      <c r="A1231" s="231" t="s">
        <v>4818</v>
      </c>
      <c r="B1231" s="5">
        <v>13</v>
      </c>
      <c r="C1231" s="5" t="s">
        <v>5225</v>
      </c>
      <c r="D1231" s="5"/>
      <c r="E1231" s="5"/>
      <c r="F1231" s="5"/>
      <c r="G1231" s="5"/>
      <c r="H1231" s="5"/>
    </row>
    <row r="1232" spans="1:8">
      <c r="A1232" s="231" t="s">
        <v>4819</v>
      </c>
      <c r="B1232" s="5">
        <v>13</v>
      </c>
      <c r="C1232" s="5" t="s">
        <v>5225</v>
      </c>
      <c r="D1232" s="5"/>
      <c r="E1232" s="5"/>
      <c r="F1232" s="5"/>
      <c r="G1232" s="5"/>
      <c r="H1232" s="5"/>
    </row>
    <row r="1233" spans="1:8">
      <c r="A1233" s="231" t="s">
        <v>4820</v>
      </c>
      <c r="B1233" s="5">
        <v>14</v>
      </c>
      <c r="C1233" s="5" t="s">
        <v>5225</v>
      </c>
      <c r="D1233" s="5"/>
      <c r="E1233" s="5"/>
      <c r="F1233" s="5"/>
      <c r="G1233" s="5"/>
      <c r="H1233" s="5"/>
    </row>
    <row r="1234" spans="1:8">
      <c r="A1234" s="231" t="s">
        <v>4821</v>
      </c>
      <c r="B1234" s="5">
        <v>14</v>
      </c>
      <c r="C1234" s="5" t="s">
        <v>5225</v>
      </c>
      <c r="D1234" s="5"/>
      <c r="E1234" s="5"/>
      <c r="F1234" s="5"/>
      <c r="G1234" s="5"/>
      <c r="H1234" s="5"/>
    </row>
    <row r="1235" spans="1:8">
      <c r="A1235" s="231" t="s">
        <v>4822</v>
      </c>
      <c r="B1235" s="5">
        <v>15</v>
      </c>
      <c r="C1235" s="5" t="s">
        <v>5225</v>
      </c>
      <c r="D1235" s="5"/>
      <c r="E1235" s="5"/>
      <c r="F1235" s="5"/>
      <c r="G1235" s="5"/>
      <c r="H1235" s="5"/>
    </row>
    <row r="1236" spans="1:8">
      <c r="A1236" s="231" t="s">
        <v>4823</v>
      </c>
      <c r="B1236" s="5">
        <v>15</v>
      </c>
      <c r="C1236" s="5" t="s">
        <v>5225</v>
      </c>
      <c r="D1236" s="5"/>
      <c r="E1236" s="5"/>
      <c r="F1236" s="5"/>
      <c r="G1236" s="5"/>
      <c r="H1236" s="5"/>
    </row>
    <row r="1237" spans="1:8">
      <c r="A1237" s="231"/>
      <c r="B1237" s="5"/>
      <c r="C1237" s="5"/>
      <c r="D1237" s="5"/>
      <c r="E1237" s="5"/>
      <c r="F1237" s="5"/>
      <c r="G1237" s="5"/>
      <c r="H1237" s="5"/>
    </row>
    <row r="1238" spans="1:8">
      <c r="A1238" s="231"/>
      <c r="B1238" s="5"/>
      <c r="C1238" s="5"/>
      <c r="D1238" s="5"/>
      <c r="E1238" s="5"/>
      <c r="F1238" s="5"/>
      <c r="G1238" s="5"/>
      <c r="H1238" s="5"/>
    </row>
    <row r="1239" spans="1:8">
      <c r="A1239" s="4" t="s">
        <v>4750</v>
      </c>
      <c r="B1239" s="1" t="s">
        <v>4751</v>
      </c>
      <c r="C1239" s="1" t="s">
        <v>4752</v>
      </c>
      <c r="D1239" s="1" t="s">
        <v>4753</v>
      </c>
      <c r="E1239" s="1" t="s">
        <v>4754</v>
      </c>
      <c r="F1239" s="1" t="s">
        <v>5087</v>
      </c>
      <c r="G1239" s="1" t="s">
        <v>5354</v>
      </c>
      <c r="H1239" s="1" t="s">
        <v>4914</v>
      </c>
    </row>
    <row r="1240" spans="1:8">
      <c r="A1240" s="5">
        <v>4</v>
      </c>
      <c r="B1240" s="231"/>
      <c r="C1240" s="231"/>
      <c r="D1240" s="231"/>
      <c r="E1240" s="231"/>
      <c r="F1240" s="231"/>
      <c r="G1240" s="231"/>
      <c r="H1240" s="231" t="s">
        <v>4824</v>
      </c>
    </row>
    <row r="1241" spans="1:8">
      <c r="A1241" s="5">
        <v>5</v>
      </c>
      <c r="B1241" s="231"/>
      <c r="C1241" s="231"/>
      <c r="D1241" s="231">
        <v>1</v>
      </c>
      <c r="E1241" s="231"/>
      <c r="F1241" s="231"/>
      <c r="G1241" s="231"/>
      <c r="H1241" s="231" t="s">
        <v>4610</v>
      </c>
    </row>
    <row r="1242" spans="1:8">
      <c r="A1242" s="5">
        <v>6</v>
      </c>
      <c r="B1242" s="231"/>
      <c r="C1242" s="231"/>
      <c r="D1242" s="231"/>
      <c r="E1242" s="231">
        <v>1</v>
      </c>
      <c r="F1242" s="231"/>
      <c r="G1242" s="231"/>
      <c r="H1242" s="231" t="s">
        <v>4610</v>
      </c>
    </row>
    <row r="1243" spans="1:8">
      <c r="A1243" s="5">
        <v>7</v>
      </c>
      <c r="B1243" s="231"/>
      <c r="C1243" s="231"/>
      <c r="D1243" s="231"/>
      <c r="E1243" s="231"/>
      <c r="F1243" s="231"/>
      <c r="G1243" s="231"/>
      <c r="H1243" s="231" t="s">
        <v>4825</v>
      </c>
    </row>
    <row r="1244" spans="1:8">
      <c r="A1244" s="5">
        <v>8</v>
      </c>
      <c r="B1244" s="231"/>
      <c r="C1244" s="231"/>
      <c r="D1244" s="231"/>
      <c r="E1244" s="231"/>
      <c r="F1244" s="231">
        <v>1</v>
      </c>
      <c r="G1244" s="231"/>
      <c r="H1244" s="231" t="s">
        <v>4610</v>
      </c>
    </row>
    <row r="1245" spans="1:8">
      <c r="A1245" s="5">
        <v>9</v>
      </c>
      <c r="B1245" s="231"/>
      <c r="C1245" s="231"/>
      <c r="D1245" s="231"/>
      <c r="E1245" s="231"/>
      <c r="F1245" s="231"/>
      <c r="G1245" s="231"/>
      <c r="H1245" s="231" t="s">
        <v>4697</v>
      </c>
    </row>
    <row r="1246" spans="1:8">
      <c r="A1246" s="5">
        <v>10</v>
      </c>
      <c r="B1246" s="231"/>
      <c r="C1246" s="231">
        <v>1</v>
      </c>
      <c r="D1246" s="231"/>
      <c r="E1246" s="231"/>
      <c r="F1246" s="231"/>
      <c r="G1246" s="231"/>
      <c r="H1246" s="231" t="s">
        <v>4609</v>
      </c>
    </row>
    <row r="1247" spans="1:8">
      <c r="A1247" s="5">
        <v>11</v>
      </c>
      <c r="B1247" s="231"/>
      <c r="C1247" s="231">
        <v>1</v>
      </c>
      <c r="D1247" s="231"/>
      <c r="E1247" s="231">
        <v>1</v>
      </c>
      <c r="F1247" s="231"/>
      <c r="G1247" s="231"/>
      <c r="H1247" s="231" t="s">
        <v>4610</v>
      </c>
    </row>
    <row r="1248" spans="1:8">
      <c r="A1248" s="5">
        <v>12</v>
      </c>
      <c r="B1248" s="231">
        <v>2</v>
      </c>
      <c r="C1248" s="231"/>
      <c r="D1248" s="231"/>
      <c r="E1248" s="231"/>
      <c r="F1248" s="231"/>
      <c r="G1248" s="231"/>
      <c r="H1248" s="231" t="s">
        <v>4610</v>
      </c>
    </row>
    <row r="1249" spans="1:8">
      <c r="A1249" s="5">
        <v>13</v>
      </c>
      <c r="B1249" s="231"/>
      <c r="C1249" s="231"/>
      <c r="D1249" s="231"/>
      <c r="E1249" s="231">
        <v>2</v>
      </c>
      <c r="F1249" s="231">
        <v>1</v>
      </c>
      <c r="G1249" s="231"/>
      <c r="H1249" s="231" t="s">
        <v>4610</v>
      </c>
    </row>
    <row r="1250" spans="1:8">
      <c r="A1250" s="5">
        <v>14</v>
      </c>
      <c r="B1250" s="231"/>
      <c r="C1250" s="231"/>
      <c r="D1250" s="231"/>
      <c r="E1250" s="231"/>
      <c r="F1250" s="231"/>
      <c r="G1250" s="231">
        <v>25</v>
      </c>
      <c r="H1250" s="231" t="s">
        <v>4698</v>
      </c>
    </row>
    <row r="1251" spans="1:8">
      <c r="A1251" s="5">
        <v>15</v>
      </c>
      <c r="B1251" s="231"/>
      <c r="C1251" s="231"/>
      <c r="D1251" s="231">
        <v>2</v>
      </c>
      <c r="E1251" s="231"/>
      <c r="F1251" s="231"/>
      <c r="G1251" s="231"/>
      <c r="H1251" s="231" t="s">
        <v>4610</v>
      </c>
    </row>
    <row r="1252" spans="1:8">
      <c r="A1252" s="231"/>
      <c r="B1252" s="5"/>
      <c r="C1252" s="5"/>
      <c r="D1252" s="5"/>
      <c r="E1252" s="5"/>
      <c r="F1252" s="5"/>
      <c r="G1252" s="5"/>
      <c r="H1252" s="5"/>
    </row>
    <row r="1253" spans="1:8">
      <c r="A1253" s="231"/>
      <c r="B1253" s="231"/>
      <c r="C1253" s="5"/>
      <c r="D1253" s="5"/>
      <c r="E1253" s="5"/>
      <c r="F1253" s="5"/>
      <c r="G1253" s="5"/>
      <c r="H1253" s="5"/>
    </row>
    <row r="1254" spans="1:8">
      <c r="A1254" s="231"/>
      <c r="B1254" s="231"/>
      <c r="C1254" s="231"/>
      <c r="D1254" s="231"/>
      <c r="E1254" s="231"/>
      <c r="F1254" s="231"/>
      <c r="G1254" s="231"/>
      <c r="H1254" s="231"/>
    </row>
    <row r="1255" spans="1:8">
      <c r="A1255" s="231"/>
      <c r="B1255" s="231"/>
      <c r="C1255" s="231"/>
      <c r="D1255" s="231"/>
      <c r="E1255" s="231"/>
      <c r="F1255" s="231"/>
      <c r="G1255" s="231"/>
      <c r="H1255" s="231"/>
    </row>
    <row r="1256" spans="1:8">
      <c r="A1256" s="231"/>
      <c r="B1256" s="231"/>
      <c r="C1256" s="231"/>
      <c r="D1256" s="231"/>
      <c r="E1256" s="231"/>
      <c r="F1256" s="231"/>
      <c r="G1256" s="231"/>
      <c r="H1256" s="231"/>
    </row>
    <row r="1257" spans="1:8">
      <c r="A1257" s="231"/>
      <c r="B1257" s="231"/>
      <c r="C1257" s="231"/>
      <c r="D1257" s="231"/>
      <c r="E1257" s="231"/>
      <c r="F1257" s="231"/>
      <c r="G1257" s="231"/>
      <c r="H1257" s="231"/>
    </row>
    <row r="1258" spans="1:8">
      <c r="A1258" s="231"/>
      <c r="B1258" s="231"/>
      <c r="C1258" s="231"/>
      <c r="D1258" s="231"/>
      <c r="E1258" s="231"/>
      <c r="F1258" s="231"/>
      <c r="G1258" s="231"/>
      <c r="H1258" s="231"/>
    </row>
    <row r="1259" spans="1:8">
      <c r="A1259" s="231"/>
      <c r="B1259" s="231"/>
      <c r="C1259" s="231"/>
      <c r="D1259" s="231"/>
      <c r="E1259" s="231"/>
      <c r="F1259" s="231"/>
      <c r="G1259" s="231"/>
      <c r="H1259" s="231"/>
    </row>
    <row r="1260" spans="1:8">
      <c r="A1260" s="4" t="s">
        <v>5444</v>
      </c>
      <c r="B1260" s="1" t="s">
        <v>5353</v>
      </c>
      <c r="C1260" s="1" t="s">
        <v>5576</v>
      </c>
      <c r="D1260" s="1" t="s">
        <v>5348</v>
      </c>
      <c r="E1260" s="1" t="s">
        <v>5593</v>
      </c>
      <c r="F1260" s="1" t="s">
        <v>5153</v>
      </c>
      <c r="G1260" s="1" t="s">
        <v>5445</v>
      </c>
      <c r="H1260" s="231"/>
    </row>
    <row r="1261" spans="1:8">
      <c r="A1261" s="42" t="s">
        <v>4699</v>
      </c>
      <c r="B1261" s="42" t="s">
        <v>5088</v>
      </c>
      <c r="C1261" s="42" t="s">
        <v>5135</v>
      </c>
      <c r="D1261" s="43">
        <v>3</v>
      </c>
      <c r="E1261" s="43">
        <v>100</v>
      </c>
      <c r="F1261" s="43">
        <v>2</v>
      </c>
      <c r="G1261" s="42" t="s">
        <v>4700</v>
      </c>
      <c r="H1261" s="231"/>
    </row>
    <row r="1262" spans="1:8">
      <c r="A1262" s="42" t="s">
        <v>4701</v>
      </c>
      <c r="B1262" s="42" t="s">
        <v>5088</v>
      </c>
      <c r="C1262" s="42" t="s">
        <v>4796</v>
      </c>
      <c r="D1262" s="43">
        <v>5</v>
      </c>
      <c r="E1262" s="43">
        <v>100</v>
      </c>
      <c r="F1262" s="43">
        <v>1</v>
      </c>
      <c r="G1262" s="42" t="s">
        <v>4702</v>
      </c>
      <c r="H1262" s="231"/>
    </row>
    <row r="1263" spans="1:8">
      <c r="A1263" s="42" t="s">
        <v>4703</v>
      </c>
      <c r="B1263" s="42" t="s">
        <v>5088</v>
      </c>
      <c r="C1263" s="42" t="s">
        <v>4958</v>
      </c>
      <c r="D1263" s="43">
        <v>6</v>
      </c>
      <c r="E1263" s="43">
        <v>200</v>
      </c>
      <c r="F1263" s="43">
        <v>0</v>
      </c>
      <c r="G1263" s="42" t="s">
        <v>4704</v>
      </c>
      <c r="H1263" s="231"/>
    </row>
    <row r="1264" spans="1:8">
      <c r="A1264" s="42" t="s">
        <v>4705</v>
      </c>
      <c r="B1264" s="42" t="s">
        <v>5088</v>
      </c>
      <c r="C1264" s="42" t="s">
        <v>5135</v>
      </c>
      <c r="D1264" s="43">
        <v>7</v>
      </c>
      <c r="E1264" s="43">
        <v>100</v>
      </c>
      <c r="F1264" s="43">
        <v>4</v>
      </c>
      <c r="G1264" s="42" t="s">
        <v>4843</v>
      </c>
      <c r="H1264" s="231"/>
    </row>
    <row r="1265" spans="1:8">
      <c r="A1265" s="42" t="s">
        <v>4844</v>
      </c>
      <c r="B1265" s="42" t="s">
        <v>5088</v>
      </c>
      <c r="C1265" s="42" t="s">
        <v>5137</v>
      </c>
      <c r="D1265" s="43">
        <v>7</v>
      </c>
      <c r="E1265" s="43">
        <v>100</v>
      </c>
      <c r="F1265" s="43">
        <v>2</v>
      </c>
      <c r="G1265" s="42" t="s">
        <v>4845</v>
      </c>
      <c r="H1265" s="231"/>
    </row>
    <row r="1266" spans="1:8">
      <c r="A1266" s="42" t="s">
        <v>4846</v>
      </c>
      <c r="B1266" s="42" t="s">
        <v>5088</v>
      </c>
      <c r="C1266" s="42" t="s">
        <v>4799</v>
      </c>
      <c r="D1266" s="43">
        <v>8</v>
      </c>
      <c r="E1266" s="43">
        <v>100</v>
      </c>
      <c r="F1266" s="43">
        <v>2</v>
      </c>
      <c r="G1266" s="42" t="s">
        <v>4847</v>
      </c>
      <c r="H1266" s="231"/>
    </row>
    <row r="1267" spans="1:8">
      <c r="A1267" s="42" t="s">
        <v>4848</v>
      </c>
      <c r="B1267" s="42" t="s">
        <v>5088</v>
      </c>
      <c r="C1267" s="42" t="s">
        <v>5137</v>
      </c>
      <c r="D1267" s="43">
        <v>11</v>
      </c>
      <c r="E1267" s="43">
        <v>100</v>
      </c>
      <c r="F1267" s="50" t="s">
        <v>4762</v>
      </c>
      <c r="G1267" s="42" t="s">
        <v>4849</v>
      </c>
      <c r="H1267" s="231"/>
    </row>
    <row r="1268" spans="1:8">
      <c r="A1268" s="42"/>
      <c r="B1268" s="42"/>
      <c r="C1268" s="42"/>
      <c r="D1268" s="43"/>
      <c r="E1268" s="43"/>
      <c r="F1268" s="43"/>
      <c r="G1268" s="42"/>
      <c r="H1268" s="231"/>
    </row>
    <row r="1269" spans="1:8">
      <c r="A1269" s="42"/>
      <c r="B1269" s="42"/>
      <c r="C1269" s="42"/>
      <c r="D1269" s="43"/>
      <c r="E1269" s="43"/>
      <c r="F1269" s="43"/>
      <c r="G1269" s="42"/>
      <c r="H1269" s="231"/>
    </row>
    <row r="1270" spans="1:8">
      <c r="A1270" s="42"/>
      <c r="B1270" s="42"/>
      <c r="C1270" s="42"/>
      <c r="D1270" s="43"/>
      <c r="E1270" s="43"/>
      <c r="F1270" s="43"/>
      <c r="G1270" s="42"/>
      <c r="H1270" s="231"/>
    </row>
    <row r="1271" spans="1:8">
      <c r="A1271" s="42"/>
      <c r="B1271" s="42"/>
      <c r="C1271" s="42"/>
      <c r="D1271" s="43"/>
      <c r="E1271" s="43"/>
      <c r="F1271" s="43"/>
      <c r="G1271" s="42"/>
      <c r="H1271" s="231"/>
    </row>
    <row r="1272" spans="1:8">
      <c r="A1272" s="42"/>
      <c r="B1272" s="42"/>
      <c r="C1272" s="42"/>
      <c r="D1272" s="43"/>
      <c r="E1272" s="43"/>
      <c r="F1272" s="50"/>
      <c r="G1272" s="42"/>
      <c r="H1272" s="231"/>
    </row>
    <row r="1273" spans="1:8">
      <c r="A1273" s="231"/>
      <c r="B1273" s="231"/>
      <c r="C1273" s="231"/>
      <c r="D1273" s="231"/>
      <c r="E1273" s="231"/>
      <c r="F1273" s="231"/>
      <c r="G1273" s="231"/>
      <c r="H1273" s="231"/>
    </row>
    <row r="1274" spans="1:8">
      <c r="A1274" s="231"/>
      <c r="B1274" s="231"/>
      <c r="C1274" s="231"/>
      <c r="D1274" s="231"/>
      <c r="E1274" s="231"/>
      <c r="F1274" s="231"/>
      <c r="G1274" s="231"/>
      <c r="H1274" s="231"/>
    </row>
    <row r="1275" spans="1:8">
      <c r="A1275" s="231"/>
      <c r="B1275" s="231"/>
      <c r="C1275" s="231"/>
      <c r="D1275" s="231"/>
      <c r="E1275" s="231"/>
      <c r="F1275" s="231"/>
      <c r="G1275" s="231"/>
      <c r="H1275" s="231"/>
    </row>
    <row r="1276" spans="1:8">
      <c r="A1276" s="231"/>
      <c r="B1276" s="231"/>
      <c r="C1276" s="231"/>
      <c r="D1276" s="231"/>
      <c r="E1276" s="231"/>
      <c r="F1276" s="231"/>
      <c r="G1276" s="231"/>
      <c r="H1276" s="231"/>
    </row>
    <row r="1277" spans="1:8">
      <c r="A1277" s="231"/>
      <c r="B1277" s="231"/>
      <c r="C1277" s="231"/>
      <c r="D1277" s="231"/>
      <c r="E1277" s="231"/>
      <c r="F1277" s="231"/>
      <c r="G1277" s="231"/>
      <c r="H1277" s="231"/>
    </row>
    <row r="1278" spans="1:8">
      <c r="A1278" s="231"/>
      <c r="B1278" s="231"/>
      <c r="C1278" s="231"/>
      <c r="D1278" s="231"/>
      <c r="E1278" s="231"/>
      <c r="F1278" s="231"/>
      <c r="G1278" s="231"/>
      <c r="H1278" s="231"/>
    </row>
    <row r="1279" spans="1:8">
      <c r="A1279" s="231"/>
      <c r="B1279" s="231"/>
      <c r="C1279" s="231"/>
      <c r="D1279" s="231"/>
      <c r="E1279" s="231"/>
      <c r="F1279" s="231"/>
      <c r="G1279" s="231"/>
      <c r="H1279" s="231"/>
    </row>
    <row r="1280" spans="1:8">
      <c r="A1280" s="231"/>
      <c r="B1280" s="231"/>
      <c r="C1280" s="231"/>
      <c r="D1280" s="231"/>
      <c r="E1280" s="231"/>
      <c r="F1280" s="231"/>
      <c r="G1280" s="231"/>
      <c r="H1280" s="231"/>
    </row>
    <row r="1281" spans="1:8">
      <c r="A1281" s="231"/>
      <c r="B1281" s="231"/>
      <c r="C1281" s="231"/>
      <c r="D1281" s="231"/>
      <c r="E1281" s="231"/>
      <c r="F1281" s="231"/>
      <c r="G1281" s="231"/>
      <c r="H1281" s="231"/>
    </row>
    <row r="1282" spans="1:8">
      <c r="A1282" s="231"/>
      <c r="B1282" s="231"/>
      <c r="C1282" s="231"/>
      <c r="D1282" s="231"/>
      <c r="E1282" s="231"/>
      <c r="F1282" s="231"/>
      <c r="G1282" s="231"/>
      <c r="H1282" s="231"/>
    </row>
    <row r="1283" spans="1:8">
      <c r="A1283" s="231"/>
      <c r="B1283" s="231"/>
      <c r="C1283" s="231"/>
      <c r="D1283" s="231"/>
      <c r="E1283" s="231"/>
      <c r="F1283" s="231"/>
      <c r="G1283" s="231"/>
      <c r="H1283" s="231"/>
    </row>
    <row r="1284" spans="1:8">
      <c r="A1284" s="231"/>
      <c r="B1284" s="231"/>
      <c r="C1284" s="231"/>
      <c r="D1284" s="231"/>
      <c r="E1284" s="231"/>
      <c r="F1284" s="231"/>
      <c r="G1284" s="231"/>
      <c r="H1284" s="231"/>
    </row>
    <row r="1285" spans="1:8">
      <c r="A1285" s="231"/>
      <c r="B1285" s="231"/>
      <c r="C1285" s="231"/>
      <c r="D1285" s="231"/>
      <c r="E1285" s="231"/>
      <c r="F1285" s="231"/>
      <c r="G1285" s="231"/>
      <c r="H1285" s="231"/>
    </row>
    <row r="1286" spans="1:8">
      <c r="A1286" s="231"/>
      <c r="B1286" s="231"/>
      <c r="C1286" s="231"/>
      <c r="D1286" s="231"/>
      <c r="E1286" s="231"/>
      <c r="F1286" s="231"/>
      <c r="G1286" s="231"/>
      <c r="H1286" s="231"/>
    </row>
    <row r="1287" spans="1:8">
      <c r="A1287" s="231"/>
      <c r="B1287" s="231"/>
      <c r="C1287" s="231"/>
      <c r="D1287" s="231"/>
      <c r="E1287" s="231"/>
      <c r="F1287" s="231"/>
      <c r="G1287" s="231"/>
      <c r="H1287" s="231"/>
    </row>
    <row r="1288" spans="1:8">
      <c r="A1288" s="231"/>
      <c r="B1288" s="231"/>
      <c r="C1288" s="231"/>
      <c r="D1288" s="231"/>
      <c r="E1288" s="231"/>
      <c r="F1288" s="231"/>
      <c r="G1288" s="231"/>
      <c r="H1288" s="231"/>
    </row>
    <row r="1289" spans="1:8">
      <c r="A1289" s="231"/>
      <c r="B1289" s="231"/>
      <c r="C1289" s="231"/>
      <c r="D1289" s="231"/>
      <c r="E1289" s="231"/>
      <c r="F1289" s="231"/>
      <c r="G1289" s="231"/>
      <c r="H1289" s="231"/>
    </row>
    <row r="1290" spans="1:8">
      <c r="A1290" s="231"/>
      <c r="B1290" s="231"/>
      <c r="C1290" s="231"/>
      <c r="D1290" s="231"/>
      <c r="E1290" s="231"/>
      <c r="F1290" s="231"/>
      <c r="G1290" s="231"/>
      <c r="H1290" s="231"/>
    </row>
    <row r="1291" spans="1:8">
      <c r="A1291" s="231"/>
      <c r="B1291" s="231"/>
      <c r="C1291" s="231"/>
      <c r="D1291" s="231"/>
      <c r="E1291" s="231"/>
      <c r="F1291" s="231"/>
      <c r="G1291" s="231"/>
      <c r="H1291" s="231"/>
    </row>
    <row r="1292" spans="1:8">
      <c r="A1292" s="231"/>
      <c r="B1292" s="231"/>
      <c r="C1292" s="231"/>
      <c r="D1292" s="231"/>
      <c r="E1292" s="231"/>
      <c r="F1292" s="231"/>
      <c r="G1292" s="231"/>
      <c r="H1292" s="231"/>
    </row>
    <row r="1293" spans="1:8">
      <c r="A1293" s="231"/>
      <c r="B1293" s="231"/>
      <c r="C1293" s="231"/>
      <c r="D1293" s="231"/>
      <c r="E1293" s="231"/>
      <c r="F1293" s="231"/>
      <c r="G1293" s="231"/>
      <c r="H1293" s="231"/>
    </row>
    <row r="1294" spans="1:8">
      <c r="A1294" s="231"/>
      <c r="B1294" s="231"/>
      <c r="C1294" s="231"/>
      <c r="D1294" s="231"/>
      <c r="E1294" s="231"/>
      <c r="F1294" s="231"/>
      <c r="G1294" s="231"/>
      <c r="H1294" s="231"/>
    </row>
    <row r="1295" spans="1:8">
      <c r="A1295" s="231"/>
      <c r="B1295" s="231"/>
      <c r="C1295" s="231"/>
      <c r="D1295" s="231"/>
      <c r="E1295" s="231"/>
      <c r="F1295" s="231"/>
      <c r="G1295" s="231"/>
      <c r="H1295" s="231"/>
    </row>
    <row r="1296" spans="1:8">
      <c r="A1296" s="231"/>
      <c r="B1296" s="231"/>
      <c r="C1296" s="231"/>
      <c r="D1296" s="231"/>
      <c r="E1296" s="231"/>
      <c r="F1296" s="231"/>
      <c r="G1296" s="231"/>
      <c r="H1296" s="231"/>
    </row>
    <row r="1297" spans="1:89">
      <c r="A1297" s="231"/>
      <c r="B1297" s="231"/>
      <c r="C1297" s="231"/>
      <c r="D1297" s="231"/>
      <c r="E1297" s="231"/>
      <c r="F1297" s="231"/>
      <c r="G1297" s="231"/>
      <c r="H1297" s="231"/>
    </row>
    <row r="1298" spans="1:89">
      <c r="A1298" s="231"/>
      <c r="B1298" s="231"/>
      <c r="C1298" s="231"/>
      <c r="D1298" s="231"/>
      <c r="E1298" s="231"/>
      <c r="F1298" s="231"/>
      <c r="G1298" s="231"/>
      <c r="H1298" s="231"/>
    </row>
    <row r="1299" spans="1:89">
      <c r="A1299" s="231"/>
      <c r="B1299" s="231"/>
      <c r="C1299" s="231"/>
      <c r="D1299" s="231"/>
      <c r="E1299" s="231"/>
      <c r="F1299" s="231"/>
      <c r="G1299" s="231"/>
      <c r="H1299" s="231"/>
    </row>
    <row r="1300" spans="1:89" ht="14" thickBot="1"/>
    <row r="1301" spans="1:89">
      <c r="A1301" s="152" t="s">
        <v>5198</v>
      </c>
      <c r="B1301" s="121"/>
      <c r="C1301" s="121"/>
      <c r="D1301" s="121"/>
      <c r="E1301" s="121"/>
      <c r="F1301" s="121"/>
      <c r="G1301" s="121"/>
      <c r="H1301" s="121"/>
      <c r="I1301" s="121"/>
      <c r="J1301" s="121"/>
      <c r="K1301" s="162"/>
      <c r="CA1301" s="152" t="s">
        <v>5198</v>
      </c>
      <c r="CB1301" s="121"/>
      <c r="CC1301" s="121"/>
      <c r="CD1301" s="121"/>
      <c r="CE1301" s="121"/>
      <c r="CF1301" s="121"/>
      <c r="CG1301" s="121"/>
      <c r="CH1301" s="121"/>
      <c r="CI1301" s="121"/>
      <c r="CJ1301" s="121"/>
      <c r="CK1301" s="162"/>
    </row>
    <row r="1302" spans="1:89">
      <c r="A1302" s="126"/>
      <c r="B1302" s="21"/>
      <c r="C1302" s="21"/>
      <c r="D1302" s="21"/>
      <c r="E1302" s="21"/>
      <c r="F1302" s="21"/>
      <c r="G1302" s="21"/>
      <c r="H1302" s="21"/>
      <c r="I1302" s="21"/>
      <c r="J1302" s="21"/>
      <c r="K1302" s="135"/>
      <c r="CA1302" s="126"/>
      <c r="CB1302" s="21"/>
      <c r="CC1302" s="21"/>
      <c r="CD1302" s="21"/>
      <c r="CE1302" s="21"/>
      <c r="CF1302" s="21"/>
      <c r="CG1302" s="21"/>
      <c r="CH1302" s="21"/>
      <c r="CI1302" s="21"/>
      <c r="CJ1302" s="21"/>
      <c r="CK1302" s="135"/>
    </row>
    <row r="1303" spans="1:89">
      <c r="A1303" s="126"/>
      <c r="B1303" s="21"/>
      <c r="C1303" s="21"/>
      <c r="D1303" s="21"/>
      <c r="E1303" s="21"/>
      <c r="F1303" s="21"/>
      <c r="G1303" s="21"/>
      <c r="H1303" s="21"/>
      <c r="I1303" s="21"/>
      <c r="J1303" s="21"/>
      <c r="K1303" s="135"/>
      <c r="CA1303" s="126"/>
      <c r="CB1303" s="21"/>
      <c r="CC1303" s="21"/>
      <c r="CD1303" s="21"/>
      <c r="CE1303" s="21"/>
      <c r="CF1303" s="21"/>
      <c r="CG1303" s="21"/>
      <c r="CH1303" s="21"/>
      <c r="CI1303" s="21"/>
      <c r="CJ1303" s="21"/>
      <c r="CK1303" s="135"/>
    </row>
    <row r="1304" spans="1:89">
      <c r="A1304" s="126"/>
      <c r="B1304" s="21"/>
      <c r="C1304" s="21"/>
      <c r="D1304" s="21"/>
      <c r="E1304" s="21"/>
      <c r="F1304" s="21"/>
      <c r="G1304" s="21"/>
      <c r="H1304" s="21"/>
      <c r="I1304" s="21"/>
      <c r="J1304" s="21"/>
      <c r="K1304" s="135"/>
      <c r="CA1304" s="126"/>
      <c r="CB1304" s="21"/>
      <c r="CC1304" s="21"/>
      <c r="CD1304" s="21"/>
      <c r="CE1304" s="21"/>
      <c r="CF1304" s="21"/>
      <c r="CG1304" s="21"/>
      <c r="CH1304" s="21"/>
      <c r="CI1304" s="21"/>
      <c r="CJ1304" s="21"/>
      <c r="CK1304" s="135"/>
    </row>
    <row r="1305" spans="1:89">
      <c r="A1305" s="141"/>
      <c r="B1305" s="29"/>
      <c r="C1305" s="29"/>
      <c r="D1305" s="29"/>
      <c r="E1305" s="29"/>
      <c r="F1305" s="29"/>
      <c r="G1305" s="29"/>
      <c r="H1305" s="29"/>
      <c r="I1305" s="29"/>
      <c r="J1305" s="29"/>
      <c r="K1305" s="155"/>
      <c r="CA1305" s="141"/>
      <c r="CB1305" s="29"/>
      <c r="CC1305" s="29"/>
      <c r="CD1305" s="29"/>
      <c r="CE1305" s="29"/>
      <c r="CF1305" s="29"/>
      <c r="CG1305" s="29"/>
      <c r="CH1305" s="29"/>
      <c r="CI1305" s="29"/>
      <c r="CJ1305" s="29"/>
      <c r="CK1305" s="155"/>
    </row>
    <row r="1306" spans="1:89">
      <c r="A1306" s="179" t="s">
        <v>5199</v>
      </c>
      <c r="B1306" s="102"/>
      <c r="C1306" s="175" t="s">
        <v>5018</v>
      </c>
      <c r="D1306" s="175" t="s">
        <v>5701</v>
      </c>
      <c r="E1306" s="175" t="s">
        <v>5019</v>
      </c>
      <c r="F1306" s="175" t="s">
        <v>5020</v>
      </c>
      <c r="G1306" s="175" t="s">
        <v>5021</v>
      </c>
      <c r="H1306" s="175" t="s">
        <v>5022</v>
      </c>
      <c r="I1306" s="176" t="s">
        <v>5316</v>
      </c>
      <c r="J1306" s="176"/>
      <c r="K1306" s="180"/>
      <c r="CA1306" s="179" t="s">
        <v>5199</v>
      </c>
      <c r="CB1306" s="102"/>
      <c r="CC1306" s="175" t="s">
        <v>5018</v>
      </c>
      <c r="CD1306" s="175" t="s">
        <v>5701</v>
      </c>
      <c r="CE1306" s="175" t="s">
        <v>5019</v>
      </c>
      <c r="CF1306" s="175" t="s">
        <v>5020</v>
      </c>
      <c r="CG1306" s="175" t="s">
        <v>5021</v>
      </c>
      <c r="CH1306" s="175" t="s">
        <v>5022</v>
      </c>
      <c r="CI1306" s="176" t="s">
        <v>5316</v>
      </c>
      <c r="CJ1306" s="176"/>
      <c r="CK1306" s="180"/>
    </row>
    <row r="1307" spans="1:89">
      <c r="A1307" s="166"/>
      <c r="B1307" s="101"/>
      <c r="C1307" s="100"/>
      <c r="D1307" s="167"/>
      <c r="E1307" s="167"/>
      <c r="F1307" s="167"/>
      <c r="G1307" s="167"/>
      <c r="H1307" s="168"/>
      <c r="I1307" s="101"/>
      <c r="J1307" s="101"/>
      <c r="K1307" s="165"/>
      <c r="CA1307" s="166"/>
      <c r="CB1307" s="101"/>
      <c r="CC1307" s="100"/>
      <c r="CD1307" s="167"/>
      <c r="CE1307" s="167"/>
      <c r="CF1307" s="167"/>
      <c r="CG1307" s="167"/>
      <c r="CH1307" s="168"/>
      <c r="CI1307" s="101"/>
      <c r="CJ1307" s="101"/>
      <c r="CK1307" s="165"/>
    </row>
    <row r="1308" spans="1:89">
      <c r="A1308" s="166"/>
      <c r="B1308" s="101"/>
      <c r="C1308" s="100"/>
      <c r="D1308" s="167"/>
      <c r="E1308" s="167"/>
      <c r="F1308" s="167"/>
      <c r="G1308" s="167"/>
      <c r="H1308" s="168"/>
      <c r="I1308" s="101"/>
      <c r="J1308" s="101"/>
      <c r="K1308" s="165"/>
      <c r="CA1308" s="166"/>
      <c r="CB1308" s="101"/>
      <c r="CC1308" s="100"/>
      <c r="CD1308" s="167"/>
      <c r="CE1308" s="167"/>
      <c r="CF1308" s="167"/>
      <c r="CG1308" s="167"/>
      <c r="CH1308" s="168"/>
      <c r="CI1308" s="101"/>
      <c r="CJ1308" s="101"/>
      <c r="CK1308" s="165"/>
    </row>
    <row r="1309" spans="1:89">
      <c r="A1309" s="166"/>
      <c r="B1309" s="101"/>
      <c r="C1309" s="100"/>
      <c r="D1309" s="167"/>
      <c r="E1309" s="167"/>
      <c r="F1309" s="167"/>
      <c r="G1309" s="167"/>
      <c r="H1309" s="168"/>
      <c r="I1309" s="101"/>
      <c r="J1309" s="101"/>
      <c r="K1309" s="165"/>
      <c r="CA1309" s="166"/>
      <c r="CB1309" s="101"/>
      <c r="CC1309" s="100"/>
      <c r="CD1309" s="167"/>
      <c r="CE1309" s="167"/>
      <c r="CF1309" s="167"/>
      <c r="CG1309" s="167"/>
      <c r="CH1309" s="168"/>
      <c r="CI1309" s="101"/>
      <c r="CJ1309" s="101"/>
      <c r="CK1309" s="165"/>
    </row>
    <row r="1310" spans="1:89">
      <c r="A1310" s="166"/>
      <c r="B1310" s="101"/>
      <c r="C1310" s="100"/>
      <c r="D1310" s="167"/>
      <c r="E1310" s="167"/>
      <c r="F1310" s="167"/>
      <c r="G1310" s="167"/>
      <c r="H1310" s="168"/>
      <c r="I1310" s="101"/>
      <c r="J1310" s="101"/>
      <c r="K1310" s="165"/>
      <c r="CA1310" s="166"/>
      <c r="CB1310" s="101"/>
      <c r="CC1310" s="100"/>
      <c r="CD1310" s="167"/>
      <c r="CE1310" s="167"/>
      <c r="CF1310" s="167"/>
      <c r="CG1310" s="167"/>
      <c r="CH1310" s="168"/>
      <c r="CI1310" s="101"/>
      <c r="CJ1310" s="101"/>
      <c r="CK1310" s="165"/>
    </row>
    <row r="1311" spans="1:89">
      <c r="A1311" s="166"/>
      <c r="B1311" s="101"/>
      <c r="C1311" s="100"/>
      <c r="D1311" s="167"/>
      <c r="E1311" s="167"/>
      <c r="F1311" s="167"/>
      <c r="G1311" s="167"/>
      <c r="H1311" s="168"/>
      <c r="I1311" s="101"/>
      <c r="J1311" s="101"/>
      <c r="K1311" s="165"/>
      <c r="CA1311" s="166"/>
      <c r="CB1311" s="101"/>
      <c r="CC1311" s="100"/>
      <c r="CD1311" s="167"/>
      <c r="CE1311" s="167"/>
      <c r="CF1311" s="167"/>
      <c r="CG1311" s="167"/>
      <c r="CH1311" s="168"/>
      <c r="CI1311" s="101"/>
      <c r="CJ1311" s="101"/>
      <c r="CK1311" s="165"/>
    </row>
    <row r="1312" spans="1:89">
      <c r="A1312" s="166"/>
      <c r="B1312" s="101"/>
      <c r="C1312" s="100"/>
      <c r="D1312" s="167"/>
      <c r="E1312" s="167"/>
      <c r="F1312" s="167"/>
      <c r="G1312" s="167"/>
      <c r="H1312" s="168"/>
      <c r="I1312" s="101"/>
      <c r="J1312" s="101"/>
      <c r="K1312" s="165"/>
      <c r="CA1312" s="166"/>
      <c r="CB1312" s="101"/>
      <c r="CC1312" s="100"/>
      <c r="CD1312" s="167"/>
      <c r="CE1312" s="167"/>
      <c r="CF1312" s="167"/>
      <c r="CG1312" s="167"/>
      <c r="CH1312" s="168"/>
      <c r="CI1312" s="101"/>
      <c r="CJ1312" s="101"/>
      <c r="CK1312" s="165"/>
    </row>
    <row r="1313" spans="1:89">
      <c r="A1313" s="166"/>
      <c r="B1313" s="101"/>
      <c r="C1313" s="100"/>
      <c r="D1313" s="167"/>
      <c r="E1313" s="167"/>
      <c r="F1313" s="167"/>
      <c r="G1313" s="167"/>
      <c r="H1313" s="168"/>
      <c r="I1313" s="101"/>
      <c r="J1313" s="101"/>
      <c r="K1313" s="165"/>
      <c r="CA1313" s="166"/>
      <c r="CB1313" s="101"/>
      <c r="CC1313" s="100"/>
      <c r="CD1313" s="167"/>
      <c r="CE1313" s="167"/>
      <c r="CF1313" s="167"/>
      <c r="CG1313" s="167"/>
      <c r="CH1313" s="168"/>
      <c r="CI1313" s="101"/>
      <c r="CJ1313" s="101"/>
      <c r="CK1313" s="165"/>
    </row>
    <row r="1314" spans="1:89">
      <c r="A1314" s="166"/>
      <c r="B1314" s="101"/>
      <c r="C1314" s="100"/>
      <c r="D1314" s="167"/>
      <c r="E1314" s="167"/>
      <c r="F1314" s="167"/>
      <c r="G1314" s="167"/>
      <c r="H1314" s="168"/>
      <c r="I1314" s="101"/>
      <c r="J1314" s="101"/>
      <c r="K1314" s="165"/>
      <c r="CA1314" s="166"/>
      <c r="CB1314" s="101"/>
      <c r="CC1314" s="100"/>
      <c r="CD1314" s="167"/>
      <c r="CE1314" s="167"/>
      <c r="CF1314" s="167"/>
      <c r="CG1314" s="167"/>
      <c r="CH1314" s="168"/>
      <c r="CI1314" s="101"/>
      <c r="CJ1314" s="101"/>
      <c r="CK1314" s="165"/>
    </row>
    <row r="1315" spans="1:89">
      <c r="A1315" s="166"/>
      <c r="B1315" s="101"/>
      <c r="C1315" s="100"/>
      <c r="D1315" s="167"/>
      <c r="E1315" s="167"/>
      <c r="F1315" s="167"/>
      <c r="G1315" s="167"/>
      <c r="H1315" s="168"/>
      <c r="I1315" s="101"/>
      <c r="J1315" s="101"/>
      <c r="K1315" s="165"/>
      <c r="CA1315" s="166"/>
      <c r="CB1315" s="101"/>
      <c r="CC1315" s="100"/>
      <c r="CD1315" s="167"/>
      <c r="CE1315" s="167"/>
      <c r="CF1315" s="167"/>
      <c r="CG1315" s="167"/>
      <c r="CH1315" s="168"/>
      <c r="CI1315" s="101"/>
      <c r="CJ1315" s="101"/>
      <c r="CK1315" s="165"/>
    </row>
    <row r="1316" spans="1:89">
      <c r="A1316" s="166"/>
      <c r="B1316" s="101"/>
      <c r="C1316" s="100"/>
      <c r="D1316" s="167"/>
      <c r="E1316" s="167"/>
      <c r="F1316" s="167"/>
      <c r="G1316" s="167"/>
      <c r="H1316" s="168"/>
      <c r="I1316" s="101"/>
      <c r="J1316" s="101"/>
      <c r="K1316" s="165"/>
      <c r="CA1316" s="166"/>
      <c r="CB1316" s="101"/>
      <c r="CC1316" s="100"/>
      <c r="CD1316" s="167"/>
      <c r="CE1316" s="167"/>
      <c r="CF1316" s="167"/>
      <c r="CG1316" s="167"/>
      <c r="CH1316" s="168"/>
      <c r="CI1316" s="101"/>
      <c r="CJ1316" s="101"/>
      <c r="CK1316" s="165"/>
    </row>
    <row r="1317" spans="1:89">
      <c r="A1317" s="166"/>
      <c r="B1317" s="101"/>
      <c r="C1317" s="100"/>
      <c r="D1317" s="167"/>
      <c r="E1317" s="167"/>
      <c r="F1317" s="167"/>
      <c r="G1317" s="167"/>
      <c r="H1317" s="168"/>
      <c r="I1317" s="101"/>
      <c r="J1317" s="101"/>
      <c r="K1317" s="165"/>
      <c r="CA1317" s="166"/>
      <c r="CB1317" s="101"/>
      <c r="CC1317" s="100"/>
      <c r="CD1317" s="167"/>
      <c r="CE1317" s="167"/>
      <c r="CF1317" s="167"/>
      <c r="CG1317" s="167"/>
      <c r="CH1317" s="168"/>
      <c r="CI1317" s="101"/>
      <c r="CJ1317" s="101"/>
      <c r="CK1317" s="165"/>
    </row>
    <row r="1318" spans="1:89">
      <c r="A1318" s="166"/>
      <c r="B1318" s="101"/>
      <c r="C1318" s="100"/>
      <c r="D1318" s="167"/>
      <c r="E1318" s="167"/>
      <c r="F1318" s="167"/>
      <c r="G1318" s="167"/>
      <c r="H1318" s="168"/>
      <c r="I1318" s="101"/>
      <c r="J1318" s="101"/>
      <c r="K1318" s="165"/>
      <c r="CA1318" s="166"/>
      <c r="CB1318" s="101"/>
      <c r="CC1318" s="100"/>
      <c r="CD1318" s="167"/>
      <c r="CE1318" s="167"/>
      <c r="CF1318" s="167"/>
      <c r="CG1318" s="167"/>
      <c r="CH1318" s="168"/>
      <c r="CI1318" s="101"/>
      <c r="CJ1318" s="101"/>
      <c r="CK1318" s="165"/>
    </row>
    <row r="1319" spans="1:89">
      <c r="A1319" s="166"/>
      <c r="B1319" s="101"/>
      <c r="C1319" s="100"/>
      <c r="D1319" s="167"/>
      <c r="E1319" s="167"/>
      <c r="F1319" s="167"/>
      <c r="G1319" s="167"/>
      <c r="H1319" s="168"/>
      <c r="I1319" s="101"/>
      <c r="J1319" s="101"/>
      <c r="K1319" s="165"/>
      <c r="CA1319" s="166"/>
      <c r="CB1319" s="101"/>
      <c r="CC1319" s="100"/>
      <c r="CD1319" s="167"/>
      <c r="CE1319" s="167"/>
      <c r="CF1319" s="167"/>
      <c r="CG1319" s="167"/>
      <c r="CH1319" s="168"/>
      <c r="CI1319" s="101"/>
      <c r="CJ1319" s="101"/>
      <c r="CK1319" s="165"/>
    </row>
    <row r="1320" spans="1:89">
      <c r="A1320" s="166"/>
      <c r="B1320" s="101"/>
      <c r="C1320" s="100"/>
      <c r="D1320" s="167"/>
      <c r="E1320" s="167"/>
      <c r="F1320" s="167"/>
      <c r="G1320" s="167"/>
      <c r="H1320" s="168"/>
      <c r="I1320" s="101"/>
      <c r="J1320" s="101"/>
      <c r="K1320" s="165"/>
      <c r="CA1320" s="166"/>
      <c r="CB1320" s="101"/>
      <c r="CC1320" s="100"/>
      <c r="CD1320" s="167"/>
      <c r="CE1320" s="167"/>
      <c r="CF1320" s="167"/>
      <c r="CG1320" s="167"/>
      <c r="CH1320" s="168"/>
      <c r="CI1320" s="101"/>
      <c r="CJ1320" s="101"/>
      <c r="CK1320" s="165"/>
    </row>
    <row r="1321" spans="1:89">
      <c r="A1321" s="166"/>
      <c r="B1321" s="101"/>
      <c r="C1321" s="100"/>
      <c r="D1321" s="167"/>
      <c r="E1321" s="167"/>
      <c r="F1321" s="167"/>
      <c r="G1321" s="167"/>
      <c r="H1321" s="168"/>
      <c r="I1321" s="101"/>
      <c r="J1321" s="164"/>
      <c r="K1321" s="169"/>
      <c r="CA1321" s="166"/>
      <c r="CB1321" s="101"/>
      <c r="CC1321" s="100"/>
      <c r="CD1321" s="167"/>
      <c r="CE1321" s="167"/>
      <c r="CF1321" s="167"/>
      <c r="CG1321" s="167"/>
      <c r="CH1321" s="168"/>
      <c r="CI1321" s="101"/>
      <c r="CJ1321" s="164"/>
      <c r="CK1321" s="169"/>
    </row>
    <row r="1322" spans="1:89">
      <c r="A1322" s="166"/>
      <c r="B1322" s="101"/>
      <c r="C1322" s="100"/>
      <c r="D1322" s="167"/>
      <c r="E1322" s="167"/>
      <c r="F1322" s="167"/>
      <c r="G1322" s="167"/>
      <c r="H1322" s="168"/>
      <c r="I1322" s="101"/>
      <c r="J1322" s="101"/>
      <c r="K1322" s="165"/>
      <c r="CA1322" s="166"/>
      <c r="CB1322" s="101"/>
      <c r="CC1322" s="100"/>
      <c r="CD1322" s="167"/>
      <c r="CE1322" s="167"/>
      <c r="CF1322" s="167"/>
      <c r="CG1322" s="167"/>
      <c r="CH1322" s="168"/>
      <c r="CI1322" s="101"/>
      <c r="CJ1322" s="101"/>
      <c r="CK1322" s="165"/>
    </row>
    <row r="1323" spans="1:89">
      <c r="A1323" s="166"/>
      <c r="B1323" s="101"/>
      <c r="C1323" s="100"/>
      <c r="D1323" s="167"/>
      <c r="E1323" s="167"/>
      <c r="F1323" s="167"/>
      <c r="G1323" s="167"/>
      <c r="H1323" s="168"/>
      <c r="I1323" s="101"/>
      <c r="J1323" s="101"/>
      <c r="K1323" s="165"/>
      <c r="CA1323" s="166"/>
      <c r="CB1323" s="101"/>
      <c r="CC1323" s="100"/>
      <c r="CD1323" s="167"/>
      <c r="CE1323" s="167"/>
      <c r="CF1323" s="167"/>
      <c r="CG1323" s="167"/>
      <c r="CH1323" s="168"/>
      <c r="CI1323" s="101"/>
      <c r="CJ1323" s="101"/>
      <c r="CK1323" s="165"/>
    </row>
    <row r="1324" spans="1:89">
      <c r="A1324" s="181"/>
      <c r="B1324" s="103"/>
      <c r="C1324" s="100"/>
      <c r="D1324" s="100"/>
      <c r="E1324" s="100"/>
      <c r="F1324" s="100"/>
      <c r="G1324" s="100"/>
      <c r="H1324" s="177"/>
      <c r="I1324" s="103"/>
      <c r="J1324" s="103"/>
      <c r="K1324" s="182"/>
      <c r="CA1324" s="181"/>
      <c r="CB1324" s="103"/>
      <c r="CC1324" s="100"/>
      <c r="CD1324" s="100"/>
      <c r="CE1324" s="100"/>
      <c r="CF1324" s="100"/>
      <c r="CG1324" s="100"/>
      <c r="CH1324" s="177"/>
      <c r="CI1324" s="103"/>
      <c r="CJ1324" s="103"/>
      <c r="CK1324" s="182"/>
    </row>
    <row r="1325" spans="1:89">
      <c r="A1325" s="179" t="s">
        <v>5023</v>
      </c>
      <c r="B1325" s="102"/>
      <c r="C1325" s="175" t="s">
        <v>5018</v>
      </c>
      <c r="D1325" s="175" t="s">
        <v>5701</v>
      </c>
      <c r="E1325" s="175" t="s">
        <v>5019</v>
      </c>
      <c r="F1325" s="175" t="s">
        <v>5020</v>
      </c>
      <c r="G1325" s="175" t="s">
        <v>5021</v>
      </c>
      <c r="H1325" s="175" t="s">
        <v>5022</v>
      </c>
      <c r="I1325" s="176" t="s">
        <v>5316</v>
      </c>
      <c r="J1325" s="176"/>
      <c r="K1325" s="180"/>
      <c r="CA1325" s="179" t="s">
        <v>5023</v>
      </c>
      <c r="CB1325" s="102"/>
      <c r="CC1325" s="175" t="s">
        <v>5018</v>
      </c>
      <c r="CD1325" s="175" t="s">
        <v>5701</v>
      </c>
      <c r="CE1325" s="175" t="s">
        <v>5019</v>
      </c>
      <c r="CF1325" s="175" t="s">
        <v>5020</v>
      </c>
      <c r="CG1325" s="175" t="s">
        <v>5021</v>
      </c>
      <c r="CH1325" s="175" t="s">
        <v>5022</v>
      </c>
      <c r="CI1325" s="176" t="s">
        <v>5316</v>
      </c>
      <c r="CJ1325" s="176"/>
      <c r="CK1325" s="180"/>
    </row>
    <row r="1326" spans="1:89">
      <c r="A1326" s="166"/>
      <c r="B1326" s="101"/>
      <c r="C1326" s="100"/>
      <c r="D1326" s="167"/>
      <c r="E1326" s="167"/>
      <c r="F1326" s="167"/>
      <c r="G1326" s="167"/>
      <c r="H1326" s="168"/>
      <c r="I1326" s="101"/>
      <c r="J1326" s="101"/>
      <c r="K1326" s="165"/>
      <c r="CA1326" s="166"/>
      <c r="CB1326" s="101"/>
      <c r="CC1326" s="100"/>
      <c r="CD1326" s="167"/>
      <c r="CE1326" s="167"/>
      <c r="CF1326" s="167"/>
      <c r="CG1326" s="167"/>
      <c r="CH1326" s="168"/>
      <c r="CI1326" s="101"/>
      <c r="CJ1326" s="101"/>
      <c r="CK1326" s="165"/>
    </row>
    <row r="1327" spans="1:89">
      <c r="A1327" s="166"/>
      <c r="B1327" s="101"/>
      <c r="C1327" s="100"/>
      <c r="D1327" s="167"/>
      <c r="E1327" s="167"/>
      <c r="F1327" s="167"/>
      <c r="G1327" s="167"/>
      <c r="H1327" s="168"/>
      <c r="I1327" s="101"/>
      <c r="J1327" s="101"/>
      <c r="K1327" s="165"/>
      <c r="CA1327" s="166"/>
      <c r="CB1327" s="101"/>
      <c r="CC1327" s="100"/>
      <c r="CD1327" s="167"/>
      <c r="CE1327" s="167"/>
      <c r="CF1327" s="167"/>
      <c r="CG1327" s="167"/>
      <c r="CH1327" s="168"/>
      <c r="CI1327" s="101"/>
      <c r="CJ1327" s="101"/>
      <c r="CK1327" s="165"/>
    </row>
    <row r="1328" spans="1:89">
      <c r="A1328" s="166"/>
      <c r="B1328" s="101"/>
      <c r="C1328" s="100"/>
      <c r="D1328" s="167"/>
      <c r="E1328" s="167"/>
      <c r="F1328" s="167"/>
      <c r="G1328" s="167"/>
      <c r="H1328" s="168"/>
      <c r="I1328" s="101"/>
      <c r="J1328" s="101"/>
      <c r="K1328" s="165"/>
      <c r="CA1328" s="166"/>
      <c r="CB1328" s="101"/>
      <c r="CC1328" s="100"/>
      <c r="CD1328" s="167"/>
      <c r="CE1328" s="167"/>
      <c r="CF1328" s="167"/>
      <c r="CG1328" s="167"/>
      <c r="CH1328" s="168"/>
      <c r="CI1328" s="101"/>
      <c r="CJ1328" s="101"/>
      <c r="CK1328" s="165"/>
    </row>
    <row r="1329" spans="1:89">
      <c r="A1329" s="166"/>
      <c r="B1329" s="101"/>
      <c r="C1329" s="100"/>
      <c r="D1329" s="167"/>
      <c r="E1329" s="167"/>
      <c r="F1329" s="167"/>
      <c r="G1329" s="167"/>
      <c r="H1329" s="168"/>
      <c r="I1329" s="101"/>
      <c r="J1329" s="101"/>
      <c r="K1329" s="165"/>
      <c r="CA1329" s="166"/>
      <c r="CB1329" s="101"/>
      <c r="CC1329" s="100"/>
      <c r="CD1329" s="167"/>
      <c r="CE1329" s="167"/>
      <c r="CF1329" s="167"/>
      <c r="CG1329" s="167"/>
      <c r="CH1329" s="168"/>
      <c r="CI1329" s="101"/>
      <c r="CJ1329" s="101"/>
      <c r="CK1329" s="165"/>
    </row>
    <row r="1330" spans="1:89">
      <c r="A1330" s="166"/>
      <c r="B1330" s="101"/>
      <c r="C1330" s="100"/>
      <c r="D1330" s="167"/>
      <c r="E1330" s="167"/>
      <c r="F1330" s="167"/>
      <c r="G1330" s="167"/>
      <c r="H1330" s="168"/>
      <c r="I1330" s="101"/>
      <c r="J1330" s="101"/>
      <c r="K1330" s="165"/>
      <c r="CA1330" s="166"/>
      <c r="CB1330" s="101"/>
      <c r="CC1330" s="100"/>
      <c r="CD1330" s="167"/>
      <c r="CE1330" s="167"/>
      <c r="CF1330" s="167"/>
      <c r="CG1330" s="167"/>
      <c r="CH1330" s="168"/>
      <c r="CI1330" s="101"/>
      <c r="CJ1330" s="101"/>
      <c r="CK1330" s="165"/>
    </row>
    <row r="1331" spans="1:89">
      <c r="A1331" s="166"/>
      <c r="B1331" s="101"/>
      <c r="C1331" s="100"/>
      <c r="D1331" s="167"/>
      <c r="E1331" s="167"/>
      <c r="F1331" s="167"/>
      <c r="G1331" s="167"/>
      <c r="H1331" s="168"/>
      <c r="I1331" s="101"/>
      <c r="J1331" s="101"/>
      <c r="K1331" s="165"/>
      <c r="CA1331" s="166"/>
      <c r="CB1331" s="101"/>
      <c r="CC1331" s="100"/>
      <c r="CD1331" s="167"/>
      <c r="CE1331" s="167"/>
      <c r="CF1331" s="167"/>
      <c r="CG1331" s="167"/>
      <c r="CH1331" s="168"/>
      <c r="CI1331" s="101"/>
      <c r="CJ1331" s="101"/>
      <c r="CK1331" s="165"/>
    </row>
    <row r="1332" spans="1:89">
      <c r="A1332" s="166"/>
      <c r="B1332" s="101"/>
      <c r="C1332" s="100"/>
      <c r="D1332" s="167"/>
      <c r="E1332" s="167"/>
      <c r="F1332" s="167"/>
      <c r="G1332" s="167"/>
      <c r="H1332" s="168"/>
      <c r="I1332" s="101"/>
      <c r="J1332" s="101"/>
      <c r="K1332" s="165"/>
      <c r="CA1332" s="166"/>
      <c r="CB1332" s="101"/>
      <c r="CC1332" s="100"/>
      <c r="CD1332" s="167"/>
      <c r="CE1332" s="167"/>
      <c r="CF1332" s="167"/>
      <c r="CG1332" s="167"/>
      <c r="CH1332" s="168"/>
      <c r="CI1332" s="101"/>
      <c r="CJ1332" s="101"/>
      <c r="CK1332" s="165"/>
    </row>
    <row r="1333" spans="1:89">
      <c r="A1333" s="166"/>
      <c r="B1333" s="101"/>
      <c r="C1333" s="100"/>
      <c r="D1333" s="167"/>
      <c r="E1333" s="167"/>
      <c r="F1333" s="167"/>
      <c r="G1333" s="167"/>
      <c r="H1333" s="168"/>
      <c r="I1333" s="101"/>
      <c r="J1333" s="101"/>
      <c r="K1333" s="165"/>
      <c r="CA1333" s="166"/>
      <c r="CB1333" s="101"/>
      <c r="CC1333" s="100"/>
      <c r="CD1333" s="167"/>
      <c r="CE1333" s="167"/>
      <c r="CF1333" s="167"/>
      <c r="CG1333" s="167"/>
      <c r="CH1333" s="168"/>
      <c r="CI1333" s="101"/>
      <c r="CJ1333" s="101"/>
      <c r="CK1333" s="165"/>
    </row>
    <row r="1334" spans="1:89">
      <c r="A1334" s="166"/>
      <c r="B1334" s="101"/>
      <c r="C1334" s="100"/>
      <c r="D1334" s="167"/>
      <c r="E1334" s="167"/>
      <c r="F1334" s="167"/>
      <c r="G1334" s="167"/>
      <c r="H1334" s="168"/>
      <c r="I1334" s="101"/>
      <c r="J1334" s="101"/>
      <c r="K1334" s="165"/>
      <c r="CA1334" s="166"/>
      <c r="CB1334" s="101"/>
      <c r="CC1334" s="100"/>
      <c r="CD1334" s="167"/>
      <c r="CE1334" s="167"/>
      <c r="CF1334" s="167"/>
      <c r="CG1334" s="167"/>
      <c r="CH1334" s="168"/>
      <c r="CI1334" s="101"/>
      <c r="CJ1334" s="101"/>
      <c r="CK1334" s="165"/>
    </row>
    <row r="1335" spans="1:89">
      <c r="A1335" s="166"/>
      <c r="B1335" s="101"/>
      <c r="C1335" s="100"/>
      <c r="D1335" s="167"/>
      <c r="E1335" s="167"/>
      <c r="F1335" s="167"/>
      <c r="G1335" s="167"/>
      <c r="H1335" s="168"/>
      <c r="I1335" s="101"/>
      <c r="J1335" s="101"/>
      <c r="K1335" s="165"/>
      <c r="CA1335" s="166"/>
      <c r="CB1335" s="101"/>
      <c r="CC1335" s="100"/>
      <c r="CD1335" s="167"/>
      <c r="CE1335" s="167"/>
      <c r="CF1335" s="167"/>
      <c r="CG1335" s="167"/>
      <c r="CH1335" s="168"/>
      <c r="CI1335" s="101"/>
      <c r="CJ1335" s="101"/>
      <c r="CK1335" s="165"/>
    </row>
    <row r="1336" spans="1:89">
      <c r="A1336" s="166"/>
      <c r="B1336" s="101"/>
      <c r="C1336" s="100"/>
      <c r="D1336" s="167"/>
      <c r="E1336" s="167"/>
      <c r="F1336" s="167"/>
      <c r="G1336" s="167"/>
      <c r="H1336" s="168"/>
      <c r="I1336" s="101"/>
      <c r="J1336" s="101"/>
      <c r="K1336" s="165"/>
      <c r="CA1336" s="166"/>
      <c r="CB1336" s="101"/>
      <c r="CC1336" s="100"/>
      <c r="CD1336" s="167"/>
      <c r="CE1336" s="167"/>
      <c r="CF1336" s="167"/>
      <c r="CG1336" s="167"/>
      <c r="CH1336" s="168"/>
      <c r="CI1336" s="101"/>
      <c r="CJ1336" s="101"/>
      <c r="CK1336" s="165"/>
    </row>
    <row r="1337" spans="1:89">
      <c r="A1337" s="166"/>
      <c r="B1337" s="101"/>
      <c r="C1337" s="100"/>
      <c r="D1337" s="167"/>
      <c r="E1337" s="167"/>
      <c r="F1337" s="167"/>
      <c r="G1337" s="167"/>
      <c r="H1337" s="168"/>
      <c r="I1337" s="101"/>
      <c r="J1337" s="101"/>
      <c r="K1337" s="165"/>
      <c r="CA1337" s="166"/>
      <c r="CB1337" s="101"/>
      <c r="CC1337" s="100"/>
      <c r="CD1337" s="167"/>
      <c r="CE1337" s="167"/>
      <c r="CF1337" s="167"/>
      <c r="CG1337" s="167"/>
      <c r="CH1337" s="168"/>
      <c r="CI1337" s="101"/>
      <c r="CJ1337" s="101"/>
      <c r="CK1337" s="165"/>
    </row>
    <row r="1338" spans="1:89">
      <c r="A1338" s="166"/>
      <c r="B1338" s="101"/>
      <c r="C1338" s="100"/>
      <c r="D1338" s="167"/>
      <c r="E1338" s="167"/>
      <c r="F1338" s="167"/>
      <c r="G1338" s="167"/>
      <c r="H1338" s="168"/>
      <c r="I1338" s="101"/>
      <c r="J1338" s="101"/>
      <c r="K1338" s="165"/>
      <c r="CA1338" s="166"/>
      <c r="CB1338" s="101"/>
      <c r="CC1338" s="100"/>
      <c r="CD1338" s="167"/>
      <c r="CE1338" s="167"/>
      <c r="CF1338" s="167"/>
      <c r="CG1338" s="167"/>
      <c r="CH1338" s="168"/>
      <c r="CI1338" s="101"/>
      <c r="CJ1338" s="101"/>
      <c r="CK1338" s="165"/>
    </row>
    <row r="1339" spans="1:89">
      <c r="A1339" s="166"/>
      <c r="B1339" s="101"/>
      <c r="C1339" s="100"/>
      <c r="D1339" s="167"/>
      <c r="E1339" s="167"/>
      <c r="F1339" s="167"/>
      <c r="G1339" s="167"/>
      <c r="H1339" s="168"/>
      <c r="I1339" s="101"/>
      <c r="J1339" s="101"/>
      <c r="K1339" s="165"/>
      <c r="CA1339" s="166"/>
      <c r="CB1339" s="101"/>
      <c r="CC1339" s="100"/>
      <c r="CD1339" s="167"/>
      <c r="CE1339" s="167"/>
      <c r="CF1339" s="167"/>
      <c r="CG1339" s="167"/>
      <c r="CH1339" s="168"/>
      <c r="CI1339" s="101"/>
      <c r="CJ1339" s="101"/>
      <c r="CK1339" s="165"/>
    </row>
    <row r="1340" spans="1:89">
      <c r="A1340" s="166"/>
      <c r="B1340" s="101"/>
      <c r="C1340" s="100"/>
      <c r="D1340" s="167"/>
      <c r="E1340" s="167"/>
      <c r="F1340" s="167"/>
      <c r="G1340" s="167"/>
      <c r="H1340" s="168"/>
      <c r="I1340" s="101"/>
      <c r="J1340" s="101"/>
      <c r="K1340" s="165"/>
      <c r="CA1340" s="166"/>
      <c r="CB1340" s="101"/>
      <c r="CC1340" s="100"/>
      <c r="CD1340" s="167"/>
      <c r="CE1340" s="167"/>
      <c r="CF1340" s="167"/>
      <c r="CG1340" s="167"/>
      <c r="CH1340" s="168"/>
      <c r="CI1340" s="101"/>
      <c r="CJ1340" s="101"/>
      <c r="CK1340" s="165"/>
    </row>
    <row r="1341" spans="1:89">
      <c r="A1341" s="181"/>
      <c r="B1341" s="103"/>
      <c r="C1341" s="100"/>
      <c r="D1341" s="100"/>
      <c r="E1341" s="100"/>
      <c r="F1341" s="100"/>
      <c r="G1341" s="100"/>
      <c r="H1341" s="177"/>
      <c r="I1341" s="103"/>
      <c r="J1341" s="103"/>
      <c r="K1341" s="182"/>
      <c r="CA1341" s="181"/>
      <c r="CB1341" s="103"/>
      <c r="CC1341" s="100"/>
      <c r="CD1341" s="100"/>
      <c r="CE1341" s="100"/>
      <c r="CF1341" s="100"/>
      <c r="CG1341" s="100"/>
      <c r="CH1341" s="177"/>
      <c r="CI1341" s="103"/>
      <c r="CJ1341" s="103"/>
      <c r="CK1341" s="182"/>
    </row>
    <row r="1342" spans="1:89">
      <c r="A1342" s="179" t="s">
        <v>5024</v>
      </c>
      <c r="B1342" s="102"/>
      <c r="C1342" s="175" t="s">
        <v>5018</v>
      </c>
      <c r="D1342" s="175" t="s">
        <v>5701</v>
      </c>
      <c r="E1342" s="175" t="s">
        <v>5019</v>
      </c>
      <c r="F1342" s="175" t="s">
        <v>5020</v>
      </c>
      <c r="G1342" s="175" t="s">
        <v>5021</v>
      </c>
      <c r="H1342" s="175" t="s">
        <v>5022</v>
      </c>
      <c r="I1342" s="176" t="s">
        <v>5316</v>
      </c>
      <c r="J1342" s="176"/>
      <c r="K1342" s="180"/>
      <c r="CA1342" s="179" t="s">
        <v>5024</v>
      </c>
      <c r="CB1342" s="102"/>
      <c r="CC1342" s="175" t="s">
        <v>5018</v>
      </c>
      <c r="CD1342" s="175" t="s">
        <v>5701</v>
      </c>
      <c r="CE1342" s="175" t="s">
        <v>5019</v>
      </c>
      <c r="CF1342" s="175" t="s">
        <v>5020</v>
      </c>
      <c r="CG1342" s="175" t="s">
        <v>5021</v>
      </c>
      <c r="CH1342" s="175" t="s">
        <v>5022</v>
      </c>
      <c r="CI1342" s="176" t="s">
        <v>5316</v>
      </c>
      <c r="CJ1342" s="176"/>
      <c r="CK1342" s="180"/>
    </row>
    <row r="1343" spans="1:89">
      <c r="A1343" s="166"/>
      <c r="B1343" s="101"/>
      <c r="C1343" s="100"/>
      <c r="D1343" s="167"/>
      <c r="E1343" s="167"/>
      <c r="F1343" s="167"/>
      <c r="G1343" s="167"/>
      <c r="H1343" s="168"/>
      <c r="I1343" s="101"/>
      <c r="J1343" s="101"/>
      <c r="K1343" s="165"/>
      <c r="CA1343" s="166"/>
      <c r="CB1343" s="101"/>
      <c r="CC1343" s="100"/>
      <c r="CD1343" s="167"/>
      <c r="CE1343" s="167"/>
      <c r="CF1343" s="167"/>
      <c r="CG1343" s="167"/>
      <c r="CH1343" s="168"/>
      <c r="CI1343" s="101"/>
      <c r="CJ1343" s="101"/>
      <c r="CK1343" s="165"/>
    </row>
    <row r="1344" spans="1:89">
      <c r="A1344" s="166"/>
      <c r="B1344" s="101"/>
      <c r="C1344" s="100"/>
      <c r="D1344" s="167"/>
      <c r="E1344" s="167"/>
      <c r="F1344" s="167"/>
      <c r="G1344" s="167"/>
      <c r="H1344" s="168"/>
      <c r="I1344" s="101"/>
      <c r="J1344" s="101"/>
      <c r="K1344" s="165"/>
      <c r="CA1344" s="166"/>
      <c r="CB1344" s="101"/>
      <c r="CC1344" s="100"/>
      <c r="CD1344" s="167"/>
      <c r="CE1344" s="167"/>
      <c r="CF1344" s="167"/>
      <c r="CG1344" s="167"/>
      <c r="CH1344" s="168"/>
      <c r="CI1344" s="101"/>
      <c r="CJ1344" s="101"/>
      <c r="CK1344" s="165"/>
    </row>
    <row r="1345" spans="1:89">
      <c r="A1345" s="166"/>
      <c r="B1345" s="101"/>
      <c r="C1345" s="100"/>
      <c r="D1345" s="167"/>
      <c r="E1345" s="167"/>
      <c r="F1345" s="167"/>
      <c r="G1345" s="167"/>
      <c r="H1345" s="168"/>
      <c r="I1345" s="101"/>
      <c r="J1345" s="101"/>
      <c r="K1345" s="165"/>
      <c r="CA1345" s="166"/>
      <c r="CB1345" s="101"/>
      <c r="CC1345" s="100"/>
      <c r="CD1345" s="167"/>
      <c r="CE1345" s="167"/>
      <c r="CF1345" s="167"/>
      <c r="CG1345" s="167"/>
      <c r="CH1345" s="168"/>
      <c r="CI1345" s="101"/>
      <c r="CJ1345" s="101"/>
      <c r="CK1345" s="165"/>
    </row>
    <row r="1346" spans="1:89">
      <c r="A1346" s="166"/>
      <c r="B1346" s="101"/>
      <c r="C1346" s="100"/>
      <c r="D1346" s="167"/>
      <c r="E1346" s="167"/>
      <c r="F1346" s="167"/>
      <c r="G1346" s="167"/>
      <c r="H1346" s="168"/>
      <c r="I1346" s="101"/>
      <c r="J1346" s="101"/>
      <c r="K1346" s="165"/>
      <c r="CA1346" s="166"/>
      <c r="CB1346" s="101"/>
      <c r="CC1346" s="100"/>
      <c r="CD1346" s="167"/>
      <c r="CE1346" s="167"/>
      <c r="CF1346" s="167"/>
      <c r="CG1346" s="167"/>
      <c r="CH1346" s="168"/>
      <c r="CI1346" s="101"/>
      <c r="CJ1346" s="101"/>
      <c r="CK1346" s="165"/>
    </row>
    <row r="1347" spans="1:89">
      <c r="A1347" s="166"/>
      <c r="B1347" s="101"/>
      <c r="C1347" s="100"/>
      <c r="D1347" s="167"/>
      <c r="E1347" s="167"/>
      <c r="F1347" s="167"/>
      <c r="G1347" s="167"/>
      <c r="H1347" s="168"/>
      <c r="I1347" s="101"/>
      <c r="J1347" s="101"/>
      <c r="K1347" s="165"/>
      <c r="CA1347" s="166"/>
      <c r="CB1347" s="101"/>
      <c r="CC1347" s="100"/>
      <c r="CD1347" s="167"/>
      <c r="CE1347" s="167"/>
      <c r="CF1347" s="167"/>
      <c r="CG1347" s="167"/>
      <c r="CH1347" s="168"/>
      <c r="CI1347" s="101"/>
      <c r="CJ1347" s="101"/>
      <c r="CK1347" s="165"/>
    </row>
    <row r="1348" spans="1:89">
      <c r="A1348" s="166"/>
      <c r="B1348" s="101"/>
      <c r="C1348" s="100"/>
      <c r="D1348" s="167"/>
      <c r="E1348" s="167"/>
      <c r="F1348" s="167"/>
      <c r="G1348" s="167"/>
      <c r="H1348" s="168"/>
      <c r="I1348" s="101"/>
      <c r="J1348" s="101"/>
      <c r="K1348" s="165"/>
      <c r="CA1348" s="166"/>
      <c r="CB1348" s="101"/>
      <c r="CC1348" s="100"/>
      <c r="CD1348" s="167"/>
      <c r="CE1348" s="167"/>
      <c r="CF1348" s="167"/>
      <c r="CG1348" s="167"/>
      <c r="CH1348" s="168"/>
      <c r="CI1348" s="101"/>
      <c r="CJ1348" s="101"/>
      <c r="CK1348" s="165"/>
    </row>
    <row r="1349" spans="1:89">
      <c r="A1349" s="166"/>
      <c r="B1349" s="101"/>
      <c r="C1349" s="100"/>
      <c r="D1349" s="167"/>
      <c r="E1349" s="167"/>
      <c r="F1349" s="167"/>
      <c r="G1349" s="167"/>
      <c r="H1349" s="168"/>
      <c r="I1349" s="101"/>
      <c r="J1349" s="101"/>
      <c r="K1349" s="165"/>
      <c r="CA1349" s="166"/>
      <c r="CB1349" s="101"/>
      <c r="CC1349" s="100"/>
      <c r="CD1349" s="167"/>
      <c r="CE1349" s="167"/>
      <c r="CF1349" s="167"/>
      <c r="CG1349" s="167"/>
      <c r="CH1349" s="168"/>
      <c r="CI1349" s="101"/>
      <c r="CJ1349" s="101"/>
      <c r="CK1349" s="165"/>
    </row>
    <row r="1350" spans="1:89">
      <c r="A1350" s="166"/>
      <c r="B1350" s="101"/>
      <c r="C1350" s="100"/>
      <c r="D1350" s="167"/>
      <c r="E1350" s="167"/>
      <c r="F1350" s="167"/>
      <c r="G1350" s="167"/>
      <c r="H1350" s="168"/>
      <c r="I1350" s="101"/>
      <c r="J1350" s="101"/>
      <c r="K1350" s="165"/>
      <c r="CA1350" s="166"/>
      <c r="CB1350" s="101"/>
      <c r="CC1350" s="100"/>
      <c r="CD1350" s="167"/>
      <c r="CE1350" s="167"/>
      <c r="CF1350" s="167"/>
      <c r="CG1350" s="167"/>
      <c r="CH1350" s="168"/>
      <c r="CI1350" s="101"/>
      <c r="CJ1350" s="101"/>
      <c r="CK1350" s="165"/>
    </row>
    <row r="1351" spans="1:89">
      <c r="A1351" s="166"/>
      <c r="B1351" s="101"/>
      <c r="C1351" s="100"/>
      <c r="D1351" s="167"/>
      <c r="E1351" s="167"/>
      <c r="F1351" s="167"/>
      <c r="G1351" s="167"/>
      <c r="H1351" s="168"/>
      <c r="I1351" s="101"/>
      <c r="J1351" s="101"/>
      <c r="K1351" s="165"/>
      <c r="CA1351" s="166"/>
      <c r="CB1351" s="101"/>
      <c r="CC1351" s="100"/>
      <c r="CD1351" s="167"/>
      <c r="CE1351" s="167"/>
      <c r="CF1351" s="167"/>
      <c r="CG1351" s="167"/>
      <c r="CH1351" s="168"/>
      <c r="CI1351" s="101"/>
      <c r="CJ1351" s="101"/>
      <c r="CK1351" s="165"/>
    </row>
    <row r="1352" spans="1:89">
      <c r="A1352" s="166"/>
      <c r="B1352" s="101"/>
      <c r="C1352" s="100"/>
      <c r="D1352" s="167"/>
      <c r="E1352" s="167"/>
      <c r="F1352" s="167"/>
      <c r="G1352" s="167"/>
      <c r="H1352" s="168"/>
      <c r="I1352" s="101"/>
      <c r="J1352" s="101"/>
      <c r="K1352" s="165"/>
      <c r="CA1352" s="166"/>
      <c r="CB1352" s="101"/>
      <c r="CC1352" s="100"/>
      <c r="CD1352" s="167"/>
      <c r="CE1352" s="167"/>
      <c r="CF1352" s="167"/>
      <c r="CG1352" s="167"/>
      <c r="CH1352" s="168"/>
      <c r="CI1352" s="101"/>
      <c r="CJ1352" s="101"/>
      <c r="CK1352" s="165"/>
    </row>
    <row r="1353" spans="1:89">
      <c r="A1353" s="166"/>
      <c r="B1353" s="101"/>
      <c r="C1353" s="100"/>
      <c r="D1353" s="167"/>
      <c r="E1353" s="167"/>
      <c r="F1353" s="167"/>
      <c r="G1353" s="167"/>
      <c r="H1353" s="168"/>
      <c r="I1353" s="101"/>
      <c r="J1353" s="101"/>
      <c r="K1353" s="165"/>
      <c r="CA1353" s="166"/>
      <c r="CB1353" s="101"/>
      <c r="CC1353" s="100"/>
      <c r="CD1353" s="167"/>
      <c r="CE1353" s="167"/>
      <c r="CF1353" s="167"/>
      <c r="CG1353" s="167"/>
      <c r="CH1353" s="168"/>
      <c r="CI1353" s="101"/>
      <c r="CJ1353" s="101"/>
      <c r="CK1353" s="165"/>
    </row>
    <row r="1354" spans="1:89">
      <c r="A1354" s="166"/>
      <c r="B1354" s="101"/>
      <c r="C1354" s="100"/>
      <c r="D1354" s="167"/>
      <c r="E1354" s="167"/>
      <c r="F1354" s="167"/>
      <c r="G1354" s="167"/>
      <c r="H1354" s="168"/>
      <c r="I1354" s="101"/>
      <c r="J1354" s="101"/>
      <c r="K1354" s="165"/>
      <c r="CA1354" s="166"/>
      <c r="CB1354" s="101"/>
      <c r="CC1354" s="100"/>
      <c r="CD1354" s="167"/>
      <c r="CE1354" s="167"/>
      <c r="CF1354" s="167"/>
      <c r="CG1354" s="167"/>
      <c r="CH1354" s="168"/>
      <c r="CI1354" s="101"/>
      <c r="CJ1354" s="101"/>
      <c r="CK1354" s="165"/>
    </row>
    <row r="1355" spans="1:89">
      <c r="A1355" s="166"/>
      <c r="B1355" s="101"/>
      <c r="C1355" s="100"/>
      <c r="D1355" s="167"/>
      <c r="E1355" s="167"/>
      <c r="F1355" s="167"/>
      <c r="G1355" s="167"/>
      <c r="H1355" s="168"/>
      <c r="I1355" s="101"/>
      <c r="J1355" s="101"/>
      <c r="K1355" s="165"/>
      <c r="CA1355" s="166"/>
      <c r="CB1355" s="101"/>
      <c r="CC1355" s="100"/>
      <c r="CD1355" s="167"/>
      <c r="CE1355" s="167"/>
      <c r="CF1355" s="167"/>
      <c r="CG1355" s="167"/>
      <c r="CH1355" s="168"/>
      <c r="CI1355" s="101"/>
      <c r="CJ1355" s="101"/>
      <c r="CK1355" s="165"/>
    </row>
    <row r="1356" spans="1:89">
      <c r="A1356" s="166"/>
      <c r="B1356" s="101"/>
      <c r="C1356" s="100"/>
      <c r="D1356" s="167"/>
      <c r="E1356" s="167"/>
      <c r="F1356" s="167"/>
      <c r="G1356" s="167"/>
      <c r="H1356" s="168"/>
      <c r="I1356" s="101"/>
      <c r="J1356" s="101"/>
      <c r="K1356" s="165"/>
      <c r="CA1356" s="166"/>
      <c r="CB1356" s="101"/>
      <c r="CC1356" s="100"/>
      <c r="CD1356" s="167"/>
      <c r="CE1356" s="167"/>
      <c r="CF1356" s="167"/>
      <c r="CG1356" s="167"/>
      <c r="CH1356" s="168"/>
      <c r="CI1356" s="101"/>
      <c r="CJ1356" s="101"/>
      <c r="CK1356" s="165"/>
    </row>
    <row r="1357" spans="1:89">
      <c r="A1357" s="166"/>
      <c r="B1357" s="101"/>
      <c r="C1357" s="100"/>
      <c r="D1357" s="167"/>
      <c r="E1357" s="167"/>
      <c r="F1357" s="167"/>
      <c r="G1357" s="167"/>
      <c r="H1357" s="168"/>
      <c r="I1357" s="101"/>
      <c r="J1357" s="101"/>
      <c r="K1357" s="165"/>
      <c r="CA1357" s="166"/>
      <c r="CB1357" s="101"/>
      <c r="CC1357" s="100"/>
      <c r="CD1357" s="167"/>
      <c r="CE1357" s="167"/>
      <c r="CF1357" s="167"/>
      <c r="CG1357" s="167"/>
      <c r="CH1357" s="168"/>
      <c r="CI1357" s="101"/>
      <c r="CJ1357" s="101"/>
      <c r="CK1357" s="165"/>
    </row>
    <row r="1358" spans="1:89">
      <c r="A1358" s="166"/>
      <c r="B1358" s="101"/>
      <c r="C1358" s="100"/>
      <c r="D1358" s="167"/>
      <c r="E1358" s="167"/>
      <c r="F1358" s="167"/>
      <c r="G1358" s="167"/>
      <c r="H1358" s="168"/>
      <c r="I1358" s="101"/>
      <c r="J1358" s="101"/>
      <c r="K1358" s="165"/>
      <c r="CA1358" s="166"/>
      <c r="CB1358" s="101"/>
      <c r="CC1358" s="100"/>
      <c r="CD1358" s="167"/>
      <c r="CE1358" s="167"/>
      <c r="CF1358" s="167"/>
      <c r="CG1358" s="167"/>
      <c r="CH1358" s="168"/>
      <c r="CI1358" s="101"/>
      <c r="CJ1358" s="101"/>
      <c r="CK1358" s="165"/>
    </row>
    <row r="1359" spans="1:89">
      <c r="A1359" s="166"/>
      <c r="B1359" s="101"/>
      <c r="C1359" s="100"/>
      <c r="D1359" s="167"/>
      <c r="E1359" s="167"/>
      <c r="F1359" s="167"/>
      <c r="G1359" s="167"/>
      <c r="H1359" s="168"/>
      <c r="I1359" s="101"/>
      <c r="J1359" s="101"/>
      <c r="K1359" s="165"/>
      <c r="CA1359" s="166"/>
      <c r="CB1359" s="101"/>
      <c r="CC1359" s="100"/>
      <c r="CD1359" s="167"/>
      <c r="CE1359" s="167"/>
      <c r="CF1359" s="167"/>
      <c r="CG1359" s="167"/>
      <c r="CH1359" s="168"/>
      <c r="CI1359" s="101"/>
      <c r="CJ1359" s="101"/>
      <c r="CK1359" s="165"/>
    </row>
    <row r="1360" spans="1:89">
      <c r="A1360" s="166"/>
      <c r="B1360" s="101"/>
      <c r="C1360" s="100"/>
      <c r="D1360" s="167"/>
      <c r="E1360" s="167"/>
      <c r="F1360" s="167"/>
      <c r="G1360" s="167"/>
      <c r="H1360" s="168"/>
      <c r="I1360" s="101"/>
      <c r="J1360" s="101"/>
      <c r="K1360" s="165"/>
      <c r="CA1360" s="166"/>
      <c r="CB1360" s="101"/>
      <c r="CC1360" s="100"/>
      <c r="CD1360" s="167"/>
      <c r="CE1360" s="167"/>
      <c r="CF1360" s="167"/>
      <c r="CG1360" s="167"/>
      <c r="CH1360" s="168"/>
      <c r="CI1360" s="101"/>
      <c r="CJ1360" s="101"/>
      <c r="CK1360" s="165"/>
    </row>
    <row r="1361" spans="1:89">
      <c r="A1361" s="166"/>
      <c r="B1361" s="101"/>
      <c r="C1361" s="100"/>
      <c r="D1361" s="167"/>
      <c r="E1361" s="167"/>
      <c r="F1361" s="167"/>
      <c r="G1361" s="167"/>
      <c r="H1361" s="168"/>
      <c r="I1361" s="101"/>
      <c r="J1361" s="101"/>
      <c r="K1361" s="165"/>
      <c r="CA1361" s="166"/>
      <c r="CB1361" s="101"/>
      <c r="CC1361" s="100"/>
      <c r="CD1361" s="167"/>
      <c r="CE1361" s="167"/>
      <c r="CF1361" s="167"/>
      <c r="CG1361" s="167"/>
      <c r="CH1361" s="168"/>
      <c r="CI1361" s="101"/>
      <c r="CJ1361" s="101"/>
      <c r="CK1361" s="165"/>
    </row>
    <row r="1362" spans="1:89">
      <c r="A1362" s="166"/>
      <c r="B1362" s="101"/>
      <c r="C1362" s="100"/>
      <c r="D1362" s="167"/>
      <c r="E1362" s="167"/>
      <c r="F1362" s="167"/>
      <c r="G1362" s="167"/>
      <c r="H1362" s="168"/>
      <c r="I1362" s="101"/>
      <c r="J1362" s="101"/>
      <c r="K1362" s="165"/>
      <c r="CA1362" s="166"/>
      <c r="CB1362" s="101"/>
      <c r="CC1362" s="100"/>
      <c r="CD1362" s="167"/>
      <c r="CE1362" s="167"/>
      <c r="CF1362" s="167"/>
      <c r="CG1362" s="167"/>
      <c r="CH1362" s="168"/>
      <c r="CI1362" s="101"/>
      <c r="CJ1362" s="101"/>
      <c r="CK1362" s="165"/>
    </row>
    <row r="1363" spans="1:89">
      <c r="A1363" s="181"/>
      <c r="B1363" s="103"/>
      <c r="C1363" s="100"/>
      <c r="D1363" s="100"/>
      <c r="E1363" s="100"/>
      <c r="F1363" s="100"/>
      <c r="G1363" s="100"/>
      <c r="H1363" s="177"/>
      <c r="I1363" s="103"/>
      <c r="J1363" s="103"/>
      <c r="K1363" s="182"/>
      <c r="CA1363" s="181"/>
      <c r="CB1363" s="103"/>
      <c r="CC1363" s="100"/>
      <c r="CD1363" s="100"/>
      <c r="CE1363" s="100"/>
      <c r="CF1363" s="100"/>
      <c r="CG1363" s="100"/>
      <c r="CH1363" s="177"/>
      <c r="CI1363" s="103"/>
      <c r="CJ1363" s="103"/>
      <c r="CK1363" s="182"/>
    </row>
    <row r="1364" spans="1:89">
      <c r="A1364" s="179" t="s">
        <v>5025</v>
      </c>
      <c r="B1364" s="102"/>
      <c r="C1364" s="175" t="s">
        <v>5018</v>
      </c>
      <c r="D1364" s="175" t="s">
        <v>5701</v>
      </c>
      <c r="E1364" s="175" t="s">
        <v>5019</v>
      </c>
      <c r="F1364" s="175" t="s">
        <v>5020</v>
      </c>
      <c r="G1364" s="175" t="s">
        <v>5021</v>
      </c>
      <c r="H1364" s="175" t="s">
        <v>5022</v>
      </c>
      <c r="I1364" s="176" t="s">
        <v>5316</v>
      </c>
      <c r="J1364" s="176"/>
      <c r="K1364" s="180"/>
      <c r="CA1364" s="179" t="s">
        <v>5025</v>
      </c>
      <c r="CB1364" s="102"/>
      <c r="CC1364" s="175" t="s">
        <v>5018</v>
      </c>
      <c r="CD1364" s="175" t="s">
        <v>5701</v>
      </c>
      <c r="CE1364" s="175" t="s">
        <v>5019</v>
      </c>
      <c r="CF1364" s="175" t="s">
        <v>5020</v>
      </c>
      <c r="CG1364" s="175" t="s">
        <v>5021</v>
      </c>
      <c r="CH1364" s="175" t="s">
        <v>5022</v>
      </c>
      <c r="CI1364" s="176" t="s">
        <v>5316</v>
      </c>
      <c r="CJ1364" s="176"/>
      <c r="CK1364" s="180"/>
    </row>
    <row r="1365" spans="1:89">
      <c r="A1365" s="166"/>
      <c r="B1365" s="101"/>
      <c r="C1365" s="100"/>
      <c r="D1365" s="167"/>
      <c r="E1365" s="167"/>
      <c r="F1365" s="167"/>
      <c r="G1365" s="167"/>
      <c r="H1365" s="168"/>
      <c r="I1365" s="101"/>
      <c r="J1365" s="101"/>
      <c r="K1365" s="165"/>
      <c r="CA1365" s="166"/>
      <c r="CB1365" s="101"/>
      <c r="CC1365" s="100"/>
      <c r="CD1365" s="167"/>
      <c r="CE1365" s="167"/>
      <c r="CF1365" s="167"/>
      <c r="CG1365" s="167"/>
      <c r="CH1365" s="168"/>
      <c r="CI1365" s="101"/>
      <c r="CJ1365" s="101"/>
      <c r="CK1365" s="165"/>
    </row>
    <row r="1366" spans="1:89">
      <c r="A1366" s="166"/>
      <c r="B1366" s="101"/>
      <c r="C1366" s="100"/>
      <c r="D1366" s="167"/>
      <c r="E1366" s="167"/>
      <c r="F1366" s="167"/>
      <c r="G1366" s="167"/>
      <c r="H1366" s="168"/>
      <c r="I1366" s="101"/>
      <c r="J1366" s="101"/>
      <c r="K1366" s="165"/>
      <c r="CA1366" s="166"/>
      <c r="CB1366" s="101"/>
      <c r="CC1366" s="100"/>
      <c r="CD1366" s="167"/>
      <c r="CE1366" s="167"/>
      <c r="CF1366" s="167"/>
      <c r="CG1366" s="167"/>
      <c r="CH1366" s="168"/>
      <c r="CI1366" s="101"/>
      <c r="CJ1366" s="101"/>
      <c r="CK1366" s="165"/>
    </row>
    <row r="1367" spans="1:89">
      <c r="A1367" s="166"/>
      <c r="B1367" s="101"/>
      <c r="C1367" s="100"/>
      <c r="D1367" s="167"/>
      <c r="E1367" s="167"/>
      <c r="F1367" s="167"/>
      <c r="G1367" s="167"/>
      <c r="H1367" s="168"/>
      <c r="I1367" s="101"/>
      <c r="J1367" s="101"/>
      <c r="K1367" s="165"/>
      <c r="CA1367" s="166"/>
      <c r="CB1367" s="101"/>
      <c r="CC1367" s="100"/>
      <c r="CD1367" s="167"/>
      <c r="CE1367" s="167"/>
      <c r="CF1367" s="167"/>
      <c r="CG1367" s="167"/>
      <c r="CH1367" s="168"/>
      <c r="CI1367" s="101"/>
      <c r="CJ1367" s="101"/>
      <c r="CK1367" s="165"/>
    </row>
    <row r="1368" spans="1:89">
      <c r="A1368" s="166"/>
      <c r="B1368" s="101"/>
      <c r="C1368" s="100"/>
      <c r="D1368" s="167"/>
      <c r="E1368" s="167"/>
      <c r="F1368" s="167"/>
      <c r="G1368" s="167"/>
      <c r="H1368" s="168"/>
      <c r="I1368" s="101"/>
      <c r="J1368" s="101"/>
      <c r="K1368" s="165"/>
      <c r="CA1368" s="166"/>
      <c r="CB1368" s="101"/>
      <c r="CC1368" s="100"/>
      <c r="CD1368" s="167"/>
      <c r="CE1368" s="167"/>
      <c r="CF1368" s="167"/>
      <c r="CG1368" s="167"/>
      <c r="CH1368" s="168"/>
      <c r="CI1368" s="101"/>
      <c r="CJ1368" s="101"/>
      <c r="CK1368" s="165"/>
    </row>
    <row r="1369" spans="1:89">
      <c r="A1369" s="166"/>
      <c r="B1369" s="101"/>
      <c r="C1369" s="100"/>
      <c r="D1369" s="167"/>
      <c r="E1369" s="167"/>
      <c r="F1369" s="167"/>
      <c r="G1369" s="167"/>
      <c r="H1369" s="168"/>
      <c r="I1369" s="101"/>
      <c r="J1369" s="101"/>
      <c r="K1369" s="165"/>
      <c r="CA1369" s="166"/>
      <c r="CB1369" s="101"/>
      <c r="CC1369" s="100"/>
      <c r="CD1369" s="167"/>
      <c r="CE1369" s="167"/>
      <c r="CF1369" s="167"/>
      <c r="CG1369" s="167"/>
      <c r="CH1369" s="168"/>
      <c r="CI1369" s="101"/>
      <c r="CJ1369" s="101"/>
      <c r="CK1369" s="165"/>
    </row>
    <row r="1370" spans="1:89">
      <c r="A1370" s="166"/>
      <c r="B1370" s="101"/>
      <c r="C1370" s="100"/>
      <c r="D1370" s="167"/>
      <c r="E1370" s="167"/>
      <c r="F1370" s="167"/>
      <c r="G1370" s="167"/>
      <c r="H1370" s="168"/>
      <c r="I1370" s="101"/>
      <c r="J1370" s="101"/>
      <c r="K1370" s="165"/>
      <c r="CA1370" s="166"/>
      <c r="CB1370" s="101"/>
      <c r="CC1370" s="100"/>
      <c r="CD1370" s="167"/>
      <c r="CE1370" s="167"/>
      <c r="CF1370" s="167"/>
      <c r="CG1370" s="167"/>
      <c r="CH1370" s="168"/>
      <c r="CI1370" s="101"/>
      <c r="CJ1370" s="101"/>
      <c r="CK1370" s="165"/>
    </row>
    <row r="1371" spans="1:89">
      <c r="A1371" s="166"/>
      <c r="B1371" s="101"/>
      <c r="C1371" s="100"/>
      <c r="D1371" s="167"/>
      <c r="E1371" s="167"/>
      <c r="F1371" s="167"/>
      <c r="G1371" s="167"/>
      <c r="H1371" s="168"/>
      <c r="I1371" s="101"/>
      <c r="J1371" s="101"/>
      <c r="K1371" s="165"/>
      <c r="CA1371" s="166"/>
      <c r="CB1371" s="101"/>
      <c r="CC1371" s="100"/>
      <c r="CD1371" s="167"/>
      <c r="CE1371" s="167"/>
      <c r="CF1371" s="167"/>
      <c r="CG1371" s="167"/>
      <c r="CH1371" s="168"/>
      <c r="CI1371" s="101"/>
      <c r="CJ1371" s="101"/>
      <c r="CK1371" s="165"/>
    </row>
    <row r="1372" spans="1:89">
      <c r="A1372" s="166"/>
      <c r="B1372" s="101"/>
      <c r="C1372" s="100"/>
      <c r="D1372" s="167"/>
      <c r="E1372" s="167"/>
      <c r="F1372" s="167"/>
      <c r="G1372" s="167"/>
      <c r="H1372" s="168"/>
      <c r="I1372" s="101"/>
      <c r="J1372" s="101"/>
      <c r="K1372" s="165"/>
      <c r="CA1372" s="166"/>
      <c r="CB1372" s="101"/>
      <c r="CC1372" s="100"/>
      <c r="CD1372" s="167"/>
      <c r="CE1372" s="167"/>
      <c r="CF1372" s="167"/>
      <c r="CG1372" s="167"/>
      <c r="CH1372" s="168"/>
      <c r="CI1372" s="101"/>
      <c r="CJ1372" s="101"/>
      <c r="CK1372" s="165"/>
    </row>
    <row r="1373" spans="1:89">
      <c r="A1373" s="166"/>
      <c r="B1373" s="101"/>
      <c r="C1373" s="100"/>
      <c r="D1373" s="167"/>
      <c r="E1373" s="167"/>
      <c r="F1373" s="167"/>
      <c r="G1373" s="167"/>
      <c r="H1373" s="168"/>
      <c r="I1373" s="101"/>
      <c r="J1373" s="101"/>
      <c r="K1373" s="165"/>
      <c r="CA1373" s="166"/>
      <c r="CB1373" s="101"/>
      <c r="CC1373" s="100"/>
      <c r="CD1373" s="167"/>
      <c r="CE1373" s="167"/>
      <c r="CF1373" s="167"/>
      <c r="CG1373" s="167"/>
      <c r="CH1373" s="168"/>
      <c r="CI1373" s="101"/>
      <c r="CJ1373" s="101"/>
      <c r="CK1373" s="165"/>
    </row>
    <row r="1374" spans="1:89">
      <c r="A1374" s="166"/>
      <c r="B1374" s="101"/>
      <c r="C1374" s="100"/>
      <c r="D1374" s="167"/>
      <c r="E1374" s="167"/>
      <c r="F1374" s="167"/>
      <c r="G1374" s="167"/>
      <c r="H1374" s="168"/>
      <c r="I1374" s="101"/>
      <c r="J1374" s="101"/>
      <c r="K1374" s="165"/>
      <c r="CA1374" s="166"/>
      <c r="CB1374" s="101"/>
      <c r="CC1374" s="100"/>
      <c r="CD1374" s="167"/>
      <c r="CE1374" s="167"/>
      <c r="CF1374" s="167"/>
      <c r="CG1374" s="167"/>
      <c r="CH1374" s="168"/>
      <c r="CI1374" s="101"/>
      <c r="CJ1374" s="101"/>
      <c r="CK1374" s="165"/>
    </row>
    <row r="1375" spans="1:89">
      <c r="A1375" s="166"/>
      <c r="B1375" s="101"/>
      <c r="C1375" s="100"/>
      <c r="D1375" s="167"/>
      <c r="E1375" s="167"/>
      <c r="F1375" s="167"/>
      <c r="G1375" s="167"/>
      <c r="H1375" s="168"/>
      <c r="I1375" s="101"/>
      <c r="J1375" s="101"/>
      <c r="K1375" s="165"/>
      <c r="CA1375" s="166"/>
      <c r="CB1375" s="101"/>
      <c r="CC1375" s="100"/>
      <c r="CD1375" s="167"/>
      <c r="CE1375" s="167"/>
      <c r="CF1375" s="167"/>
      <c r="CG1375" s="167"/>
      <c r="CH1375" s="168"/>
      <c r="CI1375" s="101"/>
      <c r="CJ1375" s="101"/>
      <c r="CK1375" s="165"/>
    </row>
    <row r="1376" spans="1:89">
      <c r="A1376" s="166"/>
      <c r="B1376" s="101"/>
      <c r="C1376" s="100"/>
      <c r="D1376" s="167"/>
      <c r="E1376" s="167"/>
      <c r="F1376" s="167"/>
      <c r="G1376" s="167"/>
      <c r="H1376" s="168"/>
      <c r="I1376" s="101"/>
      <c r="J1376" s="101"/>
      <c r="K1376" s="165"/>
      <c r="CA1376" s="166"/>
      <c r="CB1376" s="101"/>
      <c r="CC1376" s="100"/>
      <c r="CD1376" s="167"/>
      <c r="CE1376" s="167"/>
      <c r="CF1376" s="167"/>
      <c r="CG1376" s="167"/>
      <c r="CH1376" s="168"/>
      <c r="CI1376" s="101"/>
      <c r="CJ1376" s="101"/>
      <c r="CK1376" s="165"/>
    </row>
    <row r="1377" spans="1:89">
      <c r="A1377" s="166"/>
      <c r="B1377" s="101"/>
      <c r="C1377" s="100"/>
      <c r="D1377" s="167"/>
      <c r="E1377" s="167"/>
      <c r="F1377" s="167"/>
      <c r="G1377" s="167"/>
      <c r="H1377" s="168"/>
      <c r="I1377" s="101"/>
      <c r="J1377" s="101"/>
      <c r="K1377" s="165"/>
      <c r="CA1377" s="166"/>
      <c r="CB1377" s="101"/>
      <c r="CC1377" s="100"/>
      <c r="CD1377" s="167"/>
      <c r="CE1377" s="167"/>
      <c r="CF1377" s="167"/>
      <c r="CG1377" s="167"/>
      <c r="CH1377" s="168"/>
      <c r="CI1377" s="101"/>
      <c r="CJ1377" s="101"/>
      <c r="CK1377" s="165"/>
    </row>
    <row r="1378" spans="1:89">
      <c r="A1378" s="166"/>
      <c r="B1378" s="101"/>
      <c r="C1378" s="100"/>
      <c r="D1378" s="167"/>
      <c r="E1378" s="167"/>
      <c r="F1378" s="167"/>
      <c r="G1378" s="167"/>
      <c r="H1378" s="168"/>
      <c r="I1378" s="101"/>
      <c r="J1378" s="101"/>
      <c r="K1378" s="165"/>
      <c r="CA1378" s="166"/>
      <c r="CB1378" s="101"/>
      <c r="CC1378" s="100"/>
      <c r="CD1378" s="167"/>
      <c r="CE1378" s="167"/>
      <c r="CF1378" s="167"/>
      <c r="CG1378" s="167"/>
      <c r="CH1378" s="168"/>
      <c r="CI1378" s="101"/>
      <c r="CJ1378" s="101"/>
      <c r="CK1378" s="165"/>
    </row>
    <row r="1379" spans="1:89">
      <c r="A1379" s="166"/>
      <c r="B1379" s="101"/>
      <c r="C1379" s="100"/>
      <c r="D1379" s="167"/>
      <c r="E1379" s="167"/>
      <c r="F1379" s="167"/>
      <c r="G1379" s="167"/>
      <c r="H1379" s="168"/>
      <c r="I1379" s="101"/>
      <c r="J1379" s="101"/>
      <c r="K1379" s="165"/>
      <c r="CA1379" s="166"/>
      <c r="CB1379" s="101"/>
      <c r="CC1379" s="100"/>
      <c r="CD1379" s="167"/>
      <c r="CE1379" s="167"/>
      <c r="CF1379" s="167"/>
      <c r="CG1379" s="167"/>
      <c r="CH1379" s="168"/>
      <c r="CI1379" s="101"/>
      <c r="CJ1379" s="101"/>
      <c r="CK1379" s="165"/>
    </row>
    <row r="1380" spans="1:89">
      <c r="A1380" s="166"/>
      <c r="B1380" s="101"/>
      <c r="C1380" s="100"/>
      <c r="D1380" s="167"/>
      <c r="E1380" s="167"/>
      <c r="F1380" s="167"/>
      <c r="G1380" s="167"/>
      <c r="H1380" s="168"/>
      <c r="I1380" s="101"/>
      <c r="J1380" s="101"/>
      <c r="K1380" s="165"/>
      <c r="CA1380" s="166"/>
      <c r="CB1380" s="101"/>
      <c r="CC1380" s="100"/>
      <c r="CD1380" s="167"/>
      <c r="CE1380" s="167"/>
      <c r="CF1380" s="167"/>
      <c r="CG1380" s="167"/>
      <c r="CH1380" s="168"/>
      <c r="CI1380" s="101"/>
      <c r="CJ1380" s="101"/>
      <c r="CK1380" s="165"/>
    </row>
    <row r="1381" spans="1:89">
      <c r="A1381" s="166"/>
      <c r="B1381" s="101"/>
      <c r="C1381" s="100"/>
      <c r="D1381" s="167"/>
      <c r="E1381" s="167"/>
      <c r="F1381" s="167"/>
      <c r="G1381" s="167"/>
      <c r="H1381" s="168"/>
      <c r="I1381" s="101"/>
      <c r="J1381" s="101"/>
      <c r="K1381" s="165"/>
      <c r="CA1381" s="166"/>
      <c r="CB1381" s="101"/>
      <c r="CC1381" s="100"/>
      <c r="CD1381" s="167"/>
      <c r="CE1381" s="167"/>
      <c r="CF1381" s="167"/>
      <c r="CG1381" s="167"/>
      <c r="CH1381" s="168"/>
      <c r="CI1381" s="101"/>
      <c r="CJ1381" s="101"/>
      <c r="CK1381" s="165"/>
    </row>
    <row r="1382" spans="1:89">
      <c r="A1382" s="181"/>
      <c r="B1382" s="103"/>
      <c r="C1382" s="100"/>
      <c r="D1382" s="100"/>
      <c r="E1382" s="100"/>
      <c r="F1382" s="100"/>
      <c r="G1382" s="100"/>
      <c r="H1382" s="177"/>
      <c r="I1382" s="103"/>
      <c r="J1382" s="103"/>
      <c r="K1382" s="182"/>
      <c r="CA1382" s="181"/>
      <c r="CB1382" s="103"/>
      <c r="CC1382" s="100"/>
      <c r="CD1382" s="100"/>
      <c r="CE1382" s="100"/>
      <c r="CF1382" s="100"/>
      <c r="CG1382" s="100"/>
      <c r="CH1382" s="177"/>
      <c r="CI1382" s="103"/>
      <c r="CJ1382" s="103"/>
      <c r="CK1382" s="182"/>
    </row>
    <row r="1383" spans="1:89">
      <c r="A1383" s="179" t="s">
        <v>5026</v>
      </c>
      <c r="B1383" s="102"/>
      <c r="C1383" s="175" t="s">
        <v>5018</v>
      </c>
      <c r="D1383" s="175" t="s">
        <v>5701</v>
      </c>
      <c r="E1383" s="175" t="s">
        <v>5019</v>
      </c>
      <c r="F1383" s="175" t="s">
        <v>5020</v>
      </c>
      <c r="G1383" s="175" t="s">
        <v>5021</v>
      </c>
      <c r="H1383" s="175" t="s">
        <v>5022</v>
      </c>
      <c r="I1383" s="176" t="s">
        <v>5316</v>
      </c>
      <c r="J1383" s="176"/>
      <c r="K1383" s="180"/>
      <c r="CA1383" s="179" t="s">
        <v>5026</v>
      </c>
      <c r="CB1383" s="102"/>
      <c r="CC1383" s="175" t="s">
        <v>5018</v>
      </c>
      <c r="CD1383" s="175" t="s">
        <v>5701</v>
      </c>
      <c r="CE1383" s="175" t="s">
        <v>5019</v>
      </c>
      <c r="CF1383" s="175" t="s">
        <v>5020</v>
      </c>
      <c r="CG1383" s="175" t="s">
        <v>5021</v>
      </c>
      <c r="CH1383" s="175" t="s">
        <v>5022</v>
      </c>
      <c r="CI1383" s="176" t="s">
        <v>5316</v>
      </c>
      <c r="CJ1383" s="176"/>
      <c r="CK1383" s="180"/>
    </row>
    <row r="1384" spans="1:89">
      <c r="A1384" s="166"/>
      <c r="B1384" s="101"/>
      <c r="C1384" s="100"/>
      <c r="D1384" s="167"/>
      <c r="E1384" s="167"/>
      <c r="F1384" s="167"/>
      <c r="G1384" s="167"/>
      <c r="H1384" s="168"/>
      <c r="I1384" s="101"/>
      <c r="J1384" s="101"/>
      <c r="K1384" s="165"/>
      <c r="CA1384" s="166"/>
      <c r="CB1384" s="101"/>
      <c r="CC1384" s="100"/>
      <c r="CD1384" s="167"/>
      <c r="CE1384" s="167"/>
      <c r="CF1384" s="167"/>
      <c r="CG1384" s="167"/>
      <c r="CH1384" s="168"/>
      <c r="CI1384" s="101"/>
      <c r="CJ1384" s="101"/>
      <c r="CK1384" s="165"/>
    </row>
    <row r="1385" spans="1:89">
      <c r="A1385" s="166"/>
      <c r="B1385" s="101"/>
      <c r="C1385" s="100"/>
      <c r="D1385" s="167"/>
      <c r="E1385" s="167"/>
      <c r="F1385" s="167"/>
      <c r="G1385" s="167"/>
      <c r="H1385" s="168"/>
      <c r="I1385" s="101"/>
      <c r="J1385" s="101"/>
      <c r="K1385" s="165"/>
      <c r="CA1385" s="166"/>
      <c r="CB1385" s="101"/>
      <c r="CC1385" s="100"/>
      <c r="CD1385" s="167"/>
      <c r="CE1385" s="167"/>
      <c r="CF1385" s="167"/>
      <c r="CG1385" s="167"/>
      <c r="CH1385" s="168"/>
      <c r="CI1385" s="101"/>
      <c r="CJ1385" s="101"/>
      <c r="CK1385" s="165"/>
    </row>
    <row r="1386" spans="1:89">
      <c r="A1386" s="166"/>
      <c r="B1386" s="101"/>
      <c r="C1386" s="100"/>
      <c r="D1386" s="167"/>
      <c r="E1386" s="167"/>
      <c r="F1386" s="167"/>
      <c r="G1386" s="167"/>
      <c r="H1386" s="168"/>
      <c r="I1386" s="101"/>
      <c r="J1386" s="101"/>
      <c r="K1386" s="165"/>
      <c r="CA1386" s="166"/>
      <c r="CB1386" s="101"/>
      <c r="CC1386" s="100"/>
      <c r="CD1386" s="167"/>
      <c r="CE1386" s="167"/>
      <c r="CF1386" s="167"/>
      <c r="CG1386" s="167"/>
      <c r="CH1386" s="168"/>
      <c r="CI1386" s="101"/>
      <c r="CJ1386" s="101"/>
      <c r="CK1386" s="165"/>
    </row>
    <row r="1387" spans="1:89">
      <c r="A1387" s="166"/>
      <c r="B1387" s="101"/>
      <c r="C1387" s="100"/>
      <c r="D1387" s="167"/>
      <c r="E1387" s="167"/>
      <c r="F1387" s="167"/>
      <c r="G1387" s="167"/>
      <c r="H1387" s="168"/>
      <c r="I1387" s="101"/>
      <c r="J1387" s="101"/>
      <c r="K1387" s="165"/>
      <c r="CA1387" s="166"/>
      <c r="CB1387" s="101"/>
      <c r="CC1387" s="100"/>
      <c r="CD1387" s="167"/>
      <c r="CE1387" s="167"/>
      <c r="CF1387" s="167"/>
      <c r="CG1387" s="167"/>
      <c r="CH1387" s="168"/>
      <c r="CI1387" s="101"/>
      <c r="CJ1387" s="101"/>
      <c r="CK1387" s="165"/>
    </row>
    <row r="1388" spans="1:89">
      <c r="A1388" s="166"/>
      <c r="B1388" s="101"/>
      <c r="C1388" s="100"/>
      <c r="D1388" s="167"/>
      <c r="E1388" s="167"/>
      <c r="F1388" s="167"/>
      <c r="G1388" s="167"/>
      <c r="H1388" s="168"/>
      <c r="I1388" s="101"/>
      <c r="J1388" s="101"/>
      <c r="K1388" s="165"/>
      <c r="CA1388" s="166"/>
      <c r="CB1388" s="101"/>
      <c r="CC1388" s="100"/>
      <c r="CD1388" s="167"/>
      <c r="CE1388" s="167"/>
      <c r="CF1388" s="167"/>
      <c r="CG1388" s="167"/>
      <c r="CH1388" s="168"/>
      <c r="CI1388" s="101"/>
      <c r="CJ1388" s="101"/>
      <c r="CK1388" s="165"/>
    </row>
    <row r="1389" spans="1:89">
      <c r="A1389" s="166"/>
      <c r="B1389" s="101"/>
      <c r="C1389" s="100"/>
      <c r="D1389" s="167"/>
      <c r="E1389" s="167"/>
      <c r="F1389" s="167"/>
      <c r="G1389" s="167"/>
      <c r="H1389" s="168"/>
      <c r="I1389" s="101"/>
      <c r="J1389" s="101"/>
      <c r="K1389" s="165"/>
      <c r="CA1389" s="166"/>
      <c r="CB1389" s="101"/>
      <c r="CC1389" s="100"/>
      <c r="CD1389" s="167"/>
      <c r="CE1389" s="167"/>
      <c r="CF1389" s="167"/>
      <c r="CG1389" s="167"/>
      <c r="CH1389" s="168"/>
      <c r="CI1389" s="101"/>
      <c r="CJ1389" s="101"/>
      <c r="CK1389" s="165"/>
    </row>
    <row r="1390" spans="1:89">
      <c r="A1390" s="166"/>
      <c r="B1390" s="101"/>
      <c r="C1390" s="100"/>
      <c r="D1390" s="167"/>
      <c r="E1390" s="167"/>
      <c r="F1390" s="167"/>
      <c r="G1390" s="167"/>
      <c r="H1390" s="168"/>
      <c r="I1390" s="101"/>
      <c r="J1390" s="101"/>
      <c r="K1390" s="165"/>
      <c r="CA1390" s="166"/>
      <c r="CB1390" s="101"/>
      <c r="CC1390" s="100"/>
      <c r="CD1390" s="167"/>
      <c r="CE1390" s="167"/>
      <c r="CF1390" s="167"/>
      <c r="CG1390" s="167"/>
      <c r="CH1390" s="168"/>
      <c r="CI1390" s="101"/>
      <c r="CJ1390" s="101"/>
      <c r="CK1390" s="165"/>
    </row>
    <row r="1391" spans="1:89">
      <c r="A1391" s="166"/>
      <c r="B1391" s="101"/>
      <c r="C1391" s="100"/>
      <c r="D1391" s="167"/>
      <c r="E1391" s="167"/>
      <c r="F1391" s="167"/>
      <c r="G1391" s="167"/>
      <c r="H1391" s="168"/>
      <c r="I1391" s="101"/>
      <c r="J1391" s="101"/>
      <c r="K1391" s="165"/>
      <c r="CA1391" s="166"/>
      <c r="CB1391" s="101"/>
      <c r="CC1391" s="100"/>
      <c r="CD1391" s="167"/>
      <c r="CE1391" s="167"/>
      <c r="CF1391" s="167"/>
      <c r="CG1391" s="167"/>
      <c r="CH1391" s="168"/>
      <c r="CI1391" s="101"/>
      <c r="CJ1391" s="101"/>
      <c r="CK1391" s="165"/>
    </row>
    <row r="1392" spans="1:89">
      <c r="A1392" s="166"/>
      <c r="B1392" s="101"/>
      <c r="C1392" s="100"/>
      <c r="D1392" s="167"/>
      <c r="E1392" s="167"/>
      <c r="F1392" s="167"/>
      <c r="G1392" s="167"/>
      <c r="H1392" s="168"/>
      <c r="I1392" s="101"/>
      <c r="J1392" s="101"/>
      <c r="K1392" s="165"/>
      <c r="CA1392" s="166"/>
      <c r="CB1392" s="101"/>
      <c r="CC1392" s="100"/>
      <c r="CD1392" s="167"/>
      <c r="CE1392" s="167"/>
      <c r="CF1392" s="167"/>
      <c r="CG1392" s="167"/>
      <c r="CH1392" s="168"/>
      <c r="CI1392" s="101"/>
      <c r="CJ1392" s="101"/>
      <c r="CK1392" s="165"/>
    </row>
    <row r="1393" spans="1:89">
      <c r="A1393" s="166"/>
      <c r="B1393" s="101"/>
      <c r="C1393" s="100"/>
      <c r="D1393" s="167"/>
      <c r="E1393" s="167"/>
      <c r="F1393" s="167"/>
      <c r="G1393" s="167"/>
      <c r="H1393" s="168"/>
      <c r="I1393" s="101"/>
      <c r="J1393" s="101"/>
      <c r="K1393" s="165"/>
      <c r="CA1393" s="166"/>
      <c r="CB1393" s="101"/>
      <c r="CC1393" s="100"/>
      <c r="CD1393" s="167"/>
      <c r="CE1393" s="167"/>
      <c r="CF1393" s="167"/>
      <c r="CG1393" s="167"/>
      <c r="CH1393" s="168"/>
      <c r="CI1393" s="101"/>
      <c r="CJ1393" s="101"/>
      <c r="CK1393" s="165"/>
    </row>
    <row r="1394" spans="1:89">
      <c r="A1394" s="166"/>
      <c r="B1394" s="101"/>
      <c r="C1394" s="100"/>
      <c r="D1394" s="167"/>
      <c r="E1394" s="167"/>
      <c r="F1394" s="167"/>
      <c r="G1394" s="167"/>
      <c r="H1394" s="168"/>
      <c r="I1394" s="101"/>
      <c r="J1394" s="101"/>
      <c r="K1394" s="165"/>
      <c r="CA1394" s="166"/>
      <c r="CB1394" s="101"/>
      <c r="CC1394" s="100"/>
      <c r="CD1394" s="167"/>
      <c r="CE1394" s="167"/>
      <c r="CF1394" s="167"/>
      <c r="CG1394" s="167"/>
      <c r="CH1394" s="168"/>
      <c r="CI1394" s="101"/>
      <c r="CJ1394" s="101"/>
      <c r="CK1394" s="165"/>
    </row>
    <row r="1395" spans="1:89">
      <c r="A1395" s="166"/>
      <c r="B1395" s="101"/>
      <c r="C1395" s="100"/>
      <c r="D1395" s="167"/>
      <c r="E1395" s="167"/>
      <c r="F1395" s="167"/>
      <c r="G1395" s="167"/>
      <c r="H1395" s="168"/>
      <c r="I1395" s="101"/>
      <c r="J1395" s="101"/>
      <c r="K1395" s="165"/>
      <c r="CA1395" s="166"/>
      <c r="CB1395" s="101"/>
      <c r="CC1395" s="100"/>
      <c r="CD1395" s="167"/>
      <c r="CE1395" s="167"/>
      <c r="CF1395" s="167"/>
      <c r="CG1395" s="167"/>
      <c r="CH1395" s="168"/>
      <c r="CI1395" s="101"/>
      <c r="CJ1395" s="101"/>
      <c r="CK1395" s="165"/>
    </row>
    <row r="1396" spans="1:89">
      <c r="A1396" s="166"/>
      <c r="B1396" s="101"/>
      <c r="C1396" s="100"/>
      <c r="D1396" s="167"/>
      <c r="E1396" s="167"/>
      <c r="F1396" s="167"/>
      <c r="G1396" s="167"/>
      <c r="H1396" s="168"/>
      <c r="I1396" s="101"/>
      <c r="J1396" s="101"/>
      <c r="K1396" s="165"/>
      <c r="CA1396" s="166"/>
      <c r="CB1396" s="101"/>
      <c r="CC1396" s="100"/>
      <c r="CD1396" s="167"/>
      <c r="CE1396" s="167"/>
      <c r="CF1396" s="167"/>
      <c r="CG1396" s="167"/>
      <c r="CH1396" s="168"/>
      <c r="CI1396" s="101"/>
      <c r="CJ1396" s="101"/>
      <c r="CK1396" s="165"/>
    </row>
    <row r="1397" spans="1:89">
      <c r="A1397" s="166"/>
      <c r="B1397" s="101"/>
      <c r="C1397" s="100"/>
      <c r="D1397" s="167"/>
      <c r="E1397" s="167"/>
      <c r="F1397" s="167"/>
      <c r="G1397" s="167"/>
      <c r="H1397" s="168"/>
      <c r="I1397" s="101"/>
      <c r="J1397" s="101"/>
      <c r="K1397" s="165"/>
      <c r="CA1397" s="166"/>
      <c r="CB1397" s="101"/>
      <c r="CC1397" s="100"/>
      <c r="CD1397" s="167"/>
      <c r="CE1397" s="167"/>
      <c r="CF1397" s="167"/>
      <c r="CG1397" s="167"/>
      <c r="CH1397" s="168"/>
      <c r="CI1397" s="101"/>
      <c r="CJ1397" s="101"/>
      <c r="CK1397" s="165"/>
    </row>
    <row r="1398" spans="1:89">
      <c r="A1398" s="166"/>
      <c r="B1398" s="101"/>
      <c r="C1398" s="100"/>
      <c r="D1398" s="167"/>
      <c r="E1398" s="167"/>
      <c r="F1398" s="167"/>
      <c r="G1398" s="167"/>
      <c r="H1398" s="168"/>
      <c r="I1398" s="101"/>
      <c r="J1398" s="101"/>
      <c r="K1398" s="165"/>
      <c r="CA1398" s="166"/>
      <c r="CB1398" s="101"/>
      <c r="CC1398" s="100"/>
      <c r="CD1398" s="167"/>
      <c r="CE1398" s="167"/>
      <c r="CF1398" s="167"/>
      <c r="CG1398" s="167"/>
      <c r="CH1398" s="168"/>
      <c r="CI1398" s="101"/>
      <c r="CJ1398" s="101"/>
      <c r="CK1398" s="165"/>
    </row>
    <row r="1399" spans="1:89">
      <c r="A1399" s="166"/>
      <c r="B1399" s="101"/>
      <c r="C1399" s="100"/>
      <c r="D1399" s="167"/>
      <c r="E1399" s="167"/>
      <c r="F1399" s="167"/>
      <c r="G1399" s="167"/>
      <c r="H1399" s="168"/>
      <c r="I1399" s="101"/>
      <c r="J1399" s="101"/>
      <c r="K1399" s="165"/>
      <c r="CA1399" s="166"/>
      <c r="CB1399" s="101"/>
      <c r="CC1399" s="100"/>
      <c r="CD1399" s="167"/>
      <c r="CE1399" s="167"/>
      <c r="CF1399" s="167"/>
      <c r="CG1399" s="167"/>
      <c r="CH1399" s="168"/>
      <c r="CI1399" s="101"/>
      <c r="CJ1399" s="101"/>
      <c r="CK1399" s="165"/>
    </row>
    <row r="1400" spans="1:89">
      <c r="A1400" s="166"/>
      <c r="B1400" s="101"/>
      <c r="C1400" s="100"/>
      <c r="D1400" s="167"/>
      <c r="E1400" s="167"/>
      <c r="F1400" s="167"/>
      <c r="G1400" s="167"/>
      <c r="H1400" s="168"/>
      <c r="I1400" s="101"/>
      <c r="J1400" s="101"/>
      <c r="K1400" s="165"/>
      <c r="CA1400" s="166"/>
      <c r="CB1400" s="101"/>
      <c r="CC1400" s="100"/>
      <c r="CD1400" s="167"/>
      <c r="CE1400" s="167"/>
      <c r="CF1400" s="167"/>
      <c r="CG1400" s="167"/>
      <c r="CH1400" s="168"/>
      <c r="CI1400" s="101"/>
      <c r="CJ1400" s="101"/>
      <c r="CK1400" s="165"/>
    </row>
    <row r="1401" spans="1:89">
      <c r="A1401" s="166"/>
      <c r="B1401" s="101"/>
      <c r="C1401" s="100"/>
      <c r="D1401" s="167"/>
      <c r="E1401" s="167"/>
      <c r="F1401" s="167"/>
      <c r="G1401" s="167"/>
      <c r="H1401" s="168"/>
      <c r="I1401" s="101"/>
      <c r="J1401" s="101"/>
      <c r="K1401" s="165"/>
      <c r="CA1401" s="166"/>
      <c r="CB1401" s="101"/>
      <c r="CC1401" s="100"/>
      <c r="CD1401" s="167"/>
      <c r="CE1401" s="167"/>
      <c r="CF1401" s="167"/>
      <c r="CG1401" s="167"/>
      <c r="CH1401" s="168"/>
      <c r="CI1401" s="101"/>
      <c r="CJ1401" s="101"/>
      <c r="CK1401" s="165"/>
    </row>
    <row r="1402" spans="1:89">
      <c r="A1402" s="181"/>
      <c r="B1402" s="103"/>
      <c r="C1402" s="100"/>
      <c r="D1402" s="100"/>
      <c r="E1402" s="100"/>
      <c r="F1402" s="100"/>
      <c r="G1402" s="100"/>
      <c r="H1402" s="177"/>
      <c r="I1402" s="103"/>
      <c r="J1402" s="103"/>
      <c r="K1402" s="182"/>
      <c r="CA1402" s="181"/>
      <c r="CB1402" s="103"/>
      <c r="CC1402" s="100"/>
      <c r="CD1402" s="100"/>
      <c r="CE1402" s="100"/>
      <c r="CF1402" s="100"/>
      <c r="CG1402" s="100"/>
      <c r="CH1402" s="177"/>
      <c r="CI1402" s="103"/>
      <c r="CJ1402" s="103"/>
      <c r="CK1402" s="182"/>
    </row>
    <row r="1403" spans="1:89">
      <c r="A1403" s="179" t="s">
        <v>5027</v>
      </c>
      <c r="B1403" s="102"/>
      <c r="C1403" s="175" t="s">
        <v>5018</v>
      </c>
      <c r="D1403" s="175" t="s">
        <v>5701</v>
      </c>
      <c r="E1403" s="175" t="s">
        <v>5019</v>
      </c>
      <c r="F1403" s="175" t="s">
        <v>5020</v>
      </c>
      <c r="G1403" s="175" t="s">
        <v>5021</v>
      </c>
      <c r="H1403" s="175" t="s">
        <v>5022</v>
      </c>
      <c r="I1403" s="176" t="s">
        <v>5316</v>
      </c>
      <c r="J1403" s="176"/>
      <c r="K1403" s="180"/>
      <c r="CA1403" s="179" t="s">
        <v>5027</v>
      </c>
      <c r="CB1403" s="102"/>
      <c r="CC1403" s="175" t="s">
        <v>5018</v>
      </c>
      <c r="CD1403" s="175" t="s">
        <v>5701</v>
      </c>
      <c r="CE1403" s="175" t="s">
        <v>5019</v>
      </c>
      <c r="CF1403" s="175" t="s">
        <v>5020</v>
      </c>
      <c r="CG1403" s="175" t="s">
        <v>5021</v>
      </c>
      <c r="CH1403" s="175" t="s">
        <v>5022</v>
      </c>
      <c r="CI1403" s="176" t="s">
        <v>5316</v>
      </c>
      <c r="CJ1403" s="176"/>
      <c r="CK1403" s="180"/>
    </row>
    <row r="1404" spans="1:89">
      <c r="A1404" s="166"/>
      <c r="B1404" s="101"/>
      <c r="C1404" s="100"/>
      <c r="D1404" s="167"/>
      <c r="E1404" s="167"/>
      <c r="F1404" s="167"/>
      <c r="G1404" s="167"/>
      <c r="H1404" s="168"/>
      <c r="I1404" s="101"/>
      <c r="J1404" s="101"/>
      <c r="K1404" s="165"/>
      <c r="CA1404" s="166"/>
      <c r="CB1404" s="101"/>
      <c r="CC1404" s="100"/>
      <c r="CD1404" s="167"/>
      <c r="CE1404" s="167"/>
      <c r="CF1404" s="167"/>
      <c r="CG1404" s="167"/>
      <c r="CH1404" s="168"/>
      <c r="CI1404" s="101"/>
      <c r="CJ1404" s="101"/>
      <c r="CK1404" s="165"/>
    </row>
    <row r="1405" spans="1:89">
      <c r="A1405" s="166"/>
      <c r="B1405" s="101"/>
      <c r="C1405" s="100"/>
      <c r="D1405" s="167"/>
      <c r="E1405" s="167"/>
      <c r="F1405" s="167"/>
      <c r="G1405" s="167"/>
      <c r="H1405" s="168"/>
      <c r="I1405" s="101"/>
      <c r="J1405" s="101"/>
      <c r="K1405" s="165"/>
      <c r="CA1405" s="166"/>
      <c r="CB1405" s="101"/>
      <c r="CC1405" s="100"/>
      <c r="CD1405" s="167"/>
      <c r="CE1405" s="167"/>
      <c r="CF1405" s="167"/>
      <c r="CG1405" s="167"/>
      <c r="CH1405" s="168"/>
      <c r="CI1405" s="101"/>
      <c r="CJ1405" s="101"/>
      <c r="CK1405" s="165"/>
    </row>
    <row r="1406" spans="1:89">
      <c r="A1406" s="166"/>
      <c r="B1406" s="101"/>
      <c r="C1406" s="100"/>
      <c r="D1406" s="167"/>
      <c r="E1406" s="167"/>
      <c r="F1406" s="167"/>
      <c r="G1406" s="167"/>
      <c r="H1406" s="168"/>
      <c r="I1406" s="101"/>
      <c r="J1406" s="101"/>
      <c r="K1406" s="165"/>
      <c r="CA1406" s="166"/>
      <c r="CB1406" s="101"/>
      <c r="CC1406" s="100"/>
      <c r="CD1406" s="167"/>
      <c r="CE1406" s="167"/>
      <c r="CF1406" s="167"/>
      <c r="CG1406" s="167"/>
      <c r="CH1406" s="168"/>
      <c r="CI1406" s="101"/>
      <c r="CJ1406" s="101"/>
      <c r="CK1406" s="165"/>
    </row>
    <row r="1407" spans="1:89">
      <c r="A1407" s="166"/>
      <c r="B1407" s="101"/>
      <c r="C1407" s="100"/>
      <c r="D1407" s="167"/>
      <c r="E1407" s="167"/>
      <c r="F1407" s="167"/>
      <c r="G1407" s="167"/>
      <c r="H1407" s="168"/>
      <c r="I1407" s="101"/>
      <c r="J1407" s="101"/>
      <c r="K1407" s="165"/>
      <c r="CA1407" s="166"/>
      <c r="CB1407" s="101"/>
      <c r="CC1407" s="100"/>
      <c r="CD1407" s="167"/>
      <c r="CE1407" s="167"/>
      <c r="CF1407" s="167"/>
      <c r="CG1407" s="167"/>
      <c r="CH1407" s="168"/>
      <c r="CI1407" s="101"/>
      <c r="CJ1407" s="101"/>
      <c r="CK1407" s="165"/>
    </row>
    <row r="1408" spans="1:89">
      <c r="A1408" s="166"/>
      <c r="B1408" s="101"/>
      <c r="C1408" s="100"/>
      <c r="D1408" s="167"/>
      <c r="E1408" s="167"/>
      <c r="F1408" s="167"/>
      <c r="G1408" s="167"/>
      <c r="H1408" s="168"/>
      <c r="I1408" s="101"/>
      <c r="J1408" s="101"/>
      <c r="K1408" s="165"/>
      <c r="CA1408" s="166"/>
      <c r="CB1408" s="101"/>
      <c r="CC1408" s="100"/>
      <c r="CD1408" s="167"/>
      <c r="CE1408" s="167"/>
      <c r="CF1408" s="167"/>
      <c r="CG1408" s="167"/>
      <c r="CH1408" s="168"/>
      <c r="CI1408" s="101"/>
      <c r="CJ1408" s="101"/>
      <c r="CK1408" s="165"/>
    </row>
    <row r="1409" spans="1:89">
      <c r="A1409" s="166"/>
      <c r="B1409" s="101"/>
      <c r="C1409" s="100"/>
      <c r="D1409" s="167"/>
      <c r="E1409" s="167"/>
      <c r="F1409" s="167"/>
      <c r="G1409" s="167"/>
      <c r="H1409" s="168"/>
      <c r="I1409" s="101"/>
      <c r="J1409" s="101"/>
      <c r="K1409" s="165"/>
      <c r="CA1409" s="166"/>
      <c r="CB1409" s="101"/>
      <c r="CC1409" s="100"/>
      <c r="CD1409" s="167"/>
      <c r="CE1409" s="167"/>
      <c r="CF1409" s="167"/>
      <c r="CG1409" s="167"/>
      <c r="CH1409" s="168"/>
      <c r="CI1409" s="101"/>
      <c r="CJ1409" s="101"/>
      <c r="CK1409" s="165"/>
    </row>
    <row r="1410" spans="1:89">
      <c r="A1410" s="166"/>
      <c r="B1410" s="101"/>
      <c r="C1410" s="100"/>
      <c r="D1410" s="167"/>
      <c r="E1410" s="167"/>
      <c r="F1410" s="167"/>
      <c r="G1410" s="167"/>
      <c r="H1410" s="168"/>
      <c r="I1410" s="101"/>
      <c r="J1410" s="101"/>
      <c r="K1410" s="165"/>
      <c r="CA1410" s="166"/>
      <c r="CB1410" s="101"/>
      <c r="CC1410" s="100"/>
      <c r="CD1410" s="167"/>
      <c r="CE1410" s="167"/>
      <c r="CF1410" s="167"/>
      <c r="CG1410" s="167"/>
      <c r="CH1410" s="168"/>
      <c r="CI1410" s="101"/>
      <c r="CJ1410" s="101"/>
      <c r="CK1410" s="165"/>
    </row>
    <row r="1411" spans="1:89">
      <c r="A1411" s="166"/>
      <c r="B1411" s="101"/>
      <c r="C1411" s="100"/>
      <c r="D1411" s="167"/>
      <c r="E1411" s="167"/>
      <c r="F1411" s="167"/>
      <c r="G1411" s="167"/>
      <c r="H1411" s="168"/>
      <c r="I1411" s="101"/>
      <c r="J1411" s="101"/>
      <c r="K1411" s="165"/>
      <c r="CA1411" s="166"/>
      <c r="CB1411" s="101"/>
      <c r="CC1411" s="100"/>
      <c r="CD1411" s="167"/>
      <c r="CE1411" s="167"/>
      <c r="CF1411" s="167"/>
      <c r="CG1411" s="167"/>
      <c r="CH1411" s="168"/>
      <c r="CI1411" s="101"/>
      <c r="CJ1411" s="101"/>
      <c r="CK1411" s="165"/>
    </row>
    <row r="1412" spans="1:89">
      <c r="A1412" s="166"/>
      <c r="B1412" s="101"/>
      <c r="C1412" s="100"/>
      <c r="D1412" s="167"/>
      <c r="E1412" s="167"/>
      <c r="F1412" s="167"/>
      <c r="G1412" s="167"/>
      <c r="H1412" s="168"/>
      <c r="I1412" s="101"/>
      <c r="J1412" s="101"/>
      <c r="K1412" s="165"/>
      <c r="CA1412" s="166"/>
      <c r="CB1412" s="101"/>
      <c r="CC1412" s="100"/>
      <c r="CD1412" s="167"/>
      <c r="CE1412" s="167"/>
      <c r="CF1412" s="167"/>
      <c r="CG1412" s="167"/>
      <c r="CH1412" s="168"/>
      <c r="CI1412" s="101"/>
      <c r="CJ1412" s="101"/>
      <c r="CK1412" s="165"/>
    </row>
    <row r="1413" spans="1:89">
      <c r="A1413" s="166"/>
      <c r="B1413" s="101"/>
      <c r="C1413" s="100"/>
      <c r="D1413" s="167"/>
      <c r="E1413" s="167"/>
      <c r="F1413" s="167"/>
      <c r="G1413" s="167"/>
      <c r="H1413" s="168"/>
      <c r="I1413" s="101"/>
      <c r="J1413" s="101"/>
      <c r="K1413" s="165"/>
      <c r="CA1413" s="166"/>
      <c r="CB1413" s="101"/>
      <c r="CC1413" s="100"/>
      <c r="CD1413" s="167"/>
      <c r="CE1413" s="167"/>
      <c r="CF1413" s="167"/>
      <c r="CG1413" s="167"/>
      <c r="CH1413" s="168"/>
      <c r="CI1413" s="101"/>
      <c r="CJ1413" s="101"/>
      <c r="CK1413" s="165"/>
    </row>
    <row r="1414" spans="1:89">
      <c r="A1414" s="166"/>
      <c r="B1414" s="101"/>
      <c r="C1414" s="100"/>
      <c r="D1414" s="167"/>
      <c r="E1414" s="167"/>
      <c r="F1414" s="167"/>
      <c r="G1414" s="167"/>
      <c r="H1414" s="168"/>
      <c r="I1414" s="101"/>
      <c r="J1414" s="101"/>
      <c r="K1414" s="165"/>
      <c r="CA1414" s="166"/>
      <c r="CB1414" s="101"/>
      <c r="CC1414" s="100"/>
      <c r="CD1414" s="167"/>
      <c r="CE1414" s="167"/>
      <c r="CF1414" s="167"/>
      <c r="CG1414" s="167"/>
      <c r="CH1414" s="168"/>
      <c r="CI1414" s="101"/>
      <c r="CJ1414" s="101"/>
      <c r="CK1414" s="165"/>
    </row>
    <row r="1415" spans="1:89">
      <c r="A1415" s="166"/>
      <c r="B1415" s="101"/>
      <c r="C1415" s="100"/>
      <c r="D1415" s="167"/>
      <c r="E1415" s="167"/>
      <c r="F1415" s="167"/>
      <c r="G1415" s="167"/>
      <c r="H1415" s="168"/>
      <c r="I1415" s="101"/>
      <c r="J1415" s="101"/>
      <c r="K1415" s="165"/>
      <c r="CA1415" s="166"/>
      <c r="CB1415" s="101"/>
      <c r="CC1415" s="100"/>
      <c r="CD1415" s="167"/>
      <c r="CE1415" s="167"/>
      <c r="CF1415" s="167"/>
      <c r="CG1415" s="167"/>
      <c r="CH1415" s="168"/>
      <c r="CI1415" s="101"/>
      <c r="CJ1415" s="101"/>
      <c r="CK1415" s="165"/>
    </row>
    <row r="1416" spans="1:89">
      <c r="A1416" s="179"/>
      <c r="B1416" s="102"/>
      <c r="C1416" s="175"/>
      <c r="D1416" s="175"/>
      <c r="E1416" s="175"/>
      <c r="F1416" s="175"/>
      <c r="G1416" s="175"/>
      <c r="H1416" s="175"/>
      <c r="I1416" s="176"/>
      <c r="J1416" s="176"/>
      <c r="K1416" s="180"/>
      <c r="CA1416" s="179" t="s">
        <v>5217</v>
      </c>
      <c r="CB1416" s="102"/>
      <c r="CC1416" s="175" t="s">
        <v>5018</v>
      </c>
      <c r="CD1416" s="175" t="s">
        <v>5701</v>
      </c>
      <c r="CE1416" s="175" t="s">
        <v>5019</v>
      </c>
      <c r="CF1416" s="175" t="s">
        <v>5020</v>
      </c>
      <c r="CG1416" s="175" t="s">
        <v>5021</v>
      </c>
      <c r="CH1416" s="175" t="s">
        <v>5022</v>
      </c>
      <c r="CI1416" s="176" t="s">
        <v>5316</v>
      </c>
      <c r="CJ1416" s="176"/>
      <c r="CK1416" s="180"/>
    </row>
    <row r="1417" spans="1:89">
      <c r="A1417" s="166" t="s">
        <v>5217</v>
      </c>
      <c r="B1417" s="101"/>
      <c r="C1417" s="100" t="s">
        <v>5018</v>
      </c>
      <c r="D1417" s="167" t="s">
        <v>5701</v>
      </c>
      <c r="E1417" s="167" t="s">
        <v>5019</v>
      </c>
      <c r="F1417" s="167" t="s">
        <v>5020</v>
      </c>
      <c r="G1417" s="167" t="s">
        <v>5021</v>
      </c>
      <c r="H1417" s="168" t="s">
        <v>5022</v>
      </c>
      <c r="I1417" s="101" t="s">
        <v>5316</v>
      </c>
      <c r="J1417" s="101"/>
      <c r="K1417" s="165"/>
      <c r="CA1417" s="166"/>
      <c r="CB1417" s="101"/>
      <c r="CC1417" s="100"/>
      <c r="CD1417" s="167"/>
      <c r="CE1417" s="167"/>
      <c r="CF1417" s="167"/>
      <c r="CG1417" s="167"/>
      <c r="CH1417" s="168"/>
      <c r="CI1417" s="101"/>
      <c r="CJ1417" s="101"/>
      <c r="CK1417" s="165"/>
    </row>
    <row r="1418" spans="1:89">
      <c r="A1418" s="166"/>
      <c r="B1418" s="101"/>
      <c r="C1418" s="100"/>
      <c r="D1418" s="167"/>
      <c r="E1418" s="167"/>
      <c r="F1418" s="167"/>
      <c r="G1418" s="167"/>
      <c r="H1418" s="168"/>
      <c r="I1418" s="101"/>
      <c r="J1418" s="101"/>
      <c r="K1418" s="165"/>
      <c r="CA1418" s="166"/>
      <c r="CB1418" s="101"/>
      <c r="CC1418" s="100"/>
      <c r="CD1418" s="167"/>
      <c r="CE1418" s="167"/>
      <c r="CF1418" s="167"/>
      <c r="CG1418" s="167"/>
      <c r="CH1418" s="168"/>
      <c r="CI1418" s="101"/>
      <c r="CJ1418" s="101"/>
      <c r="CK1418" s="165"/>
    </row>
    <row r="1419" spans="1:89">
      <c r="A1419" s="166"/>
      <c r="B1419" s="101"/>
      <c r="C1419" s="100"/>
      <c r="D1419" s="167"/>
      <c r="E1419" s="167"/>
      <c r="F1419" s="167"/>
      <c r="G1419" s="167"/>
      <c r="H1419" s="168"/>
      <c r="I1419" s="101"/>
      <c r="J1419" s="101"/>
      <c r="K1419" s="165"/>
      <c r="CA1419" s="166"/>
      <c r="CB1419" s="101"/>
      <c r="CC1419" s="100"/>
      <c r="CD1419" s="167"/>
      <c r="CE1419" s="167"/>
      <c r="CF1419" s="167"/>
      <c r="CG1419" s="167"/>
      <c r="CH1419" s="168"/>
      <c r="CI1419" s="101"/>
      <c r="CJ1419" s="101"/>
      <c r="CK1419" s="165"/>
    </row>
    <row r="1420" spans="1:89">
      <c r="A1420" s="166"/>
      <c r="B1420" s="101"/>
      <c r="C1420" s="100"/>
      <c r="D1420" s="167"/>
      <c r="E1420" s="167"/>
      <c r="F1420" s="167"/>
      <c r="G1420" s="167"/>
      <c r="H1420" s="168"/>
      <c r="I1420" s="101"/>
      <c r="J1420" s="101"/>
      <c r="K1420" s="165"/>
      <c r="CA1420" s="166"/>
      <c r="CB1420" s="101"/>
      <c r="CC1420" s="100"/>
      <c r="CD1420" s="167"/>
      <c r="CE1420" s="167"/>
      <c r="CF1420" s="167"/>
      <c r="CG1420" s="167"/>
      <c r="CH1420" s="168"/>
      <c r="CI1420" s="101"/>
      <c r="CJ1420" s="101"/>
      <c r="CK1420" s="165"/>
    </row>
    <row r="1421" spans="1:89">
      <c r="A1421" s="166"/>
      <c r="B1421" s="101"/>
      <c r="C1421" s="100"/>
      <c r="D1421" s="167"/>
      <c r="E1421" s="167"/>
      <c r="F1421" s="167"/>
      <c r="G1421" s="167"/>
      <c r="H1421" s="168"/>
      <c r="I1421" s="101"/>
      <c r="J1421" s="101"/>
      <c r="K1421" s="165"/>
      <c r="CA1421" s="166"/>
      <c r="CB1421" s="101"/>
      <c r="CC1421" s="100"/>
      <c r="CD1421" s="167"/>
      <c r="CE1421" s="167"/>
      <c r="CF1421" s="167"/>
      <c r="CG1421" s="167"/>
      <c r="CH1421" s="168"/>
      <c r="CI1421" s="101"/>
      <c r="CJ1421" s="101"/>
      <c r="CK1421" s="165"/>
    </row>
    <row r="1422" spans="1:89">
      <c r="A1422" s="166"/>
      <c r="B1422" s="101"/>
      <c r="C1422" s="100"/>
      <c r="D1422" s="167"/>
      <c r="E1422" s="167"/>
      <c r="F1422" s="167"/>
      <c r="G1422" s="167"/>
      <c r="H1422" s="168"/>
      <c r="I1422" s="101"/>
      <c r="J1422" s="101"/>
      <c r="K1422" s="165"/>
      <c r="CA1422" s="166"/>
      <c r="CB1422" s="101"/>
      <c r="CC1422" s="100"/>
      <c r="CD1422" s="167"/>
      <c r="CE1422" s="167"/>
      <c r="CF1422" s="167"/>
      <c r="CG1422" s="167"/>
      <c r="CH1422" s="168"/>
      <c r="CI1422" s="101"/>
      <c r="CJ1422" s="101"/>
      <c r="CK1422" s="165"/>
    </row>
    <row r="1423" spans="1:89">
      <c r="A1423" s="166"/>
      <c r="B1423" s="101"/>
      <c r="C1423" s="100"/>
      <c r="D1423" s="167"/>
      <c r="E1423" s="167"/>
      <c r="F1423" s="167"/>
      <c r="G1423" s="167"/>
      <c r="H1423" s="168"/>
      <c r="I1423" s="101"/>
      <c r="J1423" s="101"/>
      <c r="K1423" s="165"/>
      <c r="CA1423" s="166"/>
      <c r="CB1423" s="101"/>
      <c r="CC1423" s="100"/>
      <c r="CD1423" s="167"/>
      <c r="CE1423" s="167"/>
      <c r="CF1423" s="167"/>
      <c r="CG1423" s="167"/>
      <c r="CH1423" s="168"/>
      <c r="CI1423" s="101"/>
      <c r="CJ1423" s="101"/>
      <c r="CK1423" s="165"/>
    </row>
    <row r="1424" spans="1:89">
      <c r="A1424" s="166"/>
      <c r="B1424" s="101"/>
      <c r="C1424" s="100"/>
      <c r="D1424" s="167"/>
      <c r="E1424" s="167"/>
      <c r="F1424" s="167"/>
      <c r="G1424" s="167"/>
      <c r="H1424" s="168"/>
      <c r="I1424" s="101"/>
      <c r="J1424" s="101"/>
      <c r="K1424" s="165"/>
      <c r="CA1424" s="166"/>
      <c r="CB1424" s="101"/>
      <c r="CC1424" s="100"/>
      <c r="CD1424" s="167"/>
      <c r="CE1424" s="167"/>
      <c r="CF1424" s="167"/>
      <c r="CG1424" s="167"/>
      <c r="CH1424" s="168"/>
      <c r="CI1424" s="101"/>
      <c r="CJ1424" s="101"/>
      <c r="CK1424" s="165"/>
    </row>
    <row r="1425" spans="1:89">
      <c r="A1425" s="166"/>
      <c r="B1425" s="101"/>
      <c r="C1425" s="100"/>
      <c r="D1425" s="167"/>
      <c r="E1425" s="167"/>
      <c r="F1425" s="167"/>
      <c r="G1425" s="167"/>
      <c r="H1425" s="168"/>
      <c r="I1425" s="101"/>
      <c r="J1425" s="101"/>
      <c r="K1425" s="165"/>
      <c r="CA1425" s="166"/>
      <c r="CB1425" s="101"/>
      <c r="CC1425" s="100"/>
      <c r="CD1425" s="167"/>
      <c r="CE1425" s="167"/>
      <c r="CF1425" s="167"/>
      <c r="CG1425" s="167"/>
      <c r="CH1425" s="168"/>
      <c r="CI1425" s="101"/>
      <c r="CJ1425" s="101"/>
      <c r="CK1425" s="165"/>
    </row>
    <row r="1426" spans="1:89">
      <c r="A1426" s="166"/>
      <c r="B1426" s="101"/>
      <c r="C1426" s="100"/>
      <c r="D1426" s="167"/>
      <c r="E1426" s="167"/>
      <c r="F1426" s="167"/>
      <c r="G1426" s="167"/>
      <c r="H1426" s="168"/>
      <c r="I1426" s="101"/>
      <c r="J1426" s="101"/>
      <c r="K1426" s="165"/>
      <c r="CA1426" s="166"/>
      <c r="CB1426" s="101"/>
      <c r="CC1426" s="100"/>
      <c r="CD1426" s="167"/>
      <c r="CE1426" s="167"/>
      <c r="CF1426" s="167"/>
      <c r="CG1426" s="167"/>
      <c r="CH1426" s="168"/>
      <c r="CI1426" s="101"/>
      <c r="CJ1426" s="101"/>
      <c r="CK1426" s="165"/>
    </row>
    <row r="1427" spans="1:89">
      <c r="A1427" s="166"/>
      <c r="B1427" s="101"/>
      <c r="C1427" s="100"/>
      <c r="D1427" s="167"/>
      <c r="E1427" s="167"/>
      <c r="F1427" s="167"/>
      <c r="G1427" s="167"/>
      <c r="H1427" s="168"/>
      <c r="I1427" s="101"/>
      <c r="J1427" s="101"/>
      <c r="K1427" s="165"/>
      <c r="CA1427" s="166"/>
      <c r="CB1427" s="101"/>
      <c r="CC1427" s="100"/>
      <c r="CD1427" s="167"/>
      <c r="CE1427" s="167"/>
      <c r="CF1427" s="167"/>
      <c r="CG1427" s="167"/>
      <c r="CH1427" s="168"/>
      <c r="CI1427" s="101"/>
      <c r="CJ1427" s="101"/>
      <c r="CK1427" s="165"/>
    </row>
    <row r="1428" spans="1:89">
      <c r="A1428" s="166"/>
      <c r="B1428" s="101"/>
      <c r="C1428" s="100"/>
      <c r="D1428" s="167"/>
      <c r="E1428" s="167"/>
      <c r="F1428" s="167"/>
      <c r="G1428" s="167"/>
      <c r="H1428" s="168"/>
      <c r="I1428" s="101"/>
      <c r="J1428" s="101"/>
      <c r="K1428" s="165"/>
      <c r="CA1428" s="166"/>
      <c r="CB1428" s="101"/>
      <c r="CC1428" s="100"/>
      <c r="CD1428" s="167"/>
      <c r="CE1428" s="167"/>
      <c r="CF1428" s="167"/>
      <c r="CG1428" s="167"/>
      <c r="CH1428" s="168"/>
      <c r="CI1428" s="101"/>
      <c r="CJ1428" s="101"/>
      <c r="CK1428" s="165"/>
    </row>
    <row r="1429" spans="1:89">
      <c r="A1429" s="166"/>
      <c r="B1429" s="101"/>
      <c r="C1429" s="100"/>
      <c r="D1429" s="167"/>
      <c r="E1429" s="167"/>
      <c r="F1429" s="167"/>
      <c r="G1429" s="167"/>
      <c r="H1429" s="168"/>
      <c r="I1429" s="101"/>
      <c r="J1429" s="101"/>
      <c r="K1429" s="165"/>
      <c r="CA1429" s="166"/>
      <c r="CB1429" s="101"/>
      <c r="CC1429" s="100"/>
      <c r="CD1429" s="167"/>
      <c r="CE1429" s="167"/>
      <c r="CF1429" s="167"/>
      <c r="CG1429" s="167"/>
      <c r="CH1429" s="168"/>
      <c r="CI1429" s="101"/>
      <c r="CJ1429" s="101"/>
      <c r="CK1429" s="165"/>
    </row>
    <row r="1430" spans="1:89">
      <c r="A1430" s="166"/>
      <c r="B1430" s="101"/>
      <c r="C1430" s="100"/>
      <c r="D1430" s="167"/>
      <c r="E1430" s="167"/>
      <c r="F1430" s="167"/>
      <c r="G1430" s="167"/>
      <c r="H1430" s="168"/>
      <c r="I1430" s="101"/>
      <c r="J1430" s="101"/>
      <c r="K1430" s="165"/>
      <c r="CA1430" s="166"/>
      <c r="CB1430" s="101"/>
      <c r="CC1430" s="100"/>
      <c r="CD1430" s="167"/>
      <c r="CE1430" s="167"/>
      <c r="CF1430" s="167"/>
      <c r="CG1430" s="167"/>
      <c r="CH1430" s="168"/>
      <c r="CI1430" s="101"/>
      <c r="CJ1430" s="101"/>
      <c r="CK1430" s="165"/>
    </row>
    <row r="1431" spans="1:89">
      <c r="A1431" s="166"/>
      <c r="B1431" s="101"/>
      <c r="C1431" s="100"/>
      <c r="D1431" s="167"/>
      <c r="E1431" s="167"/>
      <c r="F1431" s="167"/>
      <c r="G1431" s="167"/>
      <c r="H1431" s="168"/>
      <c r="I1431" s="101"/>
      <c r="J1431" s="101"/>
      <c r="K1431" s="165"/>
      <c r="CA1431" s="166"/>
      <c r="CB1431" s="101"/>
      <c r="CC1431" s="100"/>
      <c r="CD1431" s="167"/>
      <c r="CE1431" s="167"/>
      <c r="CF1431" s="167"/>
      <c r="CG1431" s="167"/>
      <c r="CH1431" s="168"/>
      <c r="CI1431" s="101"/>
      <c r="CJ1431" s="101"/>
      <c r="CK1431" s="165"/>
    </row>
    <row r="1432" spans="1:89">
      <c r="A1432" s="181"/>
      <c r="B1432" s="103"/>
      <c r="C1432" s="100"/>
      <c r="D1432" s="100"/>
      <c r="E1432" s="100"/>
      <c r="F1432" s="100"/>
      <c r="G1432" s="100"/>
      <c r="H1432" s="177"/>
      <c r="I1432" s="103"/>
      <c r="J1432" s="103"/>
      <c r="K1432" s="182"/>
      <c r="CA1432" s="181"/>
      <c r="CB1432" s="103"/>
      <c r="CC1432" s="100"/>
      <c r="CD1432" s="100"/>
      <c r="CE1432" s="100"/>
      <c r="CF1432" s="100"/>
      <c r="CG1432" s="100"/>
      <c r="CH1432" s="177"/>
      <c r="CI1432" s="103"/>
      <c r="CJ1432" s="103"/>
      <c r="CK1432" s="182"/>
    </row>
    <row r="1433" spans="1:89">
      <c r="A1433" s="179" t="s">
        <v>5212</v>
      </c>
      <c r="B1433" s="102"/>
      <c r="C1433" s="175" t="s">
        <v>5018</v>
      </c>
      <c r="D1433" s="175" t="s">
        <v>5701</v>
      </c>
      <c r="E1433" s="175" t="s">
        <v>5019</v>
      </c>
      <c r="F1433" s="175" t="s">
        <v>5020</v>
      </c>
      <c r="G1433" s="175" t="s">
        <v>5021</v>
      </c>
      <c r="H1433" s="175" t="s">
        <v>5022</v>
      </c>
      <c r="I1433" s="176" t="s">
        <v>5316</v>
      </c>
      <c r="J1433" s="176"/>
      <c r="K1433" s="180"/>
      <c r="CA1433" s="179" t="s">
        <v>5212</v>
      </c>
      <c r="CB1433" s="102"/>
      <c r="CC1433" s="175" t="s">
        <v>5018</v>
      </c>
      <c r="CD1433" s="175" t="s">
        <v>5701</v>
      </c>
      <c r="CE1433" s="175" t="s">
        <v>5019</v>
      </c>
      <c r="CF1433" s="175" t="s">
        <v>5020</v>
      </c>
      <c r="CG1433" s="175" t="s">
        <v>5021</v>
      </c>
      <c r="CH1433" s="175" t="s">
        <v>5022</v>
      </c>
      <c r="CI1433" s="176" t="s">
        <v>5316</v>
      </c>
      <c r="CJ1433" s="176"/>
      <c r="CK1433" s="180"/>
    </row>
    <row r="1434" spans="1:89">
      <c r="A1434" s="166"/>
      <c r="B1434" s="101"/>
      <c r="C1434" s="100"/>
      <c r="D1434" s="167"/>
      <c r="E1434" s="167"/>
      <c r="F1434" s="167"/>
      <c r="G1434" s="167"/>
      <c r="H1434" s="168"/>
      <c r="I1434" s="101"/>
      <c r="J1434" s="101"/>
      <c r="K1434" s="165"/>
      <c r="CA1434" s="166"/>
      <c r="CB1434" s="101"/>
      <c r="CC1434" s="100"/>
      <c r="CD1434" s="167"/>
      <c r="CE1434" s="167"/>
      <c r="CF1434" s="167"/>
      <c r="CG1434" s="167"/>
      <c r="CH1434" s="168"/>
      <c r="CI1434" s="101"/>
      <c r="CJ1434" s="101"/>
      <c r="CK1434" s="165"/>
    </row>
    <row r="1435" spans="1:89">
      <c r="A1435" s="166"/>
      <c r="B1435" s="101"/>
      <c r="C1435" s="100"/>
      <c r="D1435" s="167"/>
      <c r="E1435" s="167"/>
      <c r="F1435" s="167"/>
      <c r="G1435" s="167"/>
      <c r="H1435" s="168"/>
      <c r="I1435" s="101"/>
      <c r="J1435" s="101"/>
      <c r="K1435" s="165"/>
      <c r="CA1435" s="166"/>
      <c r="CB1435" s="101"/>
      <c r="CC1435" s="100"/>
      <c r="CD1435" s="167"/>
      <c r="CE1435" s="167"/>
      <c r="CF1435" s="167"/>
      <c r="CG1435" s="167"/>
      <c r="CH1435" s="168"/>
      <c r="CI1435" s="101"/>
      <c r="CJ1435" s="101"/>
      <c r="CK1435" s="165"/>
    </row>
    <row r="1436" spans="1:89">
      <c r="A1436" s="166"/>
      <c r="B1436" s="101"/>
      <c r="C1436" s="100"/>
      <c r="D1436" s="167"/>
      <c r="E1436" s="167"/>
      <c r="F1436" s="167"/>
      <c r="G1436" s="167"/>
      <c r="H1436" s="168"/>
      <c r="I1436" s="101"/>
      <c r="J1436" s="101"/>
      <c r="K1436" s="165"/>
      <c r="CA1436" s="166"/>
      <c r="CB1436" s="101"/>
      <c r="CC1436" s="100"/>
      <c r="CD1436" s="167"/>
      <c r="CE1436" s="167"/>
      <c r="CF1436" s="167"/>
      <c r="CG1436" s="167"/>
      <c r="CH1436" s="168"/>
      <c r="CI1436" s="101"/>
      <c r="CJ1436" s="101"/>
      <c r="CK1436" s="165"/>
    </row>
    <row r="1437" spans="1:89">
      <c r="A1437" s="166"/>
      <c r="B1437" s="101"/>
      <c r="C1437" s="100"/>
      <c r="D1437" s="167"/>
      <c r="E1437" s="167"/>
      <c r="F1437" s="167"/>
      <c r="G1437" s="167"/>
      <c r="H1437" s="168"/>
      <c r="I1437" s="101"/>
      <c r="J1437" s="101"/>
      <c r="K1437" s="165"/>
      <c r="CA1437" s="166"/>
      <c r="CB1437" s="101"/>
      <c r="CC1437" s="100"/>
      <c r="CD1437" s="167"/>
      <c r="CE1437" s="167"/>
      <c r="CF1437" s="167"/>
      <c r="CG1437" s="167"/>
      <c r="CH1437" s="168"/>
      <c r="CI1437" s="101"/>
      <c r="CJ1437" s="101"/>
      <c r="CK1437" s="165"/>
    </row>
    <row r="1438" spans="1:89">
      <c r="A1438" s="166"/>
      <c r="B1438" s="101"/>
      <c r="C1438" s="100"/>
      <c r="D1438" s="167"/>
      <c r="E1438" s="167"/>
      <c r="F1438" s="167"/>
      <c r="G1438" s="167"/>
      <c r="H1438" s="168"/>
      <c r="I1438" s="101"/>
      <c r="J1438" s="101"/>
      <c r="K1438" s="165"/>
      <c r="CA1438" s="166"/>
      <c r="CB1438" s="101"/>
      <c r="CC1438" s="100"/>
      <c r="CD1438" s="167"/>
      <c r="CE1438" s="167"/>
      <c r="CF1438" s="167"/>
      <c r="CG1438" s="167"/>
      <c r="CH1438" s="168"/>
      <c r="CI1438" s="101"/>
      <c r="CJ1438" s="101"/>
      <c r="CK1438" s="165"/>
    </row>
    <row r="1439" spans="1:89">
      <c r="A1439" s="166"/>
      <c r="B1439" s="101"/>
      <c r="C1439" s="100"/>
      <c r="D1439" s="167"/>
      <c r="E1439" s="167"/>
      <c r="F1439" s="167"/>
      <c r="G1439" s="167"/>
      <c r="H1439" s="168"/>
      <c r="I1439" s="101"/>
      <c r="J1439" s="101"/>
      <c r="K1439" s="165"/>
      <c r="CA1439" s="166"/>
      <c r="CB1439" s="101"/>
      <c r="CC1439" s="100"/>
      <c r="CD1439" s="167"/>
      <c r="CE1439" s="167"/>
      <c r="CF1439" s="167"/>
      <c r="CG1439" s="167"/>
      <c r="CH1439" s="168"/>
      <c r="CI1439" s="101"/>
      <c r="CJ1439" s="101"/>
      <c r="CK1439" s="165"/>
    </row>
    <row r="1440" spans="1:89">
      <c r="A1440" s="166"/>
      <c r="B1440" s="101"/>
      <c r="C1440" s="100"/>
      <c r="D1440" s="167"/>
      <c r="E1440" s="167"/>
      <c r="F1440" s="167"/>
      <c r="G1440" s="167"/>
      <c r="H1440" s="168"/>
      <c r="I1440" s="101"/>
      <c r="J1440" s="101"/>
      <c r="K1440" s="165"/>
      <c r="CA1440" s="166"/>
      <c r="CB1440" s="101"/>
      <c r="CC1440" s="100"/>
      <c r="CD1440" s="167"/>
      <c r="CE1440" s="167"/>
      <c r="CF1440" s="167"/>
      <c r="CG1440" s="167"/>
      <c r="CH1440" s="168"/>
      <c r="CI1440" s="101"/>
      <c r="CJ1440" s="101"/>
      <c r="CK1440" s="165"/>
    </row>
    <row r="1441" spans="1:89">
      <c r="A1441" s="166"/>
      <c r="B1441" s="101"/>
      <c r="C1441" s="100"/>
      <c r="D1441" s="167"/>
      <c r="E1441" s="167"/>
      <c r="F1441" s="167"/>
      <c r="G1441" s="167"/>
      <c r="H1441" s="168"/>
      <c r="I1441" s="101"/>
      <c r="J1441" s="101"/>
      <c r="K1441" s="165"/>
      <c r="CA1441" s="166"/>
      <c r="CB1441" s="101"/>
      <c r="CC1441" s="100"/>
      <c r="CD1441" s="167"/>
      <c r="CE1441" s="167"/>
      <c r="CF1441" s="167"/>
      <c r="CG1441" s="167"/>
      <c r="CH1441" s="168"/>
      <c r="CI1441" s="101"/>
      <c r="CJ1441" s="101"/>
      <c r="CK1441" s="165"/>
    </row>
    <row r="1442" spans="1:89">
      <c r="A1442" s="166"/>
      <c r="B1442" s="101"/>
      <c r="C1442" s="100"/>
      <c r="D1442" s="167"/>
      <c r="E1442" s="167"/>
      <c r="F1442" s="167"/>
      <c r="G1442" s="167"/>
      <c r="H1442" s="168"/>
      <c r="I1442" s="101"/>
      <c r="J1442" s="101"/>
      <c r="K1442" s="165"/>
      <c r="CA1442" s="166"/>
      <c r="CB1442" s="101"/>
      <c r="CC1442" s="100"/>
      <c r="CD1442" s="167"/>
      <c r="CE1442" s="167"/>
      <c r="CF1442" s="167"/>
      <c r="CG1442" s="167"/>
      <c r="CH1442" s="168"/>
      <c r="CI1442" s="101"/>
      <c r="CJ1442" s="101"/>
      <c r="CK1442" s="165"/>
    </row>
    <row r="1443" spans="1:89">
      <c r="A1443" s="166"/>
      <c r="B1443" s="101"/>
      <c r="C1443" s="100"/>
      <c r="D1443" s="167"/>
      <c r="E1443" s="167"/>
      <c r="F1443" s="167"/>
      <c r="G1443" s="167"/>
      <c r="H1443" s="168"/>
      <c r="I1443" s="101"/>
      <c r="J1443" s="101"/>
      <c r="K1443" s="165"/>
      <c r="CA1443" s="166"/>
      <c r="CB1443" s="101"/>
      <c r="CC1443" s="100"/>
      <c r="CD1443" s="167"/>
      <c r="CE1443" s="167"/>
      <c r="CF1443" s="167"/>
      <c r="CG1443" s="167"/>
      <c r="CH1443" s="168"/>
      <c r="CI1443" s="101"/>
      <c r="CJ1443" s="101"/>
      <c r="CK1443" s="165"/>
    </row>
    <row r="1444" spans="1:89">
      <c r="A1444" s="166"/>
      <c r="B1444" s="101"/>
      <c r="C1444" s="100"/>
      <c r="D1444" s="167"/>
      <c r="E1444" s="167"/>
      <c r="F1444" s="167"/>
      <c r="G1444" s="167"/>
      <c r="H1444" s="168"/>
      <c r="I1444" s="101"/>
      <c r="J1444" s="101"/>
      <c r="K1444" s="165"/>
      <c r="CA1444" s="166"/>
      <c r="CB1444" s="101"/>
      <c r="CC1444" s="100"/>
      <c r="CD1444" s="167"/>
      <c r="CE1444" s="167"/>
      <c r="CF1444" s="167"/>
      <c r="CG1444" s="167"/>
      <c r="CH1444" s="168"/>
      <c r="CI1444" s="101"/>
      <c r="CJ1444" s="101"/>
      <c r="CK1444" s="165"/>
    </row>
    <row r="1445" spans="1:89">
      <c r="A1445" s="181"/>
      <c r="B1445" s="103"/>
      <c r="C1445" s="100"/>
      <c r="D1445" s="100"/>
      <c r="E1445" s="100"/>
      <c r="F1445" s="100"/>
      <c r="G1445" s="100"/>
      <c r="H1445" s="177"/>
      <c r="I1445" s="103"/>
      <c r="J1445" s="103"/>
      <c r="K1445" s="182"/>
      <c r="CA1445" s="181"/>
      <c r="CB1445" s="103"/>
      <c r="CC1445" s="100"/>
      <c r="CD1445" s="100"/>
      <c r="CE1445" s="100"/>
      <c r="CF1445" s="100"/>
      <c r="CG1445" s="100"/>
      <c r="CH1445" s="177"/>
      <c r="CI1445" s="103"/>
      <c r="CJ1445" s="103"/>
      <c r="CK1445" s="182"/>
    </row>
    <row r="1446" spans="1:89">
      <c r="A1446" s="179" t="s">
        <v>5213</v>
      </c>
      <c r="B1446" s="102"/>
      <c r="C1446" s="175" t="s">
        <v>5018</v>
      </c>
      <c r="D1446" s="175" t="s">
        <v>5701</v>
      </c>
      <c r="E1446" s="175" t="s">
        <v>5019</v>
      </c>
      <c r="F1446" s="175" t="s">
        <v>5020</v>
      </c>
      <c r="G1446" s="175" t="s">
        <v>5021</v>
      </c>
      <c r="H1446" s="175" t="s">
        <v>5022</v>
      </c>
      <c r="I1446" s="176" t="s">
        <v>5316</v>
      </c>
      <c r="J1446" s="176"/>
      <c r="K1446" s="180"/>
      <c r="CA1446" s="179" t="s">
        <v>5213</v>
      </c>
      <c r="CB1446" s="102"/>
      <c r="CC1446" s="175" t="s">
        <v>5018</v>
      </c>
      <c r="CD1446" s="175" t="s">
        <v>5701</v>
      </c>
      <c r="CE1446" s="175" t="s">
        <v>5019</v>
      </c>
      <c r="CF1446" s="175" t="s">
        <v>5020</v>
      </c>
      <c r="CG1446" s="175" t="s">
        <v>5021</v>
      </c>
      <c r="CH1446" s="175" t="s">
        <v>5022</v>
      </c>
      <c r="CI1446" s="176" t="s">
        <v>5316</v>
      </c>
      <c r="CJ1446" s="176"/>
      <c r="CK1446" s="180"/>
    </row>
    <row r="1447" spans="1:89">
      <c r="A1447" s="166"/>
      <c r="B1447" s="101"/>
      <c r="C1447" s="100"/>
      <c r="D1447" s="167"/>
      <c r="E1447" s="167"/>
      <c r="F1447" s="167"/>
      <c r="G1447" s="167"/>
      <c r="H1447" s="168"/>
      <c r="I1447" s="101"/>
      <c r="J1447" s="101"/>
      <c r="K1447" s="165"/>
      <c r="CA1447" s="166"/>
      <c r="CB1447" s="101"/>
      <c r="CC1447" s="100"/>
      <c r="CD1447" s="167"/>
      <c r="CE1447" s="167"/>
      <c r="CF1447" s="167"/>
      <c r="CG1447" s="167"/>
      <c r="CH1447" s="168"/>
      <c r="CI1447" s="101"/>
      <c r="CJ1447" s="101"/>
      <c r="CK1447" s="165"/>
    </row>
    <row r="1448" spans="1:89">
      <c r="A1448" s="166"/>
      <c r="B1448" s="101"/>
      <c r="C1448" s="100"/>
      <c r="D1448" s="167"/>
      <c r="E1448" s="167"/>
      <c r="F1448" s="167"/>
      <c r="G1448" s="167"/>
      <c r="H1448" s="168"/>
      <c r="I1448" s="101"/>
      <c r="J1448" s="101"/>
      <c r="K1448" s="165"/>
      <c r="CA1448" s="166"/>
      <c r="CB1448" s="101"/>
      <c r="CC1448" s="100"/>
      <c r="CD1448" s="167"/>
      <c r="CE1448" s="167"/>
      <c r="CF1448" s="167"/>
      <c r="CG1448" s="167"/>
      <c r="CH1448" s="168"/>
      <c r="CI1448" s="101"/>
      <c r="CJ1448" s="101"/>
      <c r="CK1448" s="165"/>
    </row>
    <row r="1449" spans="1:89">
      <c r="A1449" s="166"/>
      <c r="B1449" s="101"/>
      <c r="C1449" s="100"/>
      <c r="D1449" s="167"/>
      <c r="E1449" s="167"/>
      <c r="F1449" s="167"/>
      <c r="G1449" s="167"/>
      <c r="H1449" s="168"/>
      <c r="I1449" s="101"/>
      <c r="J1449" s="101"/>
      <c r="K1449" s="165"/>
      <c r="CA1449" s="166"/>
      <c r="CB1449" s="101"/>
      <c r="CC1449" s="100"/>
      <c r="CD1449" s="167"/>
      <c r="CE1449" s="167"/>
      <c r="CF1449" s="167"/>
      <c r="CG1449" s="167"/>
      <c r="CH1449" s="168"/>
      <c r="CI1449" s="101"/>
      <c r="CJ1449" s="101"/>
      <c r="CK1449" s="165"/>
    </row>
    <row r="1450" spans="1:89">
      <c r="A1450" s="166"/>
      <c r="B1450" s="101"/>
      <c r="C1450" s="100"/>
      <c r="D1450" s="167"/>
      <c r="E1450" s="167"/>
      <c r="F1450" s="167"/>
      <c r="G1450" s="167"/>
      <c r="H1450" s="168"/>
      <c r="I1450" s="101"/>
      <c r="J1450" s="101"/>
      <c r="K1450" s="165"/>
      <c r="CA1450" s="166"/>
      <c r="CB1450" s="101"/>
      <c r="CC1450" s="100"/>
      <c r="CD1450" s="167"/>
      <c r="CE1450" s="167"/>
      <c r="CF1450" s="167"/>
      <c r="CG1450" s="167"/>
      <c r="CH1450" s="168"/>
      <c r="CI1450" s="101"/>
      <c r="CJ1450" s="101"/>
      <c r="CK1450" s="165"/>
    </row>
    <row r="1451" spans="1:89">
      <c r="A1451" s="166"/>
      <c r="B1451" s="101"/>
      <c r="C1451" s="100"/>
      <c r="D1451" s="167"/>
      <c r="E1451" s="167"/>
      <c r="F1451" s="167"/>
      <c r="G1451" s="167"/>
      <c r="H1451" s="168"/>
      <c r="I1451" s="101"/>
      <c r="J1451" s="101"/>
      <c r="K1451" s="165"/>
      <c r="CA1451" s="166"/>
      <c r="CB1451" s="101"/>
      <c r="CC1451" s="100"/>
      <c r="CD1451" s="167"/>
      <c r="CE1451" s="167"/>
      <c r="CF1451" s="167"/>
      <c r="CG1451" s="167"/>
      <c r="CH1451" s="168"/>
      <c r="CI1451" s="101"/>
      <c r="CJ1451" s="101"/>
      <c r="CK1451" s="165"/>
    </row>
    <row r="1452" spans="1:89">
      <c r="A1452" s="166"/>
      <c r="B1452" s="101"/>
      <c r="C1452" s="100"/>
      <c r="D1452" s="167"/>
      <c r="E1452" s="167"/>
      <c r="F1452" s="167"/>
      <c r="G1452" s="167"/>
      <c r="H1452" s="168"/>
      <c r="I1452" s="101"/>
      <c r="J1452" s="101"/>
      <c r="K1452" s="165"/>
      <c r="CA1452" s="166"/>
      <c r="CB1452" s="101"/>
      <c r="CC1452" s="100"/>
      <c r="CD1452" s="167"/>
      <c r="CE1452" s="167"/>
      <c r="CF1452" s="167"/>
      <c r="CG1452" s="167"/>
      <c r="CH1452" s="168"/>
      <c r="CI1452" s="101"/>
      <c r="CJ1452" s="101"/>
      <c r="CK1452" s="165"/>
    </row>
    <row r="1453" spans="1:89">
      <c r="A1453" s="166"/>
      <c r="B1453" s="101"/>
      <c r="C1453" s="100"/>
      <c r="D1453" s="167"/>
      <c r="E1453" s="167"/>
      <c r="F1453" s="167"/>
      <c r="G1453" s="167"/>
      <c r="H1453" s="168"/>
      <c r="I1453" s="101"/>
      <c r="J1453" s="101"/>
      <c r="K1453" s="165"/>
      <c r="CA1453" s="166"/>
      <c r="CB1453" s="101"/>
      <c r="CC1453" s="100"/>
      <c r="CD1453" s="167"/>
      <c r="CE1453" s="167"/>
      <c r="CF1453" s="167"/>
      <c r="CG1453" s="167"/>
      <c r="CH1453" s="168"/>
      <c r="CI1453" s="101"/>
      <c r="CJ1453" s="101"/>
      <c r="CK1453" s="165"/>
    </row>
    <row r="1454" spans="1:89">
      <c r="A1454" s="166"/>
      <c r="B1454" s="101"/>
      <c r="C1454" s="100"/>
      <c r="D1454" s="167"/>
      <c r="E1454" s="167"/>
      <c r="F1454" s="167"/>
      <c r="G1454" s="167"/>
      <c r="H1454" s="168"/>
      <c r="I1454" s="101"/>
      <c r="J1454" s="101"/>
      <c r="K1454" s="165"/>
      <c r="CA1454" s="166"/>
      <c r="CB1454" s="101"/>
      <c r="CC1454" s="100"/>
      <c r="CD1454" s="167"/>
      <c r="CE1454" s="167"/>
      <c r="CF1454" s="167"/>
      <c r="CG1454" s="167"/>
      <c r="CH1454" s="168"/>
      <c r="CI1454" s="101"/>
      <c r="CJ1454" s="101"/>
      <c r="CK1454" s="165"/>
    </row>
    <row r="1455" spans="1:89">
      <c r="A1455" s="166"/>
      <c r="B1455" s="101"/>
      <c r="C1455" s="100"/>
      <c r="D1455" s="167"/>
      <c r="E1455" s="167"/>
      <c r="F1455" s="167"/>
      <c r="G1455" s="167"/>
      <c r="H1455" s="168"/>
      <c r="I1455" s="101"/>
      <c r="J1455" s="101"/>
      <c r="K1455" s="165"/>
      <c r="CA1455" s="166"/>
      <c r="CB1455" s="101"/>
      <c r="CC1455" s="100"/>
      <c r="CD1455" s="167"/>
      <c r="CE1455" s="167"/>
      <c r="CF1455" s="167"/>
      <c r="CG1455" s="167"/>
      <c r="CH1455" s="168"/>
      <c r="CI1455" s="101"/>
      <c r="CJ1455" s="101"/>
      <c r="CK1455" s="165"/>
    </row>
    <row r="1456" spans="1:89">
      <c r="A1456" s="166"/>
      <c r="B1456" s="101"/>
      <c r="C1456" s="100"/>
      <c r="D1456" s="167"/>
      <c r="E1456" s="167"/>
      <c r="F1456" s="167"/>
      <c r="G1456" s="167"/>
      <c r="H1456" s="168"/>
      <c r="I1456" s="101"/>
      <c r="J1456" s="101"/>
      <c r="K1456" s="165"/>
      <c r="CA1456" s="166"/>
      <c r="CB1456" s="101"/>
      <c r="CC1456" s="100"/>
      <c r="CD1456" s="167"/>
      <c r="CE1456" s="167"/>
      <c r="CF1456" s="167"/>
      <c r="CG1456" s="167"/>
      <c r="CH1456" s="168"/>
      <c r="CI1456" s="101"/>
      <c r="CJ1456" s="101"/>
      <c r="CK1456" s="165"/>
    </row>
    <row r="1457" spans="1:89">
      <c r="A1457" s="181"/>
      <c r="B1457" s="103"/>
      <c r="C1457" s="100"/>
      <c r="D1457" s="100"/>
      <c r="E1457" s="100"/>
      <c r="F1457" s="100"/>
      <c r="G1457" s="100"/>
      <c r="H1457" s="177"/>
      <c r="I1457" s="103"/>
      <c r="J1457" s="103"/>
      <c r="K1457" s="182"/>
      <c r="CA1457" s="181"/>
      <c r="CB1457" s="103"/>
      <c r="CC1457" s="100"/>
      <c r="CD1457" s="100"/>
      <c r="CE1457" s="100"/>
      <c r="CF1457" s="100"/>
      <c r="CG1457" s="100"/>
      <c r="CH1457" s="177"/>
      <c r="CI1457" s="103"/>
      <c r="CJ1457" s="103"/>
      <c r="CK1457" s="182"/>
    </row>
    <row r="1458" spans="1:89">
      <c r="A1458" s="179" t="s">
        <v>5214</v>
      </c>
      <c r="B1458" s="102"/>
      <c r="C1458" s="175" t="s">
        <v>5018</v>
      </c>
      <c r="D1458" s="175" t="s">
        <v>5701</v>
      </c>
      <c r="E1458" s="175" t="s">
        <v>5019</v>
      </c>
      <c r="F1458" s="175" t="s">
        <v>5020</v>
      </c>
      <c r="G1458" s="175" t="s">
        <v>5021</v>
      </c>
      <c r="H1458" s="175" t="s">
        <v>5022</v>
      </c>
      <c r="I1458" s="176" t="s">
        <v>5316</v>
      </c>
      <c r="J1458" s="176"/>
      <c r="K1458" s="180"/>
      <c r="CA1458" s="179" t="s">
        <v>5214</v>
      </c>
      <c r="CB1458" s="102"/>
      <c r="CC1458" s="175" t="s">
        <v>5018</v>
      </c>
      <c r="CD1458" s="175" t="s">
        <v>5701</v>
      </c>
      <c r="CE1458" s="175" t="s">
        <v>5019</v>
      </c>
      <c r="CF1458" s="175" t="s">
        <v>5020</v>
      </c>
      <c r="CG1458" s="175" t="s">
        <v>5021</v>
      </c>
      <c r="CH1458" s="175" t="s">
        <v>5022</v>
      </c>
      <c r="CI1458" s="176" t="s">
        <v>5316</v>
      </c>
      <c r="CJ1458" s="176"/>
      <c r="CK1458" s="180"/>
    </row>
    <row r="1459" spans="1:89">
      <c r="A1459" s="166"/>
      <c r="B1459" s="101"/>
      <c r="C1459" s="100"/>
      <c r="D1459" s="167"/>
      <c r="E1459" s="167"/>
      <c r="F1459" s="167"/>
      <c r="G1459" s="167"/>
      <c r="H1459" s="168"/>
      <c r="I1459" s="101"/>
      <c r="J1459" s="101"/>
      <c r="K1459" s="165"/>
      <c r="CA1459" s="166"/>
      <c r="CB1459" s="101"/>
      <c r="CC1459" s="100"/>
      <c r="CD1459" s="167"/>
      <c r="CE1459" s="167"/>
      <c r="CF1459" s="167"/>
      <c r="CG1459" s="167"/>
      <c r="CH1459" s="168"/>
      <c r="CI1459" s="101"/>
      <c r="CJ1459" s="101"/>
      <c r="CK1459" s="165"/>
    </row>
    <row r="1460" spans="1:89">
      <c r="A1460" s="166"/>
      <c r="B1460" s="101"/>
      <c r="C1460" s="100"/>
      <c r="D1460" s="167"/>
      <c r="E1460" s="167"/>
      <c r="F1460" s="167"/>
      <c r="G1460" s="167"/>
      <c r="H1460" s="168"/>
      <c r="I1460" s="101"/>
      <c r="J1460" s="101"/>
      <c r="K1460" s="165"/>
      <c r="CA1460" s="166"/>
      <c r="CB1460" s="101"/>
      <c r="CC1460" s="100"/>
      <c r="CD1460" s="167"/>
      <c r="CE1460" s="167"/>
      <c r="CF1460" s="167"/>
      <c r="CG1460" s="167"/>
      <c r="CH1460" s="168"/>
      <c r="CI1460" s="101"/>
      <c r="CJ1460" s="101"/>
      <c r="CK1460" s="165"/>
    </row>
    <row r="1461" spans="1:89">
      <c r="A1461" s="166"/>
      <c r="B1461" s="101"/>
      <c r="C1461" s="100"/>
      <c r="D1461" s="167"/>
      <c r="E1461" s="167"/>
      <c r="F1461" s="167"/>
      <c r="G1461" s="167"/>
      <c r="H1461" s="168"/>
      <c r="I1461" s="101"/>
      <c r="J1461" s="101"/>
      <c r="K1461" s="165"/>
      <c r="CA1461" s="166"/>
      <c r="CB1461" s="101"/>
      <c r="CC1461" s="100"/>
      <c r="CD1461" s="167"/>
      <c r="CE1461" s="167"/>
      <c r="CF1461" s="167"/>
      <c r="CG1461" s="167"/>
      <c r="CH1461" s="168"/>
      <c r="CI1461" s="101"/>
      <c r="CJ1461" s="101"/>
      <c r="CK1461" s="165"/>
    </row>
    <row r="1462" spans="1:89">
      <c r="A1462" s="166"/>
      <c r="B1462" s="101"/>
      <c r="C1462" s="100"/>
      <c r="D1462" s="167"/>
      <c r="E1462" s="167"/>
      <c r="F1462" s="167"/>
      <c r="G1462" s="167"/>
      <c r="H1462" s="168"/>
      <c r="I1462" s="101"/>
      <c r="J1462" s="101"/>
      <c r="K1462" s="165"/>
      <c r="CA1462" s="166"/>
      <c r="CB1462" s="101"/>
      <c r="CC1462" s="100"/>
      <c r="CD1462" s="167"/>
      <c r="CE1462" s="167"/>
      <c r="CF1462" s="167"/>
      <c r="CG1462" s="167"/>
      <c r="CH1462" s="168"/>
      <c r="CI1462" s="101"/>
      <c r="CJ1462" s="101"/>
      <c r="CK1462" s="165"/>
    </row>
    <row r="1463" spans="1:89">
      <c r="A1463" s="166"/>
      <c r="B1463" s="101"/>
      <c r="C1463" s="100"/>
      <c r="D1463" s="167"/>
      <c r="E1463" s="167"/>
      <c r="F1463" s="167"/>
      <c r="G1463" s="167"/>
      <c r="H1463" s="168"/>
      <c r="I1463" s="101"/>
      <c r="J1463" s="101"/>
      <c r="K1463" s="165"/>
      <c r="CA1463" s="166"/>
      <c r="CB1463" s="101"/>
      <c r="CC1463" s="100"/>
      <c r="CD1463" s="167"/>
      <c r="CE1463" s="167"/>
      <c r="CF1463" s="167"/>
      <c r="CG1463" s="167"/>
      <c r="CH1463" s="168"/>
      <c r="CI1463" s="101"/>
      <c r="CJ1463" s="101"/>
      <c r="CK1463" s="165"/>
    </row>
    <row r="1464" spans="1:89">
      <c r="A1464" s="166"/>
      <c r="B1464" s="101"/>
      <c r="C1464" s="100"/>
      <c r="D1464" s="167"/>
      <c r="E1464" s="167"/>
      <c r="F1464" s="167"/>
      <c r="G1464" s="167"/>
      <c r="H1464" s="168"/>
      <c r="I1464" s="101"/>
      <c r="J1464" s="101"/>
      <c r="K1464" s="165"/>
      <c r="CA1464" s="166"/>
      <c r="CB1464" s="101"/>
      <c r="CC1464" s="100"/>
      <c r="CD1464" s="167"/>
      <c r="CE1464" s="167"/>
      <c r="CF1464" s="167"/>
      <c r="CG1464" s="167"/>
      <c r="CH1464" s="168"/>
      <c r="CI1464" s="101"/>
      <c r="CJ1464" s="101"/>
      <c r="CK1464" s="165"/>
    </row>
    <row r="1465" spans="1:89">
      <c r="A1465" s="166"/>
      <c r="B1465" s="101"/>
      <c r="C1465" s="100"/>
      <c r="D1465" s="167"/>
      <c r="E1465" s="167"/>
      <c r="F1465" s="167"/>
      <c r="G1465" s="167"/>
      <c r="H1465" s="168"/>
      <c r="I1465" s="101"/>
      <c r="J1465" s="101"/>
      <c r="K1465" s="165"/>
      <c r="CA1465" s="166"/>
      <c r="CB1465" s="101"/>
      <c r="CC1465" s="100"/>
      <c r="CD1465" s="167"/>
      <c r="CE1465" s="167"/>
      <c r="CF1465" s="167"/>
      <c r="CG1465" s="167"/>
      <c r="CH1465" s="168"/>
      <c r="CI1465" s="101"/>
      <c r="CJ1465" s="101"/>
      <c r="CK1465" s="165"/>
    </row>
    <row r="1466" spans="1:89">
      <c r="A1466" s="166"/>
      <c r="B1466" s="101"/>
      <c r="C1466" s="100"/>
      <c r="D1466" s="167"/>
      <c r="E1466" s="167"/>
      <c r="F1466" s="167"/>
      <c r="G1466" s="167"/>
      <c r="H1466" s="168"/>
      <c r="I1466" s="101"/>
      <c r="J1466" s="101"/>
      <c r="K1466" s="165"/>
      <c r="CA1466" s="166"/>
      <c r="CB1466" s="101"/>
      <c r="CC1466" s="100"/>
      <c r="CD1466" s="167"/>
      <c r="CE1466" s="167"/>
      <c r="CF1466" s="167"/>
      <c r="CG1466" s="167"/>
      <c r="CH1466" s="168"/>
      <c r="CI1466" s="101"/>
      <c r="CJ1466" s="101"/>
      <c r="CK1466" s="165"/>
    </row>
    <row r="1467" spans="1:89">
      <c r="A1467" s="166"/>
      <c r="B1467" s="101"/>
      <c r="C1467" s="100"/>
      <c r="D1467" s="167"/>
      <c r="E1467" s="167"/>
      <c r="F1467" s="167"/>
      <c r="G1467" s="167"/>
      <c r="H1467" s="168"/>
      <c r="I1467" s="101"/>
      <c r="J1467" s="101"/>
      <c r="K1467" s="165"/>
      <c r="CA1467" s="166"/>
      <c r="CB1467" s="101"/>
      <c r="CC1467" s="100"/>
      <c r="CD1467" s="167"/>
      <c r="CE1467" s="167"/>
      <c r="CF1467" s="167"/>
      <c r="CG1467" s="167"/>
      <c r="CH1467" s="168"/>
      <c r="CI1467" s="101"/>
      <c r="CJ1467" s="101"/>
      <c r="CK1467" s="165"/>
    </row>
    <row r="1468" spans="1:89">
      <c r="A1468" s="166"/>
      <c r="B1468" s="101"/>
      <c r="C1468" s="100"/>
      <c r="D1468" s="167"/>
      <c r="E1468" s="167"/>
      <c r="F1468" s="167"/>
      <c r="G1468" s="167"/>
      <c r="H1468" s="168"/>
      <c r="I1468" s="101"/>
      <c r="J1468" s="101"/>
      <c r="K1468" s="165"/>
      <c r="CA1468" s="166"/>
      <c r="CB1468" s="101"/>
      <c r="CC1468" s="100"/>
      <c r="CD1468" s="167"/>
      <c r="CE1468" s="167"/>
      <c r="CF1468" s="167"/>
      <c r="CG1468" s="167"/>
      <c r="CH1468" s="168"/>
      <c r="CI1468" s="101"/>
      <c r="CJ1468" s="101"/>
      <c r="CK1468" s="165"/>
    </row>
    <row r="1469" spans="1:89">
      <c r="A1469" s="166"/>
      <c r="B1469" s="101"/>
      <c r="C1469" s="100"/>
      <c r="D1469" s="167"/>
      <c r="E1469" s="167"/>
      <c r="F1469" s="167"/>
      <c r="G1469" s="167"/>
      <c r="H1469" s="168"/>
      <c r="I1469" s="101"/>
      <c r="J1469" s="101"/>
      <c r="K1469" s="165"/>
      <c r="CA1469" s="166"/>
      <c r="CB1469" s="101"/>
      <c r="CC1469" s="100"/>
      <c r="CD1469" s="167"/>
      <c r="CE1469" s="167"/>
      <c r="CF1469" s="167"/>
      <c r="CG1469" s="167"/>
      <c r="CH1469" s="168"/>
      <c r="CI1469" s="101"/>
      <c r="CJ1469" s="101"/>
      <c r="CK1469" s="165"/>
    </row>
    <row r="1470" spans="1:89">
      <c r="A1470" s="181"/>
      <c r="B1470" s="103"/>
      <c r="C1470" s="100"/>
      <c r="D1470" s="100"/>
      <c r="E1470" s="100"/>
      <c r="F1470" s="100"/>
      <c r="G1470" s="100"/>
      <c r="H1470" s="177"/>
      <c r="I1470" s="103"/>
      <c r="J1470" s="103"/>
      <c r="K1470" s="182"/>
      <c r="CA1470" s="181"/>
      <c r="CB1470" s="103"/>
      <c r="CC1470" s="100"/>
      <c r="CD1470" s="100"/>
      <c r="CE1470" s="100"/>
      <c r="CF1470" s="100"/>
      <c r="CG1470" s="100"/>
      <c r="CH1470" s="177"/>
      <c r="CI1470" s="103"/>
      <c r="CJ1470" s="103"/>
      <c r="CK1470" s="182"/>
    </row>
    <row r="1471" spans="1:89">
      <c r="A1471" s="179" t="s">
        <v>5215</v>
      </c>
      <c r="B1471" s="102"/>
      <c r="C1471" s="175" t="s">
        <v>5018</v>
      </c>
      <c r="D1471" s="175" t="s">
        <v>5701</v>
      </c>
      <c r="E1471" s="175" t="s">
        <v>5019</v>
      </c>
      <c r="F1471" s="175" t="s">
        <v>5020</v>
      </c>
      <c r="G1471" s="175" t="s">
        <v>5021</v>
      </c>
      <c r="H1471" s="175" t="s">
        <v>5022</v>
      </c>
      <c r="I1471" s="176" t="s">
        <v>5316</v>
      </c>
      <c r="J1471" s="176"/>
      <c r="K1471" s="180"/>
      <c r="CA1471" s="179" t="s">
        <v>5215</v>
      </c>
      <c r="CB1471" s="102"/>
      <c r="CC1471" s="175" t="s">
        <v>5018</v>
      </c>
      <c r="CD1471" s="175" t="s">
        <v>5701</v>
      </c>
      <c r="CE1471" s="175" t="s">
        <v>5019</v>
      </c>
      <c r="CF1471" s="175" t="s">
        <v>5020</v>
      </c>
      <c r="CG1471" s="175" t="s">
        <v>5021</v>
      </c>
      <c r="CH1471" s="175" t="s">
        <v>5022</v>
      </c>
      <c r="CI1471" s="176" t="s">
        <v>5316</v>
      </c>
      <c r="CJ1471" s="176"/>
      <c r="CK1471" s="180"/>
    </row>
    <row r="1472" spans="1:89">
      <c r="A1472" s="166"/>
      <c r="B1472" s="101"/>
      <c r="C1472" s="100"/>
      <c r="D1472" s="167"/>
      <c r="E1472" s="167"/>
      <c r="F1472" s="167"/>
      <c r="G1472" s="167"/>
      <c r="H1472" s="168"/>
      <c r="I1472" s="101"/>
      <c r="J1472" s="101"/>
      <c r="K1472" s="165"/>
      <c r="CA1472" s="166"/>
      <c r="CB1472" s="101"/>
      <c r="CC1472" s="100"/>
      <c r="CD1472" s="167"/>
      <c r="CE1472" s="167"/>
      <c r="CF1472" s="167"/>
      <c r="CG1472" s="167"/>
      <c r="CH1472" s="168"/>
      <c r="CI1472" s="101"/>
      <c r="CJ1472" s="101"/>
      <c r="CK1472" s="165"/>
    </row>
    <row r="1473" spans="1:89">
      <c r="A1473" s="166"/>
      <c r="B1473" s="101"/>
      <c r="C1473" s="100"/>
      <c r="D1473" s="167"/>
      <c r="E1473" s="167"/>
      <c r="F1473" s="167"/>
      <c r="G1473" s="167"/>
      <c r="H1473" s="168"/>
      <c r="I1473" s="101"/>
      <c r="J1473" s="101"/>
      <c r="K1473" s="165"/>
      <c r="CA1473" s="166"/>
      <c r="CB1473" s="101"/>
      <c r="CC1473" s="100"/>
      <c r="CD1473" s="167"/>
      <c r="CE1473" s="167"/>
      <c r="CF1473" s="167"/>
      <c r="CG1473" s="167"/>
      <c r="CH1473" s="168"/>
      <c r="CI1473" s="101"/>
      <c r="CJ1473" s="101"/>
      <c r="CK1473" s="165"/>
    </row>
    <row r="1474" spans="1:89">
      <c r="A1474" s="166"/>
      <c r="B1474" s="101"/>
      <c r="C1474" s="100"/>
      <c r="D1474" s="167"/>
      <c r="E1474" s="167"/>
      <c r="F1474" s="167"/>
      <c r="G1474" s="167"/>
      <c r="H1474" s="168"/>
      <c r="I1474" s="101"/>
      <c r="J1474" s="101"/>
      <c r="K1474" s="165"/>
      <c r="CA1474" s="166"/>
      <c r="CB1474" s="101"/>
      <c r="CC1474" s="100"/>
      <c r="CD1474" s="167"/>
      <c r="CE1474" s="167"/>
      <c r="CF1474" s="167"/>
      <c r="CG1474" s="167"/>
      <c r="CH1474" s="168"/>
      <c r="CI1474" s="101"/>
      <c r="CJ1474" s="101"/>
      <c r="CK1474" s="165"/>
    </row>
    <row r="1475" spans="1:89">
      <c r="A1475" s="166"/>
      <c r="B1475" s="101"/>
      <c r="C1475" s="100"/>
      <c r="D1475" s="167"/>
      <c r="E1475" s="167"/>
      <c r="F1475" s="167"/>
      <c r="G1475" s="167"/>
      <c r="H1475" s="168"/>
      <c r="I1475" s="101"/>
      <c r="J1475" s="101"/>
      <c r="K1475" s="165"/>
      <c r="CA1475" s="166"/>
      <c r="CB1475" s="101"/>
      <c r="CC1475" s="100"/>
      <c r="CD1475" s="167"/>
      <c r="CE1475" s="167"/>
      <c r="CF1475" s="167"/>
      <c r="CG1475" s="167"/>
      <c r="CH1475" s="168"/>
      <c r="CI1475" s="101"/>
      <c r="CJ1475" s="101"/>
      <c r="CK1475" s="165"/>
    </row>
    <row r="1476" spans="1:89">
      <c r="A1476" s="181"/>
      <c r="B1476" s="103"/>
      <c r="C1476" s="100"/>
      <c r="D1476" s="100"/>
      <c r="E1476" s="100"/>
      <c r="F1476" s="100"/>
      <c r="G1476" s="100"/>
      <c r="H1476" s="177"/>
      <c r="I1476" s="103"/>
      <c r="J1476" s="103"/>
      <c r="K1476" s="182"/>
      <c r="CA1476" s="181"/>
      <c r="CB1476" s="103"/>
      <c r="CC1476" s="100"/>
      <c r="CD1476" s="100"/>
      <c r="CE1476" s="100"/>
      <c r="CF1476" s="100"/>
      <c r="CG1476" s="100"/>
      <c r="CH1476" s="177"/>
      <c r="CI1476" s="103"/>
      <c r="CJ1476" s="103"/>
      <c r="CK1476" s="182"/>
    </row>
    <row r="1477" spans="1:89">
      <c r="A1477" s="179" t="s">
        <v>5216</v>
      </c>
      <c r="B1477" s="102"/>
      <c r="C1477" s="175" t="s">
        <v>5018</v>
      </c>
      <c r="D1477" s="175" t="s">
        <v>5701</v>
      </c>
      <c r="E1477" s="175" t="s">
        <v>5019</v>
      </c>
      <c r="F1477" s="175" t="s">
        <v>5020</v>
      </c>
      <c r="G1477" s="175" t="s">
        <v>5021</v>
      </c>
      <c r="H1477" s="175" t="s">
        <v>5022</v>
      </c>
      <c r="I1477" s="176" t="s">
        <v>5316</v>
      </c>
      <c r="J1477" s="176"/>
      <c r="K1477" s="180"/>
      <c r="CA1477" s="179" t="s">
        <v>5216</v>
      </c>
      <c r="CB1477" s="102"/>
      <c r="CC1477" s="175" t="s">
        <v>5018</v>
      </c>
      <c r="CD1477" s="175" t="s">
        <v>5701</v>
      </c>
      <c r="CE1477" s="175" t="s">
        <v>5019</v>
      </c>
      <c r="CF1477" s="175" t="s">
        <v>5020</v>
      </c>
      <c r="CG1477" s="175" t="s">
        <v>5021</v>
      </c>
      <c r="CH1477" s="175" t="s">
        <v>5022</v>
      </c>
      <c r="CI1477" s="176" t="s">
        <v>5316</v>
      </c>
      <c r="CJ1477" s="176"/>
      <c r="CK1477" s="180"/>
    </row>
    <row r="1478" spans="1:89">
      <c r="A1478" s="166"/>
      <c r="B1478" s="101"/>
      <c r="C1478" s="100"/>
      <c r="D1478" s="167"/>
      <c r="E1478" s="167"/>
      <c r="F1478" s="167"/>
      <c r="G1478" s="167"/>
      <c r="H1478" s="168"/>
      <c r="I1478" s="101"/>
      <c r="J1478" s="101"/>
      <c r="K1478" s="165"/>
      <c r="CA1478" s="166"/>
      <c r="CB1478" s="101"/>
      <c r="CC1478" s="100"/>
      <c r="CD1478" s="167"/>
      <c r="CE1478" s="167"/>
      <c r="CF1478" s="167"/>
      <c r="CG1478" s="167"/>
      <c r="CH1478" s="168"/>
      <c r="CI1478" s="101"/>
      <c r="CJ1478" s="101"/>
      <c r="CK1478" s="165"/>
    </row>
    <row r="1479" spans="1:89">
      <c r="A1479" s="166"/>
      <c r="B1479" s="101"/>
      <c r="C1479" s="100"/>
      <c r="D1479" s="167"/>
      <c r="E1479" s="167"/>
      <c r="F1479" s="167"/>
      <c r="G1479" s="167"/>
      <c r="H1479" s="168"/>
      <c r="I1479" s="101"/>
      <c r="J1479" s="101"/>
      <c r="K1479" s="165"/>
      <c r="CA1479" s="166"/>
      <c r="CB1479" s="101"/>
      <c r="CC1479" s="100"/>
      <c r="CD1479" s="167"/>
      <c r="CE1479" s="167"/>
      <c r="CF1479" s="167"/>
      <c r="CG1479" s="167"/>
      <c r="CH1479" s="168"/>
      <c r="CI1479" s="101"/>
      <c r="CJ1479" s="101"/>
      <c r="CK1479" s="165"/>
    </row>
    <row r="1480" spans="1:89">
      <c r="A1480" s="166"/>
      <c r="B1480" s="101"/>
      <c r="C1480" s="100"/>
      <c r="D1480" s="167"/>
      <c r="E1480" s="167"/>
      <c r="F1480" s="167"/>
      <c r="G1480" s="167"/>
      <c r="H1480" s="168"/>
      <c r="I1480" s="101"/>
      <c r="J1480" s="101"/>
      <c r="K1480" s="165"/>
      <c r="CA1480" s="166"/>
      <c r="CB1480" s="101"/>
      <c r="CC1480" s="100"/>
      <c r="CD1480" s="167"/>
      <c r="CE1480" s="167"/>
      <c r="CF1480" s="167"/>
      <c r="CG1480" s="167"/>
      <c r="CH1480" s="168"/>
      <c r="CI1480" s="101"/>
      <c r="CJ1480" s="101"/>
      <c r="CK1480" s="165"/>
    </row>
    <row r="1481" spans="1:89">
      <c r="A1481" s="166"/>
      <c r="B1481" s="101"/>
      <c r="C1481" s="100"/>
      <c r="D1481" s="167"/>
      <c r="E1481" s="167"/>
      <c r="F1481" s="167"/>
      <c r="G1481" s="167"/>
      <c r="H1481" s="168"/>
      <c r="I1481" s="101"/>
      <c r="J1481" s="101"/>
      <c r="K1481" s="165"/>
      <c r="CA1481" s="166"/>
      <c r="CB1481" s="101"/>
      <c r="CC1481" s="100"/>
      <c r="CD1481" s="167"/>
      <c r="CE1481" s="167"/>
      <c r="CF1481" s="167"/>
      <c r="CG1481" s="167"/>
      <c r="CH1481" s="168"/>
      <c r="CI1481" s="101"/>
      <c r="CJ1481" s="101"/>
      <c r="CK1481" s="165"/>
    </row>
    <row r="1482" spans="1:89">
      <c r="A1482" s="181"/>
      <c r="B1482" s="103"/>
      <c r="C1482" s="100"/>
      <c r="D1482" s="100"/>
      <c r="E1482" s="100"/>
      <c r="F1482" s="100"/>
      <c r="G1482" s="100"/>
      <c r="H1482" s="177"/>
      <c r="I1482" s="103"/>
      <c r="J1482" s="103"/>
      <c r="K1482" s="182"/>
      <c r="CA1482" s="181"/>
      <c r="CB1482" s="103"/>
      <c r="CC1482" s="100"/>
      <c r="CD1482" s="100"/>
      <c r="CE1482" s="100"/>
      <c r="CF1482" s="100"/>
      <c r="CG1482" s="100"/>
      <c r="CH1482" s="177"/>
      <c r="CI1482" s="103"/>
      <c r="CJ1482" s="103"/>
      <c r="CK1482" s="182"/>
    </row>
    <row r="1483" spans="1:89">
      <c r="A1483" s="179" t="s">
        <v>5418</v>
      </c>
      <c r="B1483" s="102"/>
      <c r="C1483" s="175" t="s">
        <v>5018</v>
      </c>
      <c r="D1483" s="175" t="s">
        <v>5701</v>
      </c>
      <c r="E1483" s="175" t="s">
        <v>5019</v>
      </c>
      <c r="F1483" s="175" t="s">
        <v>5020</v>
      </c>
      <c r="G1483" s="175" t="s">
        <v>5021</v>
      </c>
      <c r="H1483" s="175" t="s">
        <v>5022</v>
      </c>
      <c r="I1483" s="176" t="s">
        <v>5316</v>
      </c>
      <c r="J1483" s="176"/>
      <c r="K1483" s="180"/>
      <c r="CA1483" s="179" t="s">
        <v>5418</v>
      </c>
      <c r="CB1483" s="102"/>
      <c r="CC1483" s="175" t="s">
        <v>5018</v>
      </c>
      <c r="CD1483" s="175" t="s">
        <v>5701</v>
      </c>
      <c r="CE1483" s="175" t="s">
        <v>5019</v>
      </c>
      <c r="CF1483" s="175" t="s">
        <v>5020</v>
      </c>
      <c r="CG1483" s="175" t="s">
        <v>5021</v>
      </c>
      <c r="CH1483" s="175" t="s">
        <v>5022</v>
      </c>
      <c r="CI1483" s="176" t="s">
        <v>5316</v>
      </c>
      <c r="CJ1483" s="176"/>
      <c r="CK1483" s="180"/>
    </row>
    <row r="1484" spans="1:89">
      <c r="A1484" s="166"/>
      <c r="B1484" s="101"/>
      <c r="C1484" s="100"/>
      <c r="D1484" s="167"/>
      <c r="E1484" s="167"/>
      <c r="F1484" s="167"/>
      <c r="G1484" s="167"/>
      <c r="H1484" s="168"/>
      <c r="I1484" s="101"/>
      <c r="J1484" s="101"/>
      <c r="K1484" s="165"/>
      <c r="CA1484" s="166"/>
      <c r="CB1484" s="101"/>
      <c r="CC1484" s="100"/>
      <c r="CD1484" s="167"/>
      <c r="CE1484" s="167"/>
      <c r="CF1484" s="167"/>
      <c r="CG1484" s="167"/>
      <c r="CH1484" s="168"/>
      <c r="CI1484" s="101"/>
      <c r="CJ1484" s="101"/>
      <c r="CK1484" s="165"/>
    </row>
    <row r="1485" spans="1:89">
      <c r="A1485" s="166"/>
      <c r="B1485" s="101"/>
      <c r="C1485" s="100"/>
      <c r="D1485" s="167"/>
      <c r="E1485" s="167"/>
      <c r="F1485" s="167"/>
      <c r="G1485" s="167"/>
      <c r="H1485" s="168"/>
      <c r="I1485" s="101"/>
      <c r="J1485" s="101"/>
      <c r="K1485" s="165"/>
      <c r="CA1485" s="166"/>
      <c r="CB1485" s="101"/>
      <c r="CC1485" s="100"/>
      <c r="CD1485" s="167"/>
      <c r="CE1485" s="167"/>
      <c r="CF1485" s="167"/>
      <c r="CG1485" s="167"/>
      <c r="CH1485" s="168"/>
      <c r="CI1485" s="101"/>
      <c r="CJ1485" s="101"/>
      <c r="CK1485" s="165"/>
    </row>
    <row r="1486" spans="1:89">
      <c r="A1486" s="166"/>
      <c r="B1486" s="101"/>
      <c r="C1486" s="100"/>
      <c r="D1486" s="167"/>
      <c r="E1486" s="167"/>
      <c r="F1486" s="167"/>
      <c r="G1486" s="167"/>
      <c r="H1486" s="168"/>
      <c r="I1486" s="101"/>
      <c r="J1486" s="101"/>
      <c r="K1486" s="165"/>
      <c r="CA1486" s="166"/>
      <c r="CB1486" s="101"/>
      <c r="CC1486" s="100"/>
      <c r="CD1486" s="167"/>
      <c r="CE1486" s="167"/>
      <c r="CF1486" s="167"/>
      <c r="CG1486" s="167"/>
      <c r="CH1486" s="168"/>
      <c r="CI1486" s="101"/>
      <c r="CJ1486" s="101"/>
      <c r="CK1486" s="165"/>
    </row>
    <row r="1487" spans="1:89">
      <c r="A1487" s="166"/>
      <c r="B1487" s="101"/>
      <c r="C1487" s="100"/>
      <c r="D1487" s="167"/>
      <c r="E1487" s="167"/>
      <c r="F1487" s="167"/>
      <c r="G1487" s="167"/>
      <c r="H1487" s="168"/>
      <c r="I1487" s="101"/>
      <c r="J1487" s="101"/>
      <c r="K1487" s="165"/>
      <c r="CA1487" s="166"/>
      <c r="CB1487" s="101"/>
      <c r="CC1487" s="100"/>
      <c r="CD1487" s="167"/>
      <c r="CE1487" s="167"/>
      <c r="CF1487" s="167"/>
      <c r="CG1487" s="167"/>
      <c r="CH1487" s="168"/>
      <c r="CI1487" s="101"/>
      <c r="CJ1487" s="101"/>
      <c r="CK1487" s="165"/>
    </row>
    <row r="1488" spans="1:89">
      <c r="A1488" s="181"/>
      <c r="B1488" s="103"/>
      <c r="C1488" s="100"/>
      <c r="D1488" s="100"/>
      <c r="E1488" s="100"/>
      <c r="F1488" s="100"/>
      <c r="G1488" s="100"/>
      <c r="H1488" s="177"/>
      <c r="I1488" s="103"/>
      <c r="J1488" s="178"/>
      <c r="K1488" s="182"/>
      <c r="CA1488" s="181"/>
      <c r="CB1488" s="103"/>
      <c r="CC1488" s="100"/>
      <c r="CD1488" s="100"/>
      <c r="CE1488" s="100"/>
      <c r="CF1488" s="100"/>
      <c r="CG1488" s="100"/>
      <c r="CH1488" s="177"/>
      <c r="CI1488" s="103"/>
      <c r="CJ1488" s="178"/>
      <c r="CK1488" s="182"/>
    </row>
    <row r="1489" spans="1:89">
      <c r="A1489" s="179" t="s">
        <v>5419</v>
      </c>
      <c r="B1489" s="102"/>
      <c r="C1489" s="175" t="s">
        <v>5018</v>
      </c>
      <c r="D1489" s="175" t="s">
        <v>5701</v>
      </c>
      <c r="E1489" s="175" t="s">
        <v>5019</v>
      </c>
      <c r="F1489" s="175" t="s">
        <v>5020</v>
      </c>
      <c r="G1489" s="175" t="s">
        <v>5021</v>
      </c>
      <c r="H1489" s="175" t="s">
        <v>5022</v>
      </c>
      <c r="I1489" s="176" t="s">
        <v>5316</v>
      </c>
      <c r="J1489" s="176"/>
      <c r="K1489" s="180"/>
      <c r="CA1489" s="179" t="s">
        <v>5419</v>
      </c>
      <c r="CB1489" s="102"/>
      <c r="CC1489" s="175" t="s">
        <v>5018</v>
      </c>
      <c r="CD1489" s="175" t="s">
        <v>5701</v>
      </c>
      <c r="CE1489" s="175" t="s">
        <v>5019</v>
      </c>
      <c r="CF1489" s="175" t="s">
        <v>5020</v>
      </c>
      <c r="CG1489" s="175" t="s">
        <v>5021</v>
      </c>
      <c r="CH1489" s="175" t="s">
        <v>5022</v>
      </c>
      <c r="CI1489" s="176" t="s">
        <v>5316</v>
      </c>
      <c r="CJ1489" s="176"/>
      <c r="CK1489" s="180"/>
    </row>
    <row r="1490" spans="1:89">
      <c r="A1490" s="166"/>
      <c r="B1490" s="101"/>
      <c r="C1490" s="100"/>
      <c r="D1490" s="167"/>
      <c r="E1490" s="167"/>
      <c r="F1490" s="167"/>
      <c r="G1490" s="167"/>
      <c r="H1490" s="168"/>
      <c r="I1490" s="101"/>
      <c r="J1490" s="101"/>
      <c r="K1490" s="165"/>
      <c r="CA1490" s="166"/>
      <c r="CB1490" s="101"/>
      <c r="CC1490" s="100"/>
      <c r="CD1490" s="167"/>
      <c r="CE1490" s="167"/>
      <c r="CF1490" s="167"/>
      <c r="CG1490" s="167"/>
      <c r="CH1490" s="168"/>
      <c r="CI1490" s="101"/>
      <c r="CJ1490" s="101"/>
      <c r="CK1490" s="165"/>
    </row>
    <row r="1491" spans="1:89">
      <c r="A1491" s="166"/>
      <c r="B1491" s="101"/>
      <c r="C1491" s="100"/>
      <c r="D1491" s="167"/>
      <c r="E1491" s="167"/>
      <c r="F1491" s="167"/>
      <c r="G1491" s="167"/>
      <c r="H1491" s="168"/>
      <c r="I1491" s="101"/>
      <c r="J1491" s="101"/>
      <c r="K1491" s="165"/>
      <c r="CA1491" s="166"/>
      <c r="CB1491" s="101"/>
      <c r="CC1491" s="100"/>
      <c r="CD1491" s="167"/>
      <c r="CE1491" s="167"/>
      <c r="CF1491" s="167"/>
      <c r="CG1491" s="167"/>
      <c r="CH1491" s="168"/>
      <c r="CI1491" s="101"/>
      <c r="CJ1491" s="101"/>
      <c r="CK1491" s="165"/>
    </row>
    <row r="1492" spans="1:89">
      <c r="A1492" s="166"/>
      <c r="B1492" s="101"/>
      <c r="C1492" s="100"/>
      <c r="D1492" s="167"/>
      <c r="E1492" s="167"/>
      <c r="F1492" s="167"/>
      <c r="G1492" s="167"/>
      <c r="H1492" s="168"/>
      <c r="I1492" s="101"/>
      <c r="J1492" s="101"/>
      <c r="K1492" s="165"/>
      <c r="CA1492" s="166"/>
      <c r="CB1492" s="101"/>
      <c r="CC1492" s="100"/>
      <c r="CD1492" s="167"/>
      <c r="CE1492" s="167"/>
      <c r="CF1492" s="167"/>
      <c r="CG1492" s="167"/>
      <c r="CH1492" s="168"/>
      <c r="CI1492" s="101"/>
      <c r="CJ1492" s="101"/>
      <c r="CK1492" s="165"/>
    </row>
    <row r="1493" spans="1:89">
      <c r="A1493" s="166"/>
      <c r="B1493" s="101"/>
      <c r="C1493" s="100"/>
      <c r="D1493" s="167"/>
      <c r="E1493" s="167"/>
      <c r="F1493" s="167"/>
      <c r="G1493" s="167"/>
      <c r="H1493" s="168"/>
      <c r="I1493" s="101"/>
      <c r="J1493" s="101"/>
      <c r="K1493" s="165"/>
      <c r="CA1493" s="166"/>
      <c r="CB1493" s="101"/>
      <c r="CC1493" s="100"/>
      <c r="CD1493" s="167"/>
      <c r="CE1493" s="167"/>
      <c r="CF1493" s="167"/>
      <c r="CG1493" s="167"/>
      <c r="CH1493" s="168"/>
      <c r="CI1493" s="101"/>
      <c r="CJ1493" s="101"/>
      <c r="CK1493" s="165"/>
    </row>
    <row r="1494" spans="1:89">
      <c r="A1494" s="181"/>
      <c r="B1494" s="103"/>
      <c r="C1494" s="100"/>
      <c r="D1494" s="100"/>
      <c r="E1494" s="100"/>
      <c r="F1494" s="100"/>
      <c r="G1494" s="100"/>
      <c r="H1494" s="177"/>
      <c r="I1494" s="103"/>
      <c r="J1494" s="178"/>
      <c r="K1494" s="182"/>
      <c r="CA1494" s="181"/>
      <c r="CB1494" s="103"/>
      <c r="CC1494" s="100"/>
      <c r="CD1494" s="100"/>
      <c r="CE1494" s="100"/>
      <c r="CF1494" s="100"/>
      <c r="CG1494" s="100"/>
      <c r="CH1494" s="177"/>
      <c r="CI1494" s="103"/>
      <c r="CJ1494" s="178"/>
      <c r="CK1494" s="182"/>
    </row>
    <row r="1495" spans="1:89">
      <c r="A1495" s="179" t="s">
        <v>5420</v>
      </c>
      <c r="B1495" s="102"/>
      <c r="C1495" s="175" t="s">
        <v>5018</v>
      </c>
      <c r="D1495" s="175" t="s">
        <v>5701</v>
      </c>
      <c r="E1495" s="175" t="s">
        <v>5019</v>
      </c>
      <c r="F1495" s="175" t="s">
        <v>5020</v>
      </c>
      <c r="G1495" s="175" t="s">
        <v>5021</v>
      </c>
      <c r="H1495" s="175" t="s">
        <v>5022</v>
      </c>
      <c r="I1495" s="176" t="s">
        <v>5316</v>
      </c>
      <c r="J1495" s="176"/>
      <c r="K1495" s="180"/>
      <c r="CA1495" s="179" t="s">
        <v>5420</v>
      </c>
      <c r="CB1495" s="102"/>
      <c r="CC1495" s="175" t="s">
        <v>5018</v>
      </c>
      <c r="CD1495" s="175" t="s">
        <v>5701</v>
      </c>
      <c r="CE1495" s="175" t="s">
        <v>5019</v>
      </c>
      <c r="CF1495" s="175" t="s">
        <v>5020</v>
      </c>
      <c r="CG1495" s="175" t="s">
        <v>5021</v>
      </c>
      <c r="CH1495" s="175" t="s">
        <v>5022</v>
      </c>
      <c r="CI1495" s="176" t="s">
        <v>5316</v>
      </c>
      <c r="CJ1495" s="176"/>
      <c r="CK1495" s="180"/>
    </row>
    <row r="1496" spans="1:89">
      <c r="A1496" s="166"/>
      <c r="B1496" s="101"/>
      <c r="C1496" s="100"/>
      <c r="D1496" s="167"/>
      <c r="E1496" s="167"/>
      <c r="F1496" s="167"/>
      <c r="G1496" s="167"/>
      <c r="H1496" s="168"/>
      <c r="I1496" s="101"/>
      <c r="J1496" s="101"/>
      <c r="K1496" s="165"/>
      <c r="CA1496" s="166"/>
      <c r="CB1496" s="101"/>
      <c r="CC1496" s="100"/>
      <c r="CD1496" s="167"/>
      <c r="CE1496" s="167"/>
      <c r="CF1496" s="167"/>
      <c r="CG1496" s="167"/>
      <c r="CH1496" s="168"/>
      <c r="CI1496" s="101"/>
      <c r="CJ1496" s="101"/>
      <c r="CK1496" s="165"/>
    </row>
    <row r="1497" spans="1:89">
      <c r="A1497" s="166"/>
      <c r="B1497" s="101"/>
      <c r="C1497" s="100"/>
      <c r="D1497" s="167"/>
      <c r="E1497" s="167"/>
      <c r="F1497" s="167"/>
      <c r="G1497" s="167"/>
      <c r="H1497" s="168"/>
      <c r="I1497" s="101"/>
      <c r="J1497" s="101"/>
      <c r="K1497" s="165"/>
      <c r="CA1497" s="166"/>
      <c r="CB1497" s="101"/>
      <c r="CC1497" s="100"/>
      <c r="CD1497" s="167"/>
      <c r="CE1497" s="167"/>
      <c r="CF1497" s="167"/>
      <c r="CG1497" s="167"/>
      <c r="CH1497" s="168"/>
      <c r="CI1497" s="101"/>
      <c r="CJ1497" s="101"/>
      <c r="CK1497" s="165"/>
    </row>
    <row r="1498" spans="1:89">
      <c r="A1498" s="166"/>
      <c r="B1498" s="101"/>
      <c r="C1498" s="100"/>
      <c r="D1498" s="167"/>
      <c r="E1498" s="167"/>
      <c r="F1498" s="167"/>
      <c r="G1498" s="167"/>
      <c r="H1498" s="168"/>
      <c r="I1498" s="101"/>
      <c r="J1498" s="101"/>
      <c r="K1498" s="165"/>
      <c r="CA1498" s="166"/>
      <c r="CB1498" s="101"/>
      <c r="CC1498" s="100"/>
      <c r="CD1498" s="167"/>
      <c r="CE1498" s="167"/>
      <c r="CF1498" s="167"/>
      <c r="CG1498" s="167"/>
      <c r="CH1498" s="168"/>
      <c r="CI1498" s="101"/>
      <c r="CJ1498" s="101"/>
      <c r="CK1498" s="165"/>
    </row>
    <row r="1499" spans="1:89">
      <c r="A1499" s="166"/>
      <c r="B1499" s="101"/>
      <c r="C1499" s="100"/>
      <c r="D1499" s="167"/>
      <c r="E1499" s="167"/>
      <c r="F1499" s="167"/>
      <c r="G1499" s="167"/>
      <c r="H1499" s="168"/>
      <c r="I1499" s="101"/>
      <c r="J1499" s="101"/>
      <c r="K1499" s="165"/>
      <c r="CA1499" s="166"/>
      <c r="CB1499" s="101"/>
      <c r="CC1499" s="100"/>
      <c r="CD1499" s="167"/>
      <c r="CE1499" s="167"/>
      <c r="CF1499" s="167"/>
      <c r="CG1499" s="167"/>
      <c r="CH1499" s="168"/>
      <c r="CI1499" s="101"/>
      <c r="CJ1499" s="101"/>
      <c r="CK1499" s="165"/>
    </row>
    <row r="1500" spans="1:89" ht="14" thickBot="1">
      <c r="A1500" s="170"/>
      <c r="B1500" s="171"/>
      <c r="C1500" s="172"/>
      <c r="D1500" s="172"/>
      <c r="E1500" s="172"/>
      <c r="F1500" s="172"/>
      <c r="G1500" s="172"/>
      <c r="H1500" s="173"/>
      <c r="I1500" s="171"/>
      <c r="J1500" s="171"/>
      <c r="K1500" s="174"/>
      <c r="CA1500" s="170"/>
      <c r="CB1500" s="171"/>
      <c r="CC1500" s="172"/>
      <c r="CD1500" s="172"/>
      <c r="CE1500" s="172"/>
      <c r="CF1500" s="172"/>
      <c r="CG1500" s="172"/>
      <c r="CH1500" s="173"/>
      <c r="CI1500" s="171"/>
      <c r="CJ1500" s="171"/>
      <c r="CK1500" s="174"/>
    </row>
    <row r="1501" spans="1:89">
      <c r="A1501" s="152" t="s">
        <v>5422</v>
      </c>
      <c r="B1501" s="121"/>
      <c r="C1501" s="121"/>
      <c r="D1501" s="121"/>
      <c r="E1501" s="121"/>
      <c r="F1501" s="121"/>
      <c r="G1501" s="121"/>
      <c r="H1501" s="121"/>
      <c r="I1501" s="121"/>
      <c r="J1501" s="121"/>
      <c r="K1501" s="162"/>
      <c r="CA1501" s="152" t="s">
        <v>5422</v>
      </c>
      <c r="CB1501" s="121"/>
      <c r="CC1501" s="121"/>
      <c r="CD1501" s="121"/>
      <c r="CE1501" s="121"/>
      <c r="CF1501" s="121"/>
      <c r="CG1501" s="121"/>
      <c r="CH1501" s="121"/>
      <c r="CI1501" s="121"/>
      <c r="CJ1501" s="121"/>
      <c r="CK1501" s="162"/>
    </row>
    <row r="1502" spans="1:89">
      <c r="A1502" s="126"/>
      <c r="B1502" s="21"/>
      <c r="C1502" s="21"/>
      <c r="D1502" s="21"/>
      <c r="E1502" s="21"/>
      <c r="F1502" s="21"/>
      <c r="G1502" s="21"/>
      <c r="H1502" s="21"/>
      <c r="I1502" s="21"/>
      <c r="J1502" s="21"/>
      <c r="K1502" s="135"/>
      <c r="CA1502" s="126"/>
      <c r="CB1502" s="21"/>
      <c r="CC1502" s="21"/>
      <c r="CD1502" s="21"/>
      <c r="CE1502" s="21"/>
      <c r="CF1502" s="21"/>
      <c r="CG1502" s="21"/>
      <c r="CH1502" s="21"/>
      <c r="CI1502" s="21"/>
      <c r="CJ1502" s="21"/>
      <c r="CK1502" s="135"/>
    </row>
    <row r="1503" spans="1:89">
      <c r="A1503" s="129" t="s">
        <v>5222</v>
      </c>
      <c r="B1503" s="21"/>
      <c r="C1503" s="21"/>
      <c r="D1503" s="21"/>
      <c r="E1503" s="21"/>
      <c r="F1503" s="21"/>
      <c r="G1503" s="21"/>
      <c r="H1503" s="21"/>
      <c r="I1503" s="21"/>
      <c r="J1503" s="21"/>
      <c r="K1503" s="135"/>
      <c r="CA1503" s="129" t="s">
        <v>5222</v>
      </c>
      <c r="CB1503" s="21"/>
      <c r="CC1503" s="21"/>
      <c r="CD1503" s="21"/>
      <c r="CE1503" s="21"/>
      <c r="CF1503" s="21"/>
      <c r="CG1503" s="21"/>
      <c r="CH1503" s="21"/>
      <c r="CI1503" s="21"/>
      <c r="CJ1503" s="21"/>
      <c r="CK1503" s="135"/>
    </row>
    <row r="1504" spans="1:89">
      <c r="A1504" s="126"/>
      <c r="B1504" s="21"/>
      <c r="C1504" s="21"/>
      <c r="D1504" s="21"/>
      <c r="E1504" s="21"/>
      <c r="F1504" s="21"/>
      <c r="G1504" s="21"/>
      <c r="H1504" s="21"/>
      <c r="I1504" s="21"/>
      <c r="J1504" s="21"/>
      <c r="K1504" s="135"/>
      <c r="CA1504" s="126"/>
      <c r="CB1504" s="21"/>
      <c r="CC1504" s="21"/>
      <c r="CD1504" s="21"/>
      <c r="CE1504" s="21"/>
      <c r="CF1504" s="21"/>
      <c r="CG1504" s="21"/>
      <c r="CH1504" s="21"/>
      <c r="CI1504" s="21"/>
      <c r="CJ1504" s="21"/>
      <c r="CK1504" s="135"/>
    </row>
    <row r="1505" spans="1:89">
      <c r="A1505" s="141"/>
      <c r="B1505" s="29"/>
      <c r="C1505" s="29"/>
      <c r="D1505" s="29"/>
      <c r="E1505" s="29"/>
      <c r="F1505" s="29"/>
      <c r="G1505" s="29"/>
      <c r="H1505" s="29"/>
      <c r="I1505" s="29"/>
      <c r="J1505" s="29"/>
      <c r="K1505" s="155"/>
      <c r="CA1505" s="141"/>
      <c r="CB1505" s="29"/>
      <c r="CC1505" s="29"/>
      <c r="CD1505" s="29"/>
      <c r="CE1505" s="29"/>
      <c r="CF1505" s="29"/>
      <c r="CG1505" s="29"/>
      <c r="CH1505" s="29"/>
      <c r="CI1505" s="29"/>
      <c r="CJ1505" s="29"/>
      <c r="CK1505" s="155"/>
    </row>
    <row r="1506" spans="1:89">
      <c r="A1506" s="179" t="s">
        <v>5199</v>
      </c>
      <c r="B1506" s="102"/>
      <c r="C1506" s="175" t="s">
        <v>5018</v>
      </c>
      <c r="D1506" s="175" t="s">
        <v>5701</v>
      </c>
      <c r="E1506" s="175" t="s">
        <v>5019</v>
      </c>
      <c r="F1506" s="175" t="s">
        <v>5020</v>
      </c>
      <c r="G1506" s="175" t="s">
        <v>5021</v>
      </c>
      <c r="H1506" s="175" t="s">
        <v>5022</v>
      </c>
      <c r="I1506" s="176" t="s">
        <v>5316</v>
      </c>
      <c r="J1506" s="176"/>
      <c r="K1506" s="180"/>
      <c r="CA1506" s="179" t="s">
        <v>5199</v>
      </c>
      <c r="CB1506" s="102"/>
      <c r="CC1506" s="175" t="s">
        <v>5018</v>
      </c>
      <c r="CD1506" s="175" t="s">
        <v>5701</v>
      </c>
      <c r="CE1506" s="175" t="s">
        <v>5019</v>
      </c>
      <c r="CF1506" s="175" t="s">
        <v>5020</v>
      </c>
      <c r="CG1506" s="175" t="s">
        <v>5021</v>
      </c>
      <c r="CH1506" s="175" t="s">
        <v>5022</v>
      </c>
      <c r="CI1506" s="176" t="s">
        <v>5316</v>
      </c>
      <c r="CJ1506" s="176"/>
      <c r="CK1506" s="180"/>
    </row>
    <row r="1507" spans="1:89">
      <c r="A1507" s="166"/>
      <c r="B1507" s="101"/>
      <c r="C1507" s="100"/>
      <c r="D1507" s="167"/>
      <c r="E1507" s="167"/>
      <c r="F1507" s="167"/>
      <c r="G1507" s="167"/>
      <c r="H1507" s="168"/>
      <c r="I1507" s="101"/>
      <c r="J1507" s="101"/>
      <c r="K1507" s="165"/>
      <c r="CA1507" s="166"/>
      <c r="CB1507" s="101"/>
      <c r="CC1507" s="100"/>
      <c r="CD1507" s="167"/>
      <c r="CE1507" s="167"/>
      <c r="CF1507" s="167"/>
      <c r="CG1507" s="167"/>
      <c r="CH1507" s="168"/>
      <c r="CI1507" s="101"/>
      <c r="CJ1507" s="101"/>
      <c r="CK1507" s="165"/>
    </row>
    <row r="1508" spans="1:89">
      <c r="A1508" s="166"/>
      <c r="B1508" s="101"/>
      <c r="C1508" s="100"/>
      <c r="D1508" s="167"/>
      <c r="E1508" s="167"/>
      <c r="F1508" s="167"/>
      <c r="G1508" s="167"/>
      <c r="H1508" s="168"/>
      <c r="I1508" s="101"/>
      <c r="J1508" s="101"/>
      <c r="K1508" s="165"/>
      <c r="CA1508" s="166"/>
      <c r="CB1508" s="101"/>
      <c r="CC1508" s="100"/>
      <c r="CD1508" s="167"/>
      <c r="CE1508" s="167"/>
      <c r="CF1508" s="167"/>
      <c r="CG1508" s="167"/>
      <c r="CH1508" s="168"/>
      <c r="CI1508" s="101"/>
      <c r="CJ1508" s="101"/>
      <c r="CK1508" s="165"/>
    </row>
    <row r="1509" spans="1:89">
      <c r="A1509" s="166"/>
      <c r="B1509" s="101"/>
      <c r="C1509" s="100"/>
      <c r="D1509" s="167"/>
      <c r="E1509" s="167"/>
      <c r="F1509" s="167"/>
      <c r="G1509" s="167"/>
      <c r="H1509" s="168"/>
      <c r="I1509" s="101"/>
      <c r="J1509" s="101"/>
      <c r="K1509" s="165"/>
      <c r="CA1509" s="166"/>
      <c r="CB1509" s="101"/>
      <c r="CC1509" s="100"/>
      <c r="CD1509" s="167"/>
      <c r="CE1509" s="167"/>
      <c r="CF1509" s="167"/>
      <c r="CG1509" s="167"/>
      <c r="CH1509" s="168"/>
      <c r="CI1509" s="101"/>
      <c r="CJ1509" s="101"/>
      <c r="CK1509" s="165"/>
    </row>
    <row r="1510" spans="1:89">
      <c r="A1510" s="166"/>
      <c r="B1510" s="101"/>
      <c r="C1510" s="100"/>
      <c r="D1510" s="167"/>
      <c r="E1510" s="167"/>
      <c r="F1510" s="167"/>
      <c r="G1510" s="167"/>
      <c r="H1510" s="168"/>
      <c r="I1510" s="101"/>
      <c r="J1510" s="101"/>
      <c r="K1510" s="165"/>
      <c r="CA1510" s="166"/>
      <c r="CB1510" s="101"/>
      <c r="CC1510" s="100"/>
      <c r="CD1510" s="167"/>
      <c r="CE1510" s="167"/>
      <c r="CF1510" s="167"/>
      <c r="CG1510" s="167"/>
      <c r="CH1510" s="168"/>
      <c r="CI1510" s="101"/>
      <c r="CJ1510" s="101"/>
      <c r="CK1510" s="165"/>
    </row>
    <row r="1511" spans="1:89">
      <c r="A1511" s="166"/>
      <c r="B1511" s="101"/>
      <c r="C1511" s="100"/>
      <c r="D1511" s="167"/>
      <c r="E1511" s="167"/>
      <c r="F1511" s="167"/>
      <c r="G1511" s="167"/>
      <c r="H1511" s="168"/>
      <c r="I1511" s="101"/>
      <c r="J1511" s="101"/>
      <c r="K1511" s="165"/>
      <c r="CA1511" s="166"/>
      <c r="CB1511" s="101"/>
      <c r="CC1511" s="100"/>
      <c r="CD1511" s="167"/>
      <c r="CE1511" s="167"/>
      <c r="CF1511" s="167"/>
      <c r="CG1511" s="167"/>
      <c r="CH1511" s="168"/>
      <c r="CI1511" s="101"/>
      <c r="CJ1511" s="101"/>
      <c r="CK1511" s="165"/>
    </row>
    <row r="1512" spans="1:89">
      <c r="A1512" s="166"/>
      <c r="B1512" s="101"/>
      <c r="C1512" s="100"/>
      <c r="D1512" s="167"/>
      <c r="E1512" s="167"/>
      <c r="F1512" s="167"/>
      <c r="G1512" s="167"/>
      <c r="H1512" s="168"/>
      <c r="I1512" s="101"/>
      <c r="J1512" s="101"/>
      <c r="K1512" s="165"/>
      <c r="CA1512" s="166"/>
      <c r="CB1512" s="101"/>
      <c r="CC1512" s="100"/>
      <c r="CD1512" s="167"/>
      <c r="CE1512" s="167"/>
      <c r="CF1512" s="167"/>
      <c r="CG1512" s="167"/>
      <c r="CH1512" s="168"/>
      <c r="CI1512" s="101"/>
      <c r="CJ1512" s="101"/>
      <c r="CK1512" s="165"/>
    </row>
    <row r="1513" spans="1:89">
      <c r="A1513" s="166"/>
      <c r="B1513" s="101"/>
      <c r="C1513" s="100"/>
      <c r="D1513" s="167"/>
      <c r="E1513" s="167"/>
      <c r="F1513" s="167"/>
      <c r="G1513" s="167"/>
      <c r="H1513" s="168"/>
      <c r="I1513" s="101"/>
      <c r="J1513" s="101"/>
      <c r="K1513" s="165"/>
      <c r="CA1513" s="166"/>
      <c r="CB1513" s="101"/>
      <c r="CC1513" s="100"/>
      <c r="CD1513" s="167"/>
      <c r="CE1513" s="167"/>
      <c r="CF1513" s="167"/>
      <c r="CG1513" s="167"/>
      <c r="CH1513" s="168"/>
      <c r="CI1513" s="101"/>
      <c r="CJ1513" s="101"/>
      <c r="CK1513" s="165"/>
    </row>
    <row r="1514" spans="1:89">
      <c r="A1514" s="166"/>
      <c r="B1514" s="101"/>
      <c r="C1514" s="100"/>
      <c r="D1514" s="167"/>
      <c r="E1514" s="167"/>
      <c r="F1514" s="167"/>
      <c r="G1514" s="167"/>
      <c r="H1514" s="168"/>
      <c r="I1514" s="101"/>
      <c r="J1514" s="101"/>
      <c r="K1514" s="165"/>
      <c r="CA1514" s="166"/>
      <c r="CB1514" s="101"/>
      <c r="CC1514" s="100"/>
      <c r="CD1514" s="167"/>
      <c r="CE1514" s="167"/>
      <c r="CF1514" s="167"/>
      <c r="CG1514" s="167"/>
      <c r="CH1514" s="168"/>
      <c r="CI1514" s="101"/>
      <c r="CJ1514" s="101"/>
      <c r="CK1514" s="165"/>
    </row>
    <row r="1515" spans="1:89">
      <c r="A1515" s="166"/>
      <c r="B1515" s="101"/>
      <c r="C1515" s="100"/>
      <c r="D1515" s="167"/>
      <c r="E1515" s="167"/>
      <c r="F1515" s="167"/>
      <c r="G1515" s="167"/>
      <c r="H1515" s="168"/>
      <c r="I1515" s="101"/>
      <c r="J1515" s="101"/>
      <c r="K1515" s="165"/>
      <c r="CA1515" s="166"/>
      <c r="CB1515" s="101"/>
      <c r="CC1515" s="100"/>
      <c r="CD1515" s="167"/>
      <c r="CE1515" s="167"/>
      <c r="CF1515" s="167"/>
      <c r="CG1515" s="167"/>
      <c r="CH1515" s="168"/>
      <c r="CI1515" s="101"/>
      <c r="CJ1515" s="101"/>
      <c r="CK1515" s="165"/>
    </row>
    <row r="1516" spans="1:89">
      <c r="A1516" s="166"/>
      <c r="B1516" s="101"/>
      <c r="C1516" s="100"/>
      <c r="D1516" s="167"/>
      <c r="E1516" s="167"/>
      <c r="F1516" s="167"/>
      <c r="G1516" s="167"/>
      <c r="H1516" s="168"/>
      <c r="I1516" s="101"/>
      <c r="J1516" s="101"/>
      <c r="K1516" s="165"/>
      <c r="CA1516" s="166"/>
      <c r="CB1516" s="101"/>
      <c r="CC1516" s="100"/>
      <c r="CD1516" s="167"/>
      <c r="CE1516" s="167"/>
      <c r="CF1516" s="167"/>
      <c r="CG1516" s="167"/>
      <c r="CH1516" s="168"/>
      <c r="CI1516" s="101"/>
      <c r="CJ1516" s="101"/>
      <c r="CK1516" s="165"/>
    </row>
    <row r="1517" spans="1:89">
      <c r="A1517" s="166"/>
      <c r="B1517" s="101"/>
      <c r="C1517" s="100"/>
      <c r="D1517" s="167"/>
      <c r="E1517" s="167"/>
      <c r="F1517" s="167"/>
      <c r="G1517" s="167"/>
      <c r="H1517" s="168"/>
      <c r="I1517" s="101"/>
      <c r="J1517" s="101"/>
      <c r="K1517" s="165"/>
      <c r="CA1517" s="166"/>
      <c r="CB1517" s="101"/>
      <c r="CC1517" s="100"/>
      <c r="CD1517" s="167"/>
      <c r="CE1517" s="167"/>
      <c r="CF1517" s="167"/>
      <c r="CG1517" s="167"/>
      <c r="CH1517" s="168"/>
      <c r="CI1517" s="101"/>
      <c r="CJ1517" s="101"/>
      <c r="CK1517" s="165"/>
    </row>
    <row r="1518" spans="1:89">
      <c r="A1518" s="166"/>
      <c r="B1518" s="101"/>
      <c r="C1518" s="100"/>
      <c r="D1518" s="167"/>
      <c r="E1518" s="167"/>
      <c r="F1518" s="167"/>
      <c r="G1518" s="167"/>
      <c r="H1518" s="168"/>
      <c r="I1518" s="101"/>
      <c r="J1518" s="101"/>
      <c r="K1518" s="165"/>
      <c r="CA1518" s="166"/>
      <c r="CB1518" s="101"/>
      <c r="CC1518" s="100"/>
      <c r="CD1518" s="167"/>
      <c r="CE1518" s="167"/>
      <c r="CF1518" s="167"/>
      <c r="CG1518" s="167"/>
      <c r="CH1518" s="168"/>
      <c r="CI1518" s="101"/>
      <c r="CJ1518" s="101"/>
      <c r="CK1518" s="165"/>
    </row>
    <row r="1519" spans="1:89">
      <c r="A1519" s="166"/>
      <c r="B1519" s="101"/>
      <c r="C1519" s="100"/>
      <c r="D1519" s="167"/>
      <c r="E1519" s="167"/>
      <c r="F1519" s="167"/>
      <c r="G1519" s="167"/>
      <c r="H1519" s="168"/>
      <c r="I1519" s="101"/>
      <c r="J1519" s="101"/>
      <c r="K1519" s="165"/>
      <c r="CA1519" s="166"/>
      <c r="CB1519" s="101"/>
      <c r="CC1519" s="100"/>
      <c r="CD1519" s="167"/>
      <c r="CE1519" s="167"/>
      <c r="CF1519" s="167"/>
      <c r="CG1519" s="167"/>
      <c r="CH1519" s="168"/>
      <c r="CI1519" s="101"/>
      <c r="CJ1519" s="101"/>
      <c r="CK1519" s="165"/>
    </row>
    <row r="1520" spans="1:89">
      <c r="A1520" s="166"/>
      <c r="B1520" s="101"/>
      <c r="C1520" s="100"/>
      <c r="D1520" s="167"/>
      <c r="E1520" s="167"/>
      <c r="F1520" s="167"/>
      <c r="G1520" s="167"/>
      <c r="H1520" s="168"/>
      <c r="I1520" s="101"/>
      <c r="J1520" s="101"/>
      <c r="K1520" s="165"/>
      <c r="CA1520" s="166"/>
      <c r="CB1520" s="101"/>
      <c r="CC1520" s="100"/>
      <c r="CD1520" s="167"/>
      <c r="CE1520" s="167"/>
      <c r="CF1520" s="167"/>
      <c r="CG1520" s="167"/>
      <c r="CH1520" s="168"/>
      <c r="CI1520" s="101"/>
      <c r="CJ1520" s="101"/>
      <c r="CK1520" s="165"/>
    </row>
    <row r="1521" spans="1:89">
      <c r="A1521" s="166"/>
      <c r="B1521" s="101"/>
      <c r="C1521" s="100"/>
      <c r="D1521" s="167"/>
      <c r="E1521" s="167"/>
      <c r="F1521" s="167"/>
      <c r="G1521" s="167"/>
      <c r="H1521" s="168"/>
      <c r="I1521" s="101"/>
      <c r="J1521" s="164"/>
      <c r="K1521" s="169"/>
      <c r="CA1521" s="166"/>
      <c r="CB1521" s="101"/>
      <c r="CC1521" s="100"/>
      <c r="CD1521" s="167"/>
      <c r="CE1521" s="167"/>
      <c r="CF1521" s="167"/>
      <c r="CG1521" s="167"/>
      <c r="CH1521" s="168"/>
      <c r="CI1521" s="101"/>
      <c r="CJ1521" s="164"/>
      <c r="CK1521" s="169"/>
    </row>
    <row r="1522" spans="1:89">
      <c r="A1522" s="166"/>
      <c r="B1522" s="101"/>
      <c r="C1522" s="100"/>
      <c r="D1522" s="167"/>
      <c r="E1522" s="167"/>
      <c r="F1522" s="167"/>
      <c r="G1522" s="167"/>
      <c r="H1522" s="168"/>
      <c r="I1522" s="101"/>
      <c r="J1522" s="101"/>
      <c r="K1522" s="165"/>
      <c r="CA1522" s="166"/>
      <c r="CB1522" s="101"/>
      <c r="CC1522" s="100"/>
      <c r="CD1522" s="167"/>
      <c r="CE1522" s="167"/>
      <c r="CF1522" s="167"/>
      <c r="CG1522" s="167"/>
      <c r="CH1522" s="168"/>
      <c r="CI1522" s="101"/>
      <c r="CJ1522" s="101"/>
      <c r="CK1522" s="165"/>
    </row>
    <row r="1523" spans="1:89">
      <c r="A1523" s="166"/>
      <c r="B1523" s="101"/>
      <c r="C1523" s="100"/>
      <c r="D1523" s="167"/>
      <c r="E1523" s="167"/>
      <c r="F1523" s="167"/>
      <c r="G1523" s="167"/>
      <c r="H1523" s="168"/>
      <c r="I1523" s="101"/>
      <c r="J1523" s="101"/>
      <c r="K1523" s="165"/>
      <c r="CA1523" s="166"/>
      <c r="CB1523" s="101"/>
      <c r="CC1523" s="100"/>
      <c r="CD1523" s="167"/>
      <c r="CE1523" s="167"/>
      <c r="CF1523" s="167"/>
      <c r="CG1523" s="167"/>
      <c r="CH1523" s="168"/>
      <c r="CI1523" s="101"/>
      <c r="CJ1523" s="101"/>
      <c r="CK1523" s="165"/>
    </row>
    <row r="1524" spans="1:89">
      <c r="A1524" s="181"/>
      <c r="B1524" s="103"/>
      <c r="C1524" s="100"/>
      <c r="D1524" s="100"/>
      <c r="E1524" s="100"/>
      <c r="F1524" s="100"/>
      <c r="G1524" s="100"/>
      <c r="H1524" s="177"/>
      <c r="I1524" s="103"/>
      <c r="J1524" s="103"/>
      <c r="K1524" s="182"/>
      <c r="CA1524" s="181"/>
      <c r="CB1524" s="103"/>
      <c r="CC1524" s="100"/>
      <c r="CD1524" s="100"/>
      <c r="CE1524" s="100"/>
      <c r="CF1524" s="100"/>
      <c r="CG1524" s="100"/>
      <c r="CH1524" s="177"/>
      <c r="CI1524" s="103"/>
      <c r="CJ1524" s="103"/>
      <c r="CK1524" s="182"/>
    </row>
    <row r="1525" spans="1:89">
      <c r="A1525" s="179" t="s">
        <v>5023</v>
      </c>
      <c r="B1525" s="102"/>
      <c r="C1525" s="175" t="s">
        <v>5018</v>
      </c>
      <c r="D1525" s="175" t="s">
        <v>5701</v>
      </c>
      <c r="E1525" s="175" t="s">
        <v>5019</v>
      </c>
      <c r="F1525" s="175" t="s">
        <v>5020</v>
      </c>
      <c r="G1525" s="175" t="s">
        <v>5021</v>
      </c>
      <c r="H1525" s="175" t="s">
        <v>5022</v>
      </c>
      <c r="I1525" s="176" t="s">
        <v>5316</v>
      </c>
      <c r="J1525" s="176"/>
      <c r="K1525" s="180"/>
      <c r="CA1525" s="179" t="s">
        <v>5023</v>
      </c>
      <c r="CB1525" s="102"/>
      <c r="CC1525" s="175" t="s">
        <v>5018</v>
      </c>
      <c r="CD1525" s="175" t="s">
        <v>5701</v>
      </c>
      <c r="CE1525" s="175" t="s">
        <v>5019</v>
      </c>
      <c r="CF1525" s="175" t="s">
        <v>5020</v>
      </c>
      <c r="CG1525" s="175" t="s">
        <v>5021</v>
      </c>
      <c r="CH1525" s="175" t="s">
        <v>5022</v>
      </c>
      <c r="CI1525" s="176" t="s">
        <v>5316</v>
      </c>
      <c r="CJ1525" s="176"/>
      <c r="CK1525" s="180"/>
    </row>
    <row r="1526" spans="1:89">
      <c r="A1526" s="166"/>
      <c r="B1526" s="101"/>
      <c r="C1526" s="100"/>
      <c r="D1526" s="167"/>
      <c r="E1526" s="167"/>
      <c r="F1526" s="167"/>
      <c r="G1526" s="167"/>
      <c r="H1526" s="168"/>
      <c r="I1526" s="101"/>
      <c r="J1526" s="101"/>
      <c r="K1526" s="165"/>
      <c r="CA1526" s="166"/>
      <c r="CB1526" s="101"/>
      <c r="CC1526" s="100"/>
      <c r="CD1526" s="167"/>
      <c r="CE1526" s="167"/>
      <c r="CF1526" s="167"/>
      <c r="CG1526" s="167"/>
      <c r="CH1526" s="168"/>
      <c r="CI1526" s="101"/>
      <c r="CJ1526" s="101"/>
      <c r="CK1526" s="165"/>
    </row>
    <row r="1527" spans="1:89">
      <c r="A1527" s="166"/>
      <c r="B1527" s="101"/>
      <c r="C1527" s="100"/>
      <c r="D1527" s="167"/>
      <c r="E1527" s="167"/>
      <c r="F1527" s="167"/>
      <c r="G1527" s="167"/>
      <c r="H1527" s="168"/>
      <c r="I1527" s="101"/>
      <c r="J1527" s="101"/>
      <c r="K1527" s="165"/>
      <c r="CA1527" s="166"/>
      <c r="CB1527" s="101"/>
      <c r="CC1527" s="100"/>
      <c r="CD1527" s="167"/>
      <c r="CE1527" s="167"/>
      <c r="CF1527" s="167"/>
      <c r="CG1527" s="167"/>
      <c r="CH1527" s="168"/>
      <c r="CI1527" s="101"/>
      <c r="CJ1527" s="101"/>
      <c r="CK1527" s="165"/>
    </row>
    <row r="1528" spans="1:89">
      <c r="A1528" s="166"/>
      <c r="B1528" s="101"/>
      <c r="C1528" s="100"/>
      <c r="D1528" s="167"/>
      <c r="E1528" s="167"/>
      <c r="F1528" s="167"/>
      <c r="G1528" s="167"/>
      <c r="H1528" s="168"/>
      <c r="I1528" s="101"/>
      <c r="J1528" s="101"/>
      <c r="K1528" s="165"/>
      <c r="CA1528" s="166"/>
      <c r="CB1528" s="101"/>
      <c r="CC1528" s="100"/>
      <c r="CD1528" s="167"/>
      <c r="CE1528" s="167"/>
      <c r="CF1528" s="167"/>
      <c r="CG1528" s="167"/>
      <c r="CH1528" s="168"/>
      <c r="CI1528" s="101"/>
      <c r="CJ1528" s="101"/>
      <c r="CK1528" s="165"/>
    </row>
    <row r="1529" spans="1:89">
      <c r="A1529" s="166"/>
      <c r="B1529" s="101"/>
      <c r="C1529" s="100"/>
      <c r="D1529" s="167"/>
      <c r="E1529" s="167"/>
      <c r="F1529" s="167"/>
      <c r="G1529" s="167"/>
      <c r="H1529" s="168"/>
      <c r="I1529" s="101"/>
      <c r="J1529" s="101"/>
      <c r="K1529" s="165"/>
      <c r="CA1529" s="166"/>
      <c r="CB1529" s="101"/>
      <c r="CC1529" s="100"/>
      <c r="CD1529" s="167"/>
      <c r="CE1529" s="167"/>
      <c r="CF1529" s="167"/>
      <c r="CG1529" s="167"/>
      <c r="CH1529" s="168"/>
      <c r="CI1529" s="101"/>
      <c r="CJ1529" s="101"/>
      <c r="CK1529" s="165"/>
    </row>
    <row r="1530" spans="1:89">
      <c r="A1530" s="166"/>
      <c r="B1530" s="101"/>
      <c r="C1530" s="100"/>
      <c r="D1530" s="167"/>
      <c r="E1530" s="167"/>
      <c r="F1530" s="167"/>
      <c r="G1530" s="167"/>
      <c r="H1530" s="168"/>
      <c r="I1530" s="101"/>
      <c r="J1530" s="101"/>
      <c r="K1530" s="165"/>
      <c r="CA1530" s="166"/>
      <c r="CB1530" s="101"/>
      <c r="CC1530" s="100"/>
      <c r="CD1530" s="167"/>
      <c r="CE1530" s="167"/>
      <c r="CF1530" s="167"/>
      <c r="CG1530" s="167"/>
      <c r="CH1530" s="168"/>
      <c r="CI1530" s="101"/>
      <c r="CJ1530" s="101"/>
      <c r="CK1530" s="165"/>
    </row>
    <row r="1531" spans="1:89">
      <c r="A1531" s="166"/>
      <c r="B1531" s="101"/>
      <c r="C1531" s="100"/>
      <c r="D1531" s="167"/>
      <c r="E1531" s="167"/>
      <c r="F1531" s="167"/>
      <c r="G1531" s="167"/>
      <c r="H1531" s="168"/>
      <c r="I1531" s="101"/>
      <c r="J1531" s="101"/>
      <c r="K1531" s="165"/>
      <c r="CA1531" s="166"/>
      <c r="CB1531" s="101"/>
      <c r="CC1531" s="100"/>
      <c r="CD1531" s="167"/>
      <c r="CE1531" s="167"/>
      <c r="CF1531" s="167"/>
      <c r="CG1531" s="167"/>
      <c r="CH1531" s="168"/>
      <c r="CI1531" s="101"/>
      <c r="CJ1531" s="101"/>
      <c r="CK1531" s="165"/>
    </row>
    <row r="1532" spans="1:89">
      <c r="A1532" s="166"/>
      <c r="B1532" s="101"/>
      <c r="C1532" s="100"/>
      <c r="D1532" s="167"/>
      <c r="E1532" s="167"/>
      <c r="F1532" s="167"/>
      <c r="G1532" s="167"/>
      <c r="H1532" s="168"/>
      <c r="I1532" s="101"/>
      <c r="J1532" s="101"/>
      <c r="K1532" s="165"/>
      <c r="CA1532" s="166"/>
      <c r="CB1532" s="101"/>
      <c r="CC1532" s="100"/>
      <c r="CD1532" s="167"/>
      <c r="CE1532" s="167"/>
      <c r="CF1532" s="167"/>
      <c r="CG1532" s="167"/>
      <c r="CH1532" s="168"/>
      <c r="CI1532" s="101"/>
      <c r="CJ1532" s="101"/>
      <c r="CK1532" s="165"/>
    </row>
    <row r="1533" spans="1:89">
      <c r="A1533" s="166"/>
      <c r="B1533" s="101"/>
      <c r="C1533" s="100"/>
      <c r="D1533" s="167"/>
      <c r="E1533" s="167"/>
      <c r="F1533" s="167"/>
      <c r="G1533" s="167"/>
      <c r="H1533" s="168"/>
      <c r="I1533" s="101"/>
      <c r="J1533" s="101"/>
      <c r="K1533" s="165"/>
      <c r="CA1533" s="166"/>
      <c r="CB1533" s="101"/>
      <c r="CC1533" s="100"/>
      <c r="CD1533" s="167"/>
      <c r="CE1533" s="167"/>
      <c r="CF1533" s="167"/>
      <c r="CG1533" s="167"/>
      <c r="CH1533" s="168"/>
      <c r="CI1533" s="101"/>
      <c r="CJ1533" s="101"/>
      <c r="CK1533" s="165"/>
    </row>
    <row r="1534" spans="1:89">
      <c r="A1534" s="166"/>
      <c r="B1534" s="101"/>
      <c r="C1534" s="100"/>
      <c r="D1534" s="167"/>
      <c r="E1534" s="167"/>
      <c r="F1534" s="167"/>
      <c r="G1534" s="167"/>
      <c r="H1534" s="168"/>
      <c r="I1534" s="101"/>
      <c r="J1534" s="101"/>
      <c r="K1534" s="165"/>
      <c r="CA1534" s="166"/>
      <c r="CB1534" s="101"/>
      <c r="CC1534" s="100"/>
      <c r="CD1534" s="167"/>
      <c r="CE1534" s="167"/>
      <c r="CF1534" s="167"/>
      <c r="CG1534" s="167"/>
      <c r="CH1534" s="168"/>
      <c r="CI1534" s="101"/>
      <c r="CJ1534" s="101"/>
      <c r="CK1534" s="165"/>
    </row>
    <row r="1535" spans="1:89">
      <c r="A1535" s="166"/>
      <c r="B1535" s="101"/>
      <c r="C1535" s="100"/>
      <c r="D1535" s="167"/>
      <c r="E1535" s="167"/>
      <c r="F1535" s="167"/>
      <c r="G1535" s="167"/>
      <c r="H1535" s="168"/>
      <c r="I1535" s="101"/>
      <c r="J1535" s="101"/>
      <c r="K1535" s="165"/>
      <c r="CA1535" s="166"/>
      <c r="CB1535" s="101"/>
      <c r="CC1535" s="100"/>
      <c r="CD1535" s="167"/>
      <c r="CE1535" s="167"/>
      <c r="CF1535" s="167"/>
      <c r="CG1535" s="167"/>
      <c r="CH1535" s="168"/>
      <c r="CI1535" s="101"/>
      <c r="CJ1535" s="101"/>
      <c r="CK1535" s="165"/>
    </row>
    <row r="1536" spans="1:89">
      <c r="A1536" s="166"/>
      <c r="B1536" s="101"/>
      <c r="C1536" s="100"/>
      <c r="D1536" s="167"/>
      <c r="E1536" s="167"/>
      <c r="F1536" s="167"/>
      <c r="G1536" s="167"/>
      <c r="H1536" s="168"/>
      <c r="I1536" s="101"/>
      <c r="J1536" s="101"/>
      <c r="K1536" s="165"/>
      <c r="CA1536" s="166"/>
      <c r="CB1536" s="101"/>
      <c r="CC1536" s="100"/>
      <c r="CD1536" s="167"/>
      <c r="CE1536" s="167"/>
      <c r="CF1536" s="167"/>
      <c r="CG1536" s="167"/>
      <c r="CH1536" s="168"/>
      <c r="CI1536" s="101"/>
      <c r="CJ1536" s="101"/>
      <c r="CK1536" s="165"/>
    </row>
    <row r="1537" spans="1:89">
      <c r="A1537" s="166"/>
      <c r="B1537" s="101"/>
      <c r="C1537" s="100"/>
      <c r="D1537" s="167"/>
      <c r="E1537" s="167"/>
      <c r="F1537" s="167"/>
      <c r="G1537" s="167"/>
      <c r="H1537" s="168"/>
      <c r="I1537" s="101"/>
      <c r="J1537" s="101"/>
      <c r="K1537" s="165"/>
      <c r="CA1537" s="166"/>
      <c r="CB1537" s="101"/>
      <c r="CC1537" s="100"/>
      <c r="CD1537" s="167"/>
      <c r="CE1537" s="167"/>
      <c r="CF1537" s="167"/>
      <c r="CG1537" s="167"/>
      <c r="CH1537" s="168"/>
      <c r="CI1537" s="101"/>
      <c r="CJ1537" s="101"/>
      <c r="CK1537" s="165"/>
    </row>
    <row r="1538" spans="1:89">
      <c r="A1538" s="166"/>
      <c r="B1538" s="101"/>
      <c r="C1538" s="100"/>
      <c r="D1538" s="167"/>
      <c r="E1538" s="167"/>
      <c r="F1538" s="167"/>
      <c r="G1538" s="167"/>
      <c r="H1538" s="168"/>
      <c r="I1538" s="101"/>
      <c r="J1538" s="101"/>
      <c r="K1538" s="165"/>
      <c r="CA1538" s="166"/>
      <c r="CB1538" s="101"/>
      <c r="CC1538" s="100"/>
      <c r="CD1538" s="167"/>
      <c r="CE1538" s="167"/>
      <c r="CF1538" s="167"/>
      <c r="CG1538" s="167"/>
      <c r="CH1538" s="168"/>
      <c r="CI1538" s="101"/>
      <c r="CJ1538" s="101"/>
      <c r="CK1538" s="165"/>
    </row>
    <row r="1539" spans="1:89">
      <c r="A1539" s="166"/>
      <c r="B1539" s="101"/>
      <c r="C1539" s="100"/>
      <c r="D1539" s="167"/>
      <c r="E1539" s="167"/>
      <c r="F1539" s="167"/>
      <c r="G1539" s="167"/>
      <c r="H1539" s="168"/>
      <c r="I1539" s="101"/>
      <c r="J1539" s="101"/>
      <c r="K1539" s="165"/>
      <c r="CA1539" s="166"/>
      <c r="CB1539" s="101"/>
      <c r="CC1539" s="100"/>
      <c r="CD1539" s="167"/>
      <c r="CE1539" s="167"/>
      <c r="CF1539" s="167"/>
      <c r="CG1539" s="167"/>
      <c r="CH1539" s="168"/>
      <c r="CI1539" s="101"/>
      <c r="CJ1539" s="101"/>
      <c r="CK1539" s="165"/>
    </row>
    <row r="1540" spans="1:89">
      <c r="A1540" s="166"/>
      <c r="B1540" s="101"/>
      <c r="C1540" s="100"/>
      <c r="D1540" s="167"/>
      <c r="E1540" s="167"/>
      <c r="F1540" s="167"/>
      <c r="G1540" s="167"/>
      <c r="H1540" s="168"/>
      <c r="I1540" s="101"/>
      <c r="J1540" s="101"/>
      <c r="K1540" s="165"/>
      <c r="CA1540" s="166"/>
      <c r="CB1540" s="101"/>
      <c r="CC1540" s="100"/>
      <c r="CD1540" s="167"/>
      <c r="CE1540" s="167"/>
      <c r="CF1540" s="167"/>
      <c r="CG1540" s="167"/>
      <c r="CH1540" s="168"/>
      <c r="CI1540" s="101"/>
      <c r="CJ1540" s="101"/>
      <c r="CK1540" s="165"/>
    </row>
    <row r="1541" spans="1:89">
      <c r="A1541" s="181"/>
      <c r="B1541" s="103"/>
      <c r="C1541" s="100"/>
      <c r="D1541" s="100"/>
      <c r="E1541" s="100"/>
      <c r="F1541" s="100"/>
      <c r="G1541" s="100"/>
      <c r="H1541" s="177"/>
      <c r="I1541" s="103"/>
      <c r="J1541" s="103"/>
      <c r="K1541" s="182"/>
      <c r="CA1541" s="181"/>
      <c r="CB1541" s="103"/>
      <c r="CC1541" s="100"/>
      <c r="CD1541" s="100"/>
      <c r="CE1541" s="100"/>
      <c r="CF1541" s="100"/>
      <c r="CG1541" s="100"/>
      <c r="CH1541" s="177"/>
      <c r="CI1541" s="103"/>
      <c r="CJ1541" s="103"/>
      <c r="CK1541" s="182"/>
    </row>
    <row r="1542" spans="1:89">
      <c r="A1542" s="179" t="s">
        <v>5024</v>
      </c>
      <c r="B1542" s="102"/>
      <c r="C1542" s="175" t="s">
        <v>5018</v>
      </c>
      <c r="D1542" s="175" t="s">
        <v>5701</v>
      </c>
      <c r="E1542" s="175" t="s">
        <v>5019</v>
      </c>
      <c r="F1542" s="175" t="s">
        <v>5020</v>
      </c>
      <c r="G1542" s="175" t="s">
        <v>5021</v>
      </c>
      <c r="H1542" s="175" t="s">
        <v>5022</v>
      </c>
      <c r="I1542" s="176" t="s">
        <v>5316</v>
      </c>
      <c r="J1542" s="176"/>
      <c r="K1542" s="180"/>
      <c r="CA1542" s="179" t="s">
        <v>5024</v>
      </c>
      <c r="CB1542" s="102"/>
      <c r="CC1542" s="175" t="s">
        <v>5018</v>
      </c>
      <c r="CD1542" s="175" t="s">
        <v>5701</v>
      </c>
      <c r="CE1542" s="175" t="s">
        <v>5019</v>
      </c>
      <c r="CF1542" s="175" t="s">
        <v>5020</v>
      </c>
      <c r="CG1542" s="175" t="s">
        <v>5021</v>
      </c>
      <c r="CH1542" s="175" t="s">
        <v>5022</v>
      </c>
      <c r="CI1542" s="176" t="s">
        <v>5316</v>
      </c>
      <c r="CJ1542" s="176"/>
      <c r="CK1542" s="180"/>
    </row>
    <row r="1543" spans="1:89">
      <c r="A1543" s="166"/>
      <c r="B1543" s="101"/>
      <c r="C1543" s="100"/>
      <c r="D1543" s="167"/>
      <c r="E1543" s="167"/>
      <c r="F1543" s="167"/>
      <c r="G1543" s="167"/>
      <c r="H1543" s="168"/>
      <c r="I1543" s="101"/>
      <c r="J1543" s="101"/>
      <c r="K1543" s="165"/>
      <c r="CA1543" s="166"/>
      <c r="CB1543" s="101"/>
      <c r="CC1543" s="100"/>
      <c r="CD1543" s="167"/>
      <c r="CE1543" s="167"/>
      <c r="CF1543" s="167"/>
      <c r="CG1543" s="167"/>
      <c r="CH1543" s="168"/>
      <c r="CI1543" s="101"/>
      <c r="CJ1543" s="101"/>
      <c r="CK1543" s="165"/>
    </row>
    <row r="1544" spans="1:89">
      <c r="A1544" s="166"/>
      <c r="B1544" s="101"/>
      <c r="C1544" s="100"/>
      <c r="D1544" s="167"/>
      <c r="E1544" s="167"/>
      <c r="F1544" s="167"/>
      <c r="G1544" s="167"/>
      <c r="H1544" s="168"/>
      <c r="I1544" s="101"/>
      <c r="J1544" s="101"/>
      <c r="K1544" s="165"/>
      <c r="CA1544" s="166"/>
      <c r="CB1544" s="101"/>
      <c r="CC1544" s="100"/>
      <c r="CD1544" s="167"/>
      <c r="CE1544" s="167"/>
      <c r="CF1544" s="167"/>
      <c r="CG1544" s="167"/>
      <c r="CH1544" s="168"/>
      <c r="CI1544" s="101"/>
      <c r="CJ1544" s="101"/>
      <c r="CK1544" s="165"/>
    </row>
    <row r="1545" spans="1:89">
      <c r="A1545" s="166"/>
      <c r="B1545" s="101"/>
      <c r="C1545" s="100"/>
      <c r="D1545" s="167"/>
      <c r="E1545" s="167"/>
      <c r="F1545" s="167"/>
      <c r="G1545" s="167"/>
      <c r="H1545" s="168"/>
      <c r="I1545" s="101"/>
      <c r="J1545" s="101"/>
      <c r="K1545" s="165"/>
      <c r="CA1545" s="166"/>
      <c r="CB1545" s="101"/>
      <c r="CC1545" s="100"/>
      <c r="CD1545" s="167"/>
      <c r="CE1545" s="167"/>
      <c r="CF1545" s="167"/>
      <c r="CG1545" s="167"/>
      <c r="CH1545" s="168"/>
      <c r="CI1545" s="101"/>
      <c r="CJ1545" s="101"/>
      <c r="CK1545" s="165"/>
    </row>
    <row r="1546" spans="1:89">
      <c r="A1546" s="166"/>
      <c r="B1546" s="101"/>
      <c r="C1546" s="100"/>
      <c r="D1546" s="167"/>
      <c r="E1546" s="167"/>
      <c r="F1546" s="167"/>
      <c r="G1546" s="167"/>
      <c r="H1546" s="168"/>
      <c r="I1546" s="101"/>
      <c r="J1546" s="101"/>
      <c r="K1546" s="165"/>
      <c r="CA1546" s="166"/>
      <c r="CB1546" s="101"/>
      <c r="CC1546" s="100"/>
      <c r="CD1546" s="167"/>
      <c r="CE1546" s="167"/>
      <c r="CF1546" s="167"/>
      <c r="CG1546" s="167"/>
      <c r="CH1546" s="168"/>
      <c r="CI1546" s="101"/>
      <c r="CJ1546" s="101"/>
      <c r="CK1546" s="165"/>
    </row>
    <row r="1547" spans="1:89">
      <c r="A1547" s="166"/>
      <c r="B1547" s="101"/>
      <c r="C1547" s="100"/>
      <c r="D1547" s="167"/>
      <c r="E1547" s="167"/>
      <c r="F1547" s="167"/>
      <c r="G1547" s="167"/>
      <c r="H1547" s="168"/>
      <c r="I1547" s="101"/>
      <c r="J1547" s="101"/>
      <c r="K1547" s="165"/>
      <c r="CA1547" s="166"/>
      <c r="CB1547" s="101"/>
      <c r="CC1547" s="100"/>
      <c r="CD1547" s="167"/>
      <c r="CE1547" s="167"/>
      <c r="CF1547" s="167"/>
      <c r="CG1547" s="167"/>
      <c r="CH1547" s="168"/>
      <c r="CI1547" s="101"/>
      <c r="CJ1547" s="101"/>
      <c r="CK1547" s="165"/>
    </row>
    <row r="1548" spans="1:89">
      <c r="A1548" s="166"/>
      <c r="B1548" s="101"/>
      <c r="C1548" s="100"/>
      <c r="D1548" s="167"/>
      <c r="E1548" s="167"/>
      <c r="F1548" s="167"/>
      <c r="G1548" s="167"/>
      <c r="H1548" s="168"/>
      <c r="I1548" s="101"/>
      <c r="J1548" s="101"/>
      <c r="K1548" s="165"/>
      <c r="CA1548" s="166"/>
      <c r="CB1548" s="101"/>
      <c r="CC1548" s="100"/>
      <c r="CD1548" s="167"/>
      <c r="CE1548" s="167"/>
      <c r="CF1548" s="167"/>
      <c r="CG1548" s="167"/>
      <c r="CH1548" s="168"/>
      <c r="CI1548" s="101"/>
      <c r="CJ1548" s="101"/>
      <c r="CK1548" s="165"/>
    </row>
    <row r="1549" spans="1:89">
      <c r="A1549" s="166"/>
      <c r="B1549" s="101"/>
      <c r="C1549" s="100"/>
      <c r="D1549" s="167"/>
      <c r="E1549" s="167"/>
      <c r="F1549" s="167"/>
      <c r="G1549" s="167"/>
      <c r="H1549" s="168"/>
      <c r="I1549" s="101"/>
      <c r="J1549" s="101"/>
      <c r="K1549" s="165"/>
      <c r="CA1549" s="166"/>
      <c r="CB1549" s="101"/>
      <c r="CC1549" s="100"/>
      <c r="CD1549" s="167"/>
      <c r="CE1549" s="167"/>
      <c r="CF1549" s="167"/>
      <c r="CG1549" s="167"/>
      <c r="CH1549" s="168"/>
      <c r="CI1549" s="101"/>
      <c r="CJ1549" s="101"/>
      <c r="CK1549" s="165"/>
    </row>
    <row r="1550" spans="1:89">
      <c r="A1550" s="166"/>
      <c r="B1550" s="101"/>
      <c r="C1550" s="100"/>
      <c r="D1550" s="167"/>
      <c r="E1550" s="167"/>
      <c r="F1550" s="167"/>
      <c r="G1550" s="167"/>
      <c r="H1550" s="168"/>
      <c r="I1550" s="101"/>
      <c r="J1550" s="101"/>
      <c r="K1550" s="165"/>
      <c r="CA1550" s="166"/>
      <c r="CB1550" s="101"/>
      <c r="CC1550" s="100"/>
      <c r="CD1550" s="167"/>
      <c r="CE1550" s="167"/>
      <c r="CF1550" s="167"/>
      <c r="CG1550" s="167"/>
      <c r="CH1550" s="168"/>
      <c r="CI1550" s="101"/>
      <c r="CJ1550" s="101"/>
      <c r="CK1550" s="165"/>
    </row>
    <row r="1551" spans="1:89">
      <c r="A1551" s="166"/>
      <c r="B1551" s="101"/>
      <c r="C1551" s="100"/>
      <c r="D1551" s="167"/>
      <c r="E1551" s="167"/>
      <c r="F1551" s="167"/>
      <c r="G1551" s="167"/>
      <c r="H1551" s="168"/>
      <c r="I1551" s="101"/>
      <c r="J1551" s="101"/>
      <c r="K1551" s="165"/>
      <c r="CA1551" s="166"/>
      <c r="CB1551" s="101"/>
      <c r="CC1551" s="100"/>
      <c r="CD1551" s="167"/>
      <c r="CE1551" s="167"/>
      <c r="CF1551" s="167"/>
      <c r="CG1551" s="167"/>
      <c r="CH1551" s="168"/>
      <c r="CI1551" s="101"/>
      <c r="CJ1551" s="101"/>
      <c r="CK1551" s="165"/>
    </row>
    <row r="1552" spans="1:89">
      <c r="A1552" s="166"/>
      <c r="B1552" s="101"/>
      <c r="C1552" s="100"/>
      <c r="D1552" s="167"/>
      <c r="E1552" s="167"/>
      <c r="F1552" s="167"/>
      <c r="G1552" s="167"/>
      <c r="H1552" s="168"/>
      <c r="I1552" s="101"/>
      <c r="J1552" s="101"/>
      <c r="K1552" s="165"/>
      <c r="CA1552" s="166"/>
      <c r="CB1552" s="101"/>
      <c r="CC1552" s="100"/>
      <c r="CD1552" s="167"/>
      <c r="CE1552" s="167"/>
      <c r="CF1552" s="167"/>
      <c r="CG1552" s="167"/>
      <c r="CH1552" s="168"/>
      <c r="CI1552" s="101"/>
      <c r="CJ1552" s="101"/>
      <c r="CK1552" s="165"/>
    </row>
    <row r="1553" spans="1:89">
      <c r="A1553" s="166"/>
      <c r="B1553" s="101"/>
      <c r="C1553" s="100"/>
      <c r="D1553" s="167"/>
      <c r="E1553" s="167"/>
      <c r="F1553" s="167"/>
      <c r="G1553" s="167"/>
      <c r="H1553" s="168"/>
      <c r="I1553" s="101"/>
      <c r="J1553" s="101"/>
      <c r="K1553" s="165"/>
      <c r="CA1553" s="166"/>
      <c r="CB1553" s="101"/>
      <c r="CC1553" s="100"/>
      <c r="CD1553" s="167"/>
      <c r="CE1553" s="167"/>
      <c r="CF1553" s="167"/>
      <c r="CG1553" s="167"/>
      <c r="CH1553" s="168"/>
      <c r="CI1553" s="101"/>
      <c r="CJ1553" s="101"/>
      <c r="CK1553" s="165"/>
    </row>
    <row r="1554" spans="1:89">
      <c r="A1554" s="166"/>
      <c r="B1554" s="101"/>
      <c r="C1554" s="100"/>
      <c r="D1554" s="167"/>
      <c r="E1554" s="167"/>
      <c r="F1554" s="167"/>
      <c r="G1554" s="167"/>
      <c r="H1554" s="168"/>
      <c r="I1554" s="101"/>
      <c r="J1554" s="101"/>
      <c r="K1554" s="165"/>
      <c r="CA1554" s="166"/>
      <c r="CB1554" s="101"/>
      <c r="CC1554" s="100"/>
      <c r="CD1554" s="167"/>
      <c r="CE1554" s="167"/>
      <c r="CF1554" s="167"/>
      <c r="CG1554" s="167"/>
      <c r="CH1554" s="168"/>
      <c r="CI1554" s="101"/>
      <c r="CJ1554" s="101"/>
      <c r="CK1554" s="165"/>
    </row>
    <row r="1555" spans="1:89">
      <c r="A1555" s="166"/>
      <c r="B1555" s="101"/>
      <c r="C1555" s="100"/>
      <c r="D1555" s="167"/>
      <c r="E1555" s="167"/>
      <c r="F1555" s="167"/>
      <c r="G1555" s="167"/>
      <c r="H1555" s="168"/>
      <c r="I1555" s="101"/>
      <c r="J1555" s="101"/>
      <c r="K1555" s="165"/>
      <c r="CA1555" s="166"/>
      <c r="CB1555" s="101"/>
      <c r="CC1555" s="100"/>
      <c r="CD1555" s="167"/>
      <c r="CE1555" s="167"/>
      <c r="CF1555" s="167"/>
      <c r="CG1555" s="167"/>
      <c r="CH1555" s="168"/>
      <c r="CI1555" s="101"/>
      <c r="CJ1555" s="101"/>
      <c r="CK1555" s="165"/>
    </row>
    <row r="1556" spans="1:89">
      <c r="A1556" s="166"/>
      <c r="B1556" s="101"/>
      <c r="C1556" s="100"/>
      <c r="D1556" s="167"/>
      <c r="E1556" s="167"/>
      <c r="F1556" s="167"/>
      <c r="G1556" s="167"/>
      <c r="H1556" s="168"/>
      <c r="I1556" s="101"/>
      <c r="J1556" s="101"/>
      <c r="K1556" s="165"/>
      <c r="CA1556" s="166"/>
      <c r="CB1556" s="101"/>
      <c r="CC1556" s="100"/>
      <c r="CD1556" s="167"/>
      <c r="CE1556" s="167"/>
      <c r="CF1556" s="167"/>
      <c r="CG1556" s="167"/>
      <c r="CH1556" s="168"/>
      <c r="CI1556" s="101"/>
      <c r="CJ1556" s="101"/>
      <c r="CK1556" s="165"/>
    </row>
    <row r="1557" spans="1:89">
      <c r="A1557" s="166"/>
      <c r="B1557" s="101"/>
      <c r="C1557" s="100"/>
      <c r="D1557" s="167"/>
      <c r="E1557" s="167"/>
      <c r="F1557" s="167"/>
      <c r="G1557" s="167"/>
      <c r="H1557" s="168"/>
      <c r="I1557" s="101"/>
      <c r="J1557" s="101"/>
      <c r="K1557" s="165"/>
      <c r="CA1557" s="166"/>
      <c r="CB1557" s="101"/>
      <c r="CC1557" s="100"/>
      <c r="CD1557" s="167"/>
      <c r="CE1557" s="167"/>
      <c r="CF1557" s="167"/>
      <c r="CG1557" s="167"/>
      <c r="CH1557" s="168"/>
      <c r="CI1557" s="101"/>
      <c r="CJ1557" s="101"/>
      <c r="CK1557" s="165"/>
    </row>
    <row r="1558" spans="1:89">
      <c r="A1558" s="166"/>
      <c r="B1558" s="101"/>
      <c r="C1558" s="100"/>
      <c r="D1558" s="167"/>
      <c r="E1558" s="167"/>
      <c r="F1558" s="167"/>
      <c r="G1558" s="167"/>
      <c r="H1558" s="168"/>
      <c r="I1558" s="101"/>
      <c r="J1558" s="101"/>
      <c r="K1558" s="165"/>
      <c r="CA1558" s="166"/>
      <c r="CB1558" s="101"/>
      <c r="CC1558" s="100"/>
      <c r="CD1558" s="167"/>
      <c r="CE1558" s="167"/>
      <c r="CF1558" s="167"/>
      <c r="CG1558" s="167"/>
      <c r="CH1558" s="168"/>
      <c r="CI1558" s="101"/>
      <c r="CJ1558" s="101"/>
      <c r="CK1558" s="165"/>
    </row>
    <row r="1559" spans="1:89">
      <c r="A1559" s="166"/>
      <c r="B1559" s="101"/>
      <c r="C1559" s="100"/>
      <c r="D1559" s="167"/>
      <c r="E1559" s="167"/>
      <c r="F1559" s="167"/>
      <c r="G1559" s="167"/>
      <c r="H1559" s="168"/>
      <c r="I1559" s="101"/>
      <c r="J1559" s="101"/>
      <c r="K1559" s="165"/>
      <c r="CA1559" s="166"/>
      <c r="CB1559" s="101"/>
      <c r="CC1559" s="100"/>
      <c r="CD1559" s="167"/>
      <c r="CE1559" s="167"/>
      <c r="CF1559" s="167"/>
      <c r="CG1559" s="167"/>
      <c r="CH1559" s="168"/>
      <c r="CI1559" s="101"/>
      <c r="CJ1559" s="101"/>
      <c r="CK1559" s="165"/>
    </row>
    <row r="1560" spans="1:89">
      <c r="A1560" s="166"/>
      <c r="B1560" s="101"/>
      <c r="C1560" s="100"/>
      <c r="D1560" s="167"/>
      <c r="E1560" s="167"/>
      <c r="F1560" s="167"/>
      <c r="G1560" s="167"/>
      <c r="H1560" s="168"/>
      <c r="I1560" s="101"/>
      <c r="J1560" s="101"/>
      <c r="K1560" s="165"/>
      <c r="CA1560" s="166"/>
      <c r="CB1560" s="101"/>
      <c r="CC1560" s="100"/>
      <c r="CD1560" s="167"/>
      <c r="CE1560" s="167"/>
      <c r="CF1560" s="167"/>
      <c r="CG1560" s="167"/>
      <c r="CH1560" s="168"/>
      <c r="CI1560" s="101"/>
      <c r="CJ1560" s="101"/>
      <c r="CK1560" s="165"/>
    </row>
    <row r="1561" spans="1:89">
      <c r="A1561" s="166"/>
      <c r="B1561" s="101"/>
      <c r="C1561" s="100"/>
      <c r="D1561" s="167"/>
      <c r="E1561" s="167"/>
      <c r="F1561" s="167"/>
      <c r="G1561" s="167"/>
      <c r="H1561" s="168"/>
      <c r="I1561" s="101"/>
      <c r="J1561" s="101"/>
      <c r="K1561" s="165"/>
      <c r="CA1561" s="166"/>
      <c r="CB1561" s="101"/>
      <c r="CC1561" s="100"/>
      <c r="CD1561" s="167"/>
      <c r="CE1561" s="167"/>
      <c r="CF1561" s="167"/>
      <c r="CG1561" s="167"/>
      <c r="CH1561" s="168"/>
      <c r="CI1561" s="101"/>
      <c r="CJ1561" s="101"/>
      <c r="CK1561" s="165"/>
    </row>
    <row r="1562" spans="1:89">
      <c r="A1562" s="166"/>
      <c r="B1562" s="101"/>
      <c r="C1562" s="100"/>
      <c r="D1562" s="167"/>
      <c r="E1562" s="167"/>
      <c r="F1562" s="167"/>
      <c r="G1562" s="167"/>
      <c r="H1562" s="168"/>
      <c r="I1562" s="101"/>
      <c r="J1562" s="101"/>
      <c r="K1562" s="165"/>
      <c r="CA1562" s="166"/>
      <c r="CB1562" s="101"/>
      <c r="CC1562" s="100"/>
      <c r="CD1562" s="167"/>
      <c r="CE1562" s="167"/>
      <c r="CF1562" s="167"/>
      <c r="CG1562" s="167"/>
      <c r="CH1562" s="168"/>
      <c r="CI1562" s="101"/>
      <c r="CJ1562" s="101"/>
      <c r="CK1562" s="165"/>
    </row>
    <row r="1563" spans="1:89">
      <c r="A1563" s="181"/>
      <c r="B1563" s="103"/>
      <c r="C1563" s="100"/>
      <c r="D1563" s="100"/>
      <c r="E1563" s="100"/>
      <c r="F1563" s="100"/>
      <c r="G1563" s="100"/>
      <c r="H1563" s="177"/>
      <c r="I1563" s="103"/>
      <c r="J1563" s="103"/>
      <c r="K1563" s="182"/>
      <c r="CA1563" s="181"/>
      <c r="CB1563" s="103"/>
      <c r="CC1563" s="100"/>
      <c r="CD1563" s="100"/>
      <c r="CE1563" s="100"/>
      <c r="CF1563" s="100"/>
      <c r="CG1563" s="100"/>
      <c r="CH1563" s="177"/>
      <c r="CI1563" s="103"/>
      <c r="CJ1563" s="103"/>
      <c r="CK1563" s="182"/>
    </row>
    <row r="1564" spans="1:89">
      <c r="A1564" s="179" t="s">
        <v>5025</v>
      </c>
      <c r="B1564" s="102"/>
      <c r="C1564" s="175" t="s">
        <v>5018</v>
      </c>
      <c r="D1564" s="175" t="s">
        <v>5701</v>
      </c>
      <c r="E1564" s="175" t="s">
        <v>5019</v>
      </c>
      <c r="F1564" s="175" t="s">
        <v>5020</v>
      </c>
      <c r="G1564" s="175" t="s">
        <v>5021</v>
      </c>
      <c r="H1564" s="175" t="s">
        <v>5022</v>
      </c>
      <c r="I1564" s="176" t="s">
        <v>5316</v>
      </c>
      <c r="J1564" s="176"/>
      <c r="K1564" s="180"/>
      <c r="CA1564" s="179" t="s">
        <v>5025</v>
      </c>
      <c r="CB1564" s="102"/>
      <c r="CC1564" s="175" t="s">
        <v>5018</v>
      </c>
      <c r="CD1564" s="175" t="s">
        <v>5701</v>
      </c>
      <c r="CE1564" s="175" t="s">
        <v>5019</v>
      </c>
      <c r="CF1564" s="175" t="s">
        <v>5020</v>
      </c>
      <c r="CG1564" s="175" t="s">
        <v>5021</v>
      </c>
      <c r="CH1564" s="175" t="s">
        <v>5022</v>
      </c>
      <c r="CI1564" s="176" t="s">
        <v>5316</v>
      </c>
      <c r="CJ1564" s="176"/>
      <c r="CK1564" s="180"/>
    </row>
    <row r="1565" spans="1:89">
      <c r="A1565" s="166"/>
      <c r="B1565" s="101"/>
      <c r="C1565" s="100"/>
      <c r="D1565" s="167"/>
      <c r="E1565" s="167"/>
      <c r="F1565" s="167"/>
      <c r="G1565" s="167"/>
      <c r="H1565" s="168"/>
      <c r="I1565" s="101"/>
      <c r="J1565" s="101"/>
      <c r="K1565" s="165"/>
      <c r="CA1565" s="166"/>
      <c r="CB1565" s="101"/>
      <c r="CC1565" s="100"/>
      <c r="CD1565" s="167"/>
      <c r="CE1565" s="167"/>
      <c r="CF1565" s="167"/>
      <c r="CG1565" s="167"/>
      <c r="CH1565" s="168"/>
      <c r="CI1565" s="101"/>
      <c r="CJ1565" s="101"/>
      <c r="CK1565" s="165"/>
    </row>
    <row r="1566" spans="1:89">
      <c r="A1566" s="166"/>
      <c r="B1566" s="101"/>
      <c r="C1566" s="100"/>
      <c r="D1566" s="167"/>
      <c r="E1566" s="167"/>
      <c r="F1566" s="167"/>
      <c r="G1566" s="167"/>
      <c r="H1566" s="168"/>
      <c r="I1566" s="101"/>
      <c r="J1566" s="101"/>
      <c r="K1566" s="165"/>
      <c r="CA1566" s="166"/>
      <c r="CB1566" s="101"/>
      <c r="CC1566" s="100"/>
      <c r="CD1566" s="167"/>
      <c r="CE1566" s="167"/>
      <c r="CF1566" s="167"/>
      <c r="CG1566" s="167"/>
      <c r="CH1566" s="168"/>
      <c r="CI1566" s="101"/>
      <c r="CJ1566" s="101"/>
      <c r="CK1566" s="165"/>
    </row>
    <row r="1567" spans="1:89">
      <c r="A1567" s="166"/>
      <c r="B1567" s="101"/>
      <c r="C1567" s="100"/>
      <c r="D1567" s="167"/>
      <c r="E1567" s="167"/>
      <c r="F1567" s="167"/>
      <c r="G1567" s="167"/>
      <c r="H1567" s="168"/>
      <c r="I1567" s="101"/>
      <c r="J1567" s="101"/>
      <c r="K1567" s="165"/>
      <c r="CA1567" s="166"/>
      <c r="CB1567" s="101"/>
      <c r="CC1567" s="100"/>
      <c r="CD1567" s="167"/>
      <c r="CE1567" s="167"/>
      <c r="CF1567" s="167"/>
      <c r="CG1567" s="167"/>
      <c r="CH1567" s="168"/>
      <c r="CI1567" s="101"/>
      <c r="CJ1567" s="101"/>
      <c r="CK1567" s="165"/>
    </row>
    <row r="1568" spans="1:89">
      <c r="A1568" s="166"/>
      <c r="B1568" s="101"/>
      <c r="C1568" s="100"/>
      <c r="D1568" s="167"/>
      <c r="E1568" s="167"/>
      <c r="F1568" s="167"/>
      <c r="G1568" s="167"/>
      <c r="H1568" s="168"/>
      <c r="I1568" s="101"/>
      <c r="J1568" s="101"/>
      <c r="K1568" s="165"/>
      <c r="CA1568" s="166"/>
      <c r="CB1568" s="101"/>
      <c r="CC1568" s="100"/>
      <c r="CD1568" s="167"/>
      <c r="CE1568" s="167"/>
      <c r="CF1568" s="167"/>
      <c r="CG1568" s="167"/>
      <c r="CH1568" s="168"/>
      <c r="CI1568" s="101"/>
      <c r="CJ1568" s="101"/>
      <c r="CK1568" s="165"/>
    </row>
    <row r="1569" spans="1:89">
      <c r="A1569" s="166"/>
      <c r="B1569" s="101"/>
      <c r="C1569" s="100"/>
      <c r="D1569" s="167"/>
      <c r="E1569" s="167"/>
      <c r="F1569" s="167"/>
      <c r="G1569" s="167"/>
      <c r="H1569" s="168"/>
      <c r="I1569" s="101"/>
      <c r="J1569" s="101"/>
      <c r="K1569" s="165"/>
      <c r="CA1569" s="166"/>
      <c r="CB1569" s="101"/>
      <c r="CC1569" s="100"/>
      <c r="CD1569" s="167"/>
      <c r="CE1569" s="167"/>
      <c r="CF1569" s="167"/>
      <c r="CG1569" s="167"/>
      <c r="CH1569" s="168"/>
      <c r="CI1569" s="101"/>
      <c r="CJ1569" s="101"/>
      <c r="CK1569" s="165"/>
    </row>
    <row r="1570" spans="1:89">
      <c r="A1570" s="166"/>
      <c r="B1570" s="101"/>
      <c r="C1570" s="100"/>
      <c r="D1570" s="167"/>
      <c r="E1570" s="167"/>
      <c r="F1570" s="167"/>
      <c r="G1570" s="167"/>
      <c r="H1570" s="168"/>
      <c r="I1570" s="101"/>
      <c r="J1570" s="101"/>
      <c r="K1570" s="165"/>
      <c r="CA1570" s="166"/>
      <c r="CB1570" s="101"/>
      <c r="CC1570" s="100"/>
      <c r="CD1570" s="167"/>
      <c r="CE1570" s="167"/>
      <c r="CF1570" s="167"/>
      <c r="CG1570" s="167"/>
      <c r="CH1570" s="168"/>
      <c r="CI1570" s="101"/>
      <c r="CJ1570" s="101"/>
      <c r="CK1570" s="165"/>
    </row>
    <row r="1571" spans="1:89">
      <c r="A1571" s="166"/>
      <c r="B1571" s="101"/>
      <c r="C1571" s="100"/>
      <c r="D1571" s="167"/>
      <c r="E1571" s="167"/>
      <c r="F1571" s="167"/>
      <c r="G1571" s="167"/>
      <c r="H1571" s="168"/>
      <c r="I1571" s="101"/>
      <c r="J1571" s="101"/>
      <c r="K1571" s="165"/>
      <c r="CA1571" s="166"/>
      <c r="CB1571" s="101"/>
      <c r="CC1571" s="100"/>
      <c r="CD1571" s="167"/>
      <c r="CE1571" s="167"/>
      <c r="CF1571" s="167"/>
      <c r="CG1571" s="167"/>
      <c r="CH1571" s="168"/>
      <c r="CI1571" s="101"/>
      <c r="CJ1571" s="101"/>
      <c r="CK1571" s="165"/>
    </row>
    <row r="1572" spans="1:89">
      <c r="A1572" s="166"/>
      <c r="B1572" s="101"/>
      <c r="C1572" s="100"/>
      <c r="D1572" s="167"/>
      <c r="E1572" s="167"/>
      <c r="F1572" s="167"/>
      <c r="G1572" s="167"/>
      <c r="H1572" s="168"/>
      <c r="I1572" s="101"/>
      <c r="J1572" s="101"/>
      <c r="K1572" s="165"/>
      <c r="CA1572" s="166"/>
      <c r="CB1572" s="101"/>
      <c r="CC1572" s="100"/>
      <c r="CD1572" s="167"/>
      <c r="CE1572" s="167"/>
      <c r="CF1572" s="167"/>
      <c r="CG1572" s="167"/>
      <c r="CH1572" s="168"/>
      <c r="CI1572" s="101"/>
      <c r="CJ1572" s="101"/>
      <c r="CK1572" s="165"/>
    </row>
    <row r="1573" spans="1:89">
      <c r="A1573" s="166"/>
      <c r="B1573" s="101"/>
      <c r="C1573" s="100"/>
      <c r="D1573" s="167"/>
      <c r="E1573" s="167"/>
      <c r="F1573" s="167"/>
      <c r="G1573" s="167"/>
      <c r="H1573" s="168"/>
      <c r="I1573" s="101"/>
      <c r="J1573" s="101"/>
      <c r="K1573" s="165"/>
      <c r="CA1573" s="166"/>
      <c r="CB1573" s="101"/>
      <c r="CC1573" s="100"/>
      <c r="CD1573" s="167"/>
      <c r="CE1573" s="167"/>
      <c r="CF1573" s="167"/>
      <c r="CG1573" s="167"/>
      <c r="CH1573" s="168"/>
      <c r="CI1573" s="101"/>
      <c r="CJ1573" s="101"/>
      <c r="CK1573" s="165"/>
    </row>
    <row r="1574" spans="1:89">
      <c r="A1574" s="166"/>
      <c r="B1574" s="101"/>
      <c r="C1574" s="100"/>
      <c r="D1574" s="167"/>
      <c r="E1574" s="167"/>
      <c r="F1574" s="167"/>
      <c r="G1574" s="167"/>
      <c r="H1574" s="168"/>
      <c r="I1574" s="101"/>
      <c r="J1574" s="101"/>
      <c r="K1574" s="165"/>
      <c r="CA1574" s="166"/>
      <c r="CB1574" s="101"/>
      <c r="CC1574" s="100"/>
      <c r="CD1574" s="167"/>
      <c r="CE1574" s="167"/>
      <c r="CF1574" s="167"/>
      <c r="CG1574" s="167"/>
      <c r="CH1574" s="168"/>
      <c r="CI1574" s="101"/>
      <c r="CJ1574" s="101"/>
      <c r="CK1574" s="165"/>
    </row>
    <row r="1575" spans="1:89">
      <c r="A1575" s="166"/>
      <c r="B1575" s="101"/>
      <c r="C1575" s="100"/>
      <c r="D1575" s="167"/>
      <c r="E1575" s="167"/>
      <c r="F1575" s="167"/>
      <c r="G1575" s="167"/>
      <c r="H1575" s="168"/>
      <c r="I1575" s="101"/>
      <c r="J1575" s="101"/>
      <c r="K1575" s="165"/>
      <c r="CA1575" s="166"/>
      <c r="CB1575" s="101"/>
      <c r="CC1575" s="100"/>
      <c r="CD1575" s="167"/>
      <c r="CE1575" s="167"/>
      <c r="CF1575" s="167"/>
      <c r="CG1575" s="167"/>
      <c r="CH1575" s="168"/>
      <c r="CI1575" s="101"/>
      <c r="CJ1575" s="101"/>
      <c r="CK1575" s="165"/>
    </row>
    <row r="1576" spans="1:89">
      <c r="A1576" s="166"/>
      <c r="B1576" s="101"/>
      <c r="C1576" s="100"/>
      <c r="D1576" s="167"/>
      <c r="E1576" s="167"/>
      <c r="F1576" s="167"/>
      <c r="G1576" s="167"/>
      <c r="H1576" s="168"/>
      <c r="I1576" s="101"/>
      <c r="J1576" s="101"/>
      <c r="K1576" s="165"/>
      <c r="CA1576" s="166"/>
      <c r="CB1576" s="101"/>
      <c r="CC1576" s="100"/>
      <c r="CD1576" s="167"/>
      <c r="CE1576" s="167"/>
      <c r="CF1576" s="167"/>
      <c r="CG1576" s="167"/>
      <c r="CH1576" s="168"/>
      <c r="CI1576" s="101"/>
      <c r="CJ1576" s="101"/>
      <c r="CK1576" s="165"/>
    </row>
    <row r="1577" spans="1:89">
      <c r="A1577" s="166"/>
      <c r="B1577" s="101"/>
      <c r="C1577" s="100"/>
      <c r="D1577" s="167"/>
      <c r="E1577" s="167"/>
      <c r="F1577" s="167"/>
      <c r="G1577" s="167"/>
      <c r="H1577" s="168"/>
      <c r="I1577" s="101"/>
      <c r="J1577" s="101"/>
      <c r="K1577" s="165"/>
      <c r="CA1577" s="166"/>
      <c r="CB1577" s="101"/>
      <c r="CC1577" s="100"/>
      <c r="CD1577" s="167"/>
      <c r="CE1577" s="167"/>
      <c r="CF1577" s="167"/>
      <c r="CG1577" s="167"/>
      <c r="CH1577" s="168"/>
      <c r="CI1577" s="101"/>
      <c r="CJ1577" s="101"/>
      <c r="CK1577" s="165"/>
    </row>
    <row r="1578" spans="1:89">
      <c r="A1578" s="166"/>
      <c r="B1578" s="101"/>
      <c r="C1578" s="100"/>
      <c r="D1578" s="167"/>
      <c r="E1578" s="167"/>
      <c r="F1578" s="167"/>
      <c r="G1578" s="167"/>
      <c r="H1578" s="168"/>
      <c r="I1578" s="101"/>
      <c r="J1578" s="101"/>
      <c r="K1578" s="165"/>
      <c r="CA1578" s="166"/>
      <c r="CB1578" s="101"/>
      <c r="CC1578" s="100"/>
      <c r="CD1578" s="167"/>
      <c r="CE1578" s="167"/>
      <c r="CF1578" s="167"/>
      <c r="CG1578" s="167"/>
      <c r="CH1578" s="168"/>
      <c r="CI1578" s="101"/>
      <c r="CJ1578" s="101"/>
      <c r="CK1578" s="165"/>
    </row>
    <row r="1579" spans="1:89">
      <c r="A1579" s="166"/>
      <c r="B1579" s="101"/>
      <c r="C1579" s="100"/>
      <c r="D1579" s="167"/>
      <c r="E1579" s="167"/>
      <c r="F1579" s="167"/>
      <c r="G1579" s="167"/>
      <c r="H1579" s="168"/>
      <c r="I1579" s="101"/>
      <c r="J1579" s="101"/>
      <c r="K1579" s="165"/>
      <c r="CA1579" s="166"/>
      <c r="CB1579" s="101"/>
      <c r="CC1579" s="100"/>
      <c r="CD1579" s="167"/>
      <c r="CE1579" s="167"/>
      <c r="CF1579" s="167"/>
      <c r="CG1579" s="167"/>
      <c r="CH1579" s="168"/>
      <c r="CI1579" s="101"/>
      <c r="CJ1579" s="101"/>
      <c r="CK1579" s="165"/>
    </row>
    <row r="1580" spans="1:89">
      <c r="A1580" s="166"/>
      <c r="B1580" s="101"/>
      <c r="C1580" s="100"/>
      <c r="D1580" s="167"/>
      <c r="E1580" s="167"/>
      <c r="F1580" s="167"/>
      <c r="G1580" s="167"/>
      <c r="H1580" s="168"/>
      <c r="I1580" s="101"/>
      <c r="J1580" s="101"/>
      <c r="K1580" s="165"/>
      <c r="CA1580" s="166"/>
      <c r="CB1580" s="101"/>
      <c r="CC1580" s="100"/>
      <c r="CD1580" s="167"/>
      <c r="CE1580" s="167"/>
      <c r="CF1580" s="167"/>
      <c r="CG1580" s="167"/>
      <c r="CH1580" s="168"/>
      <c r="CI1580" s="101"/>
      <c r="CJ1580" s="101"/>
      <c r="CK1580" s="165"/>
    </row>
    <row r="1581" spans="1:89">
      <c r="A1581" s="166"/>
      <c r="B1581" s="101"/>
      <c r="C1581" s="100"/>
      <c r="D1581" s="167"/>
      <c r="E1581" s="167"/>
      <c r="F1581" s="167"/>
      <c r="G1581" s="167"/>
      <c r="H1581" s="168"/>
      <c r="I1581" s="101"/>
      <c r="J1581" s="101"/>
      <c r="K1581" s="165"/>
      <c r="CA1581" s="166"/>
      <c r="CB1581" s="101"/>
      <c r="CC1581" s="100"/>
      <c r="CD1581" s="167"/>
      <c r="CE1581" s="167"/>
      <c r="CF1581" s="167"/>
      <c r="CG1581" s="167"/>
      <c r="CH1581" s="168"/>
      <c r="CI1581" s="101"/>
      <c r="CJ1581" s="101"/>
      <c r="CK1581" s="165"/>
    </row>
    <row r="1582" spans="1:89">
      <c r="A1582" s="181"/>
      <c r="B1582" s="103"/>
      <c r="C1582" s="100"/>
      <c r="D1582" s="100"/>
      <c r="E1582" s="100"/>
      <c r="F1582" s="100"/>
      <c r="G1582" s="100"/>
      <c r="H1582" s="177"/>
      <c r="I1582" s="103"/>
      <c r="J1582" s="103"/>
      <c r="K1582" s="182"/>
      <c r="CA1582" s="181"/>
      <c r="CB1582" s="103"/>
      <c r="CC1582" s="100"/>
      <c r="CD1582" s="100"/>
      <c r="CE1582" s="100"/>
      <c r="CF1582" s="100"/>
      <c r="CG1582" s="100"/>
      <c r="CH1582" s="177"/>
      <c r="CI1582" s="103"/>
      <c r="CJ1582" s="103"/>
      <c r="CK1582" s="182"/>
    </row>
    <row r="1583" spans="1:89">
      <c r="A1583" s="179" t="s">
        <v>5026</v>
      </c>
      <c r="B1583" s="102"/>
      <c r="C1583" s="175" t="s">
        <v>5018</v>
      </c>
      <c r="D1583" s="175" t="s">
        <v>5701</v>
      </c>
      <c r="E1583" s="175" t="s">
        <v>5019</v>
      </c>
      <c r="F1583" s="175" t="s">
        <v>5020</v>
      </c>
      <c r="G1583" s="175" t="s">
        <v>5021</v>
      </c>
      <c r="H1583" s="175" t="s">
        <v>5022</v>
      </c>
      <c r="I1583" s="176" t="s">
        <v>5316</v>
      </c>
      <c r="J1583" s="176"/>
      <c r="K1583" s="180"/>
      <c r="CA1583" s="179" t="s">
        <v>5026</v>
      </c>
      <c r="CB1583" s="102"/>
      <c r="CC1583" s="175" t="s">
        <v>5018</v>
      </c>
      <c r="CD1583" s="175" t="s">
        <v>5701</v>
      </c>
      <c r="CE1583" s="175" t="s">
        <v>5019</v>
      </c>
      <c r="CF1583" s="175" t="s">
        <v>5020</v>
      </c>
      <c r="CG1583" s="175" t="s">
        <v>5021</v>
      </c>
      <c r="CH1583" s="175" t="s">
        <v>5022</v>
      </c>
      <c r="CI1583" s="176" t="s">
        <v>5316</v>
      </c>
      <c r="CJ1583" s="176"/>
      <c r="CK1583" s="180"/>
    </row>
    <row r="1584" spans="1:89">
      <c r="A1584" s="166"/>
      <c r="B1584" s="101"/>
      <c r="C1584" s="100"/>
      <c r="D1584" s="167"/>
      <c r="E1584" s="167"/>
      <c r="F1584" s="167"/>
      <c r="G1584" s="167"/>
      <c r="H1584" s="168"/>
      <c r="I1584" s="101"/>
      <c r="J1584" s="101"/>
      <c r="K1584" s="165"/>
      <c r="CA1584" s="166"/>
      <c r="CB1584" s="101"/>
      <c r="CC1584" s="100"/>
      <c r="CD1584" s="167"/>
      <c r="CE1584" s="167"/>
      <c r="CF1584" s="167"/>
      <c r="CG1584" s="167"/>
      <c r="CH1584" s="168"/>
      <c r="CI1584" s="101"/>
      <c r="CJ1584" s="101"/>
      <c r="CK1584" s="165"/>
    </row>
    <row r="1585" spans="1:89">
      <c r="A1585" s="166"/>
      <c r="B1585" s="101"/>
      <c r="C1585" s="100"/>
      <c r="D1585" s="167"/>
      <c r="E1585" s="167"/>
      <c r="F1585" s="167"/>
      <c r="G1585" s="167"/>
      <c r="H1585" s="168"/>
      <c r="I1585" s="101"/>
      <c r="J1585" s="101"/>
      <c r="K1585" s="165"/>
      <c r="CA1585" s="166"/>
      <c r="CB1585" s="101"/>
      <c r="CC1585" s="100"/>
      <c r="CD1585" s="167"/>
      <c r="CE1585" s="167"/>
      <c r="CF1585" s="167"/>
      <c r="CG1585" s="167"/>
      <c r="CH1585" s="168"/>
      <c r="CI1585" s="101"/>
      <c r="CJ1585" s="101"/>
      <c r="CK1585" s="165"/>
    </row>
    <row r="1586" spans="1:89">
      <c r="A1586" s="166"/>
      <c r="B1586" s="101"/>
      <c r="C1586" s="100"/>
      <c r="D1586" s="167"/>
      <c r="E1586" s="167"/>
      <c r="F1586" s="167"/>
      <c r="G1586" s="167"/>
      <c r="H1586" s="168"/>
      <c r="I1586" s="101"/>
      <c r="J1586" s="101"/>
      <c r="K1586" s="165"/>
      <c r="CA1586" s="166"/>
      <c r="CB1586" s="101"/>
      <c r="CC1586" s="100"/>
      <c r="CD1586" s="167"/>
      <c r="CE1586" s="167"/>
      <c r="CF1586" s="167"/>
      <c r="CG1586" s="167"/>
      <c r="CH1586" s="168"/>
      <c r="CI1586" s="101"/>
      <c r="CJ1586" s="101"/>
      <c r="CK1586" s="165"/>
    </row>
    <row r="1587" spans="1:89">
      <c r="A1587" s="166"/>
      <c r="B1587" s="101"/>
      <c r="C1587" s="100"/>
      <c r="D1587" s="167"/>
      <c r="E1587" s="167"/>
      <c r="F1587" s="167"/>
      <c r="G1587" s="167"/>
      <c r="H1587" s="168"/>
      <c r="I1587" s="101"/>
      <c r="J1587" s="101"/>
      <c r="K1587" s="165"/>
      <c r="CA1587" s="166"/>
      <c r="CB1587" s="101"/>
      <c r="CC1587" s="100"/>
      <c r="CD1587" s="167"/>
      <c r="CE1587" s="167"/>
      <c r="CF1587" s="167"/>
      <c r="CG1587" s="167"/>
      <c r="CH1587" s="168"/>
      <c r="CI1587" s="101"/>
      <c r="CJ1587" s="101"/>
      <c r="CK1587" s="165"/>
    </row>
    <row r="1588" spans="1:89">
      <c r="A1588" s="166"/>
      <c r="B1588" s="101"/>
      <c r="C1588" s="100"/>
      <c r="D1588" s="167"/>
      <c r="E1588" s="167"/>
      <c r="F1588" s="167"/>
      <c r="G1588" s="167"/>
      <c r="H1588" s="168"/>
      <c r="I1588" s="101"/>
      <c r="J1588" s="101"/>
      <c r="K1588" s="165"/>
      <c r="CA1588" s="166"/>
      <c r="CB1588" s="101"/>
      <c r="CC1588" s="100"/>
      <c r="CD1588" s="167"/>
      <c r="CE1588" s="167"/>
      <c r="CF1588" s="167"/>
      <c r="CG1588" s="167"/>
      <c r="CH1588" s="168"/>
      <c r="CI1588" s="101"/>
      <c r="CJ1588" s="101"/>
      <c r="CK1588" s="165"/>
    </row>
    <row r="1589" spans="1:89">
      <c r="A1589" s="166"/>
      <c r="B1589" s="101"/>
      <c r="C1589" s="100"/>
      <c r="D1589" s="167"/>
      <c r="E1589" s="167"/>
      <c r="F1589" s="167"/>
      <c r="G1589" s="167"/>
      <c r="H1589" s="168"/>
      <c r="I1589" s="101"/>
      <c r="J1589" s="101"/>
      <c r="K1589" s="165"/>
      <c r="CA1589" s="166"/>
      <c r="CB1589" s="101"/>
      <c r="CC1589" s="100"/>
      <c r="CD1589" s="167"/>
      <c r="CE1589" s="167"/>
      <c r="CF1589" s="167"/>
      <c r="CG1589" s="167"/>
      <c r="CH1589" s="168"/>
      <c r="CI1589" s="101"/>
      <c r="CJ1589" s="101"/>
      <c r="CK1589" s="165"/>
    </row>
    <row r="1590" spans="1:89">
      <c r="A1590" s="166"/>
      <c r="B1590" s="101"/>
      <c r="C1590" s="100"/>
      <c r="D1590" s="167"/>
      <c r="E1590" s="167"/>
      <c r="F1590" s="167"/>
      <c r="G1590" s="167"/>
      <c r="H1590" s="168"/>
      <c r="I1590" s="101"/>
      <c r="J1590" s="101"/>
      <c r="K1590" s="165"/>
      <c r="CA1590" s="166"/>
      <c r="CB1590" s="101"/>
      <c r="CC1590" s="100"/>
      <c r="CD1590" s="167"/>
      <c r="CE1590" s="167"/>
      <c r="CF1590" s="167"/>
      <c r="CG1590" s="167"/>
      <c r="CH1590" s="168"/>
      <c r="CI1590" s="101"/>
      <c r="CJ1590" s="101"/>
      <c r="CK1590" s="165"/>
    </row>
    <row r="1591" spans="1:89">
      <c r="A1591" s="166"/>
      <c r="B1591" s="101"/>
      <c r="C1591" s="100"/>
      <c r="D1591" s="167"/>
      <c r="E1591" s="167"/>
      <c r="F1591" s="167"/>
      <c r="G1591" s="167"/>
      <c r="H1591" s="168"/>
      <c r="I1591" s="101"/>
      <c r="J1591" s="101"/>
      <c r="K1591" s="165"/>
      <c r="CA1591" s="166"/>
      <c r="CB1591" s="101"/>
      <c r="CC1591" s="100"/>
      <c r="CD1591" s="167"/>
      <c r="CE1591" s="167"/>
      <c r="CF1591" s="167"/>
      <c r="CG1591" s="167"/>
      <c r="CH1591" s="168"/>
      <c r="CI1591" s="101"/>
      <c r="CJ1591" s="101"/>
      <c r="CK1591" s="165"/>
    </row>
    <row r="1592" spans="1:89">
      <c r="A1592" s="166"/>
      <c r="B1592" s="101"/>
      <c r="C1592" s="100"/>
      <c r="D1592" s="167"/>
      <c r="E1592" s="167"/>
      <c r="F1592" s="167"/>
      <c r="G1592" s="167"/>
      <c r="H1592" s="168"/>
      <c r="I1592" s="101"/>
      <c r="J1592" s="101"/>
      <c r="K1592" s="165"/>
      <c r="CA1592" s="166"/>
      <c r="CB1592" s="101"/>
      <c r="CC1592" s="100"/>
      <c r="CD1592" s="167"/>
      <c r="CE1592" s="167"/>
      <c r="CF1592" s="167"/>
      <c r="CG1592" s="167"/>
      <c r="CH1592" s="168"/>
      <c r="CI1592" s="101"/>
      <c r="CJ1592" s="101"/>
      <c r="CK1592" s="165"/>
    </row>
    <row r="1593" spans="1:89">
      <c r="A1593" s="166"/>
      <c r="B1593" s="101"/>
      <c r="C1593" s="100"/>
      <c r="D1593" s="167"/>
      <c r="E1593" s="167"/>
      <c r="F1593" s="167"/>
      <c r="G1593" s="167"/>
      <c r="H1593" s="168"/>
      <c r="I1593" s="101"/>
      <c r="J1593" s="101"/>
      <c r="K1593" s="165"/>
      <c r="CA1593" s="166"/>
      <c r="CB1593" s="101"/>
      <c r="CC1593" s="100"/>
      <c r="CD1593" s="167"/>
      <c r="CE1593" s="167"/>
      <c r="CF1593" s="167"/>
      <c r="CG1593" s="167"/>
      <c r="CH1593" s="168"/>
      <c r="CI1593" s="101"/>
      <c r="CJ1593" s="101"/>
      <c r="CK1593" s="165"/>
    </row>
    <row r="1594" spans="1:89">
      <c r="A1594" s="166"/>
      <c r="B1594" s="101"/>
      <c r="C1594" s="100"/>
      <c r="D1594" s="167"/>
      <c r="E1594" s="167"/>
      <c r="F1594" s="167"/>
      <c r="G1594" s="167"/>
      <c r="H1594" s="168"/>
      <c r="I1594" s="101"/>
      <c r="J1594" s="101"/>
      <c r="K1594" s="165"/>
      <c r="CA1594" s="166"/>
      <c r="CB1594" s="101"/>
      <c r="CC1594" s="100"/>
      <c r="CD1594" s="167"/>
      <c r="CE1594" s="167"/>
      <c r="CF1594" s="167"/>
      <c r="CG1594" s="167"/>
      <c r="CH1594" s="168"/>
      <c r="CI1594" s="101"/>
      <c r="CJ1594" s="101"/>
      <c r="CK1594" s="165"/>
    </row>
    <row r="1595" spans="1:89">
      <c r="A1595" s="166"/>
      <c r="B1595" s="101"/>
      <c r="C1595" s="100"/>
      <c r="D1595" s="167"/>
      <c r="E1595" s="167"/>
      <c r="F1595" s="167"/>
      <c r="G1595" s="167"/>
      <c r="H1595" s="168"/>
      <c r="I1595" s="101"/>
      <c r="J1595" s="101"/>
      <c r="K1595" s="165"/>
      <c r="CA1595" s="166"/>
      <c r="CB1595" s="101"/>
      <c r="CC1595" s="100"/>
      <c r="CD1595" s="167"/>
      <c r="CE1595" s="167"/>
      <c r="CF1595" s="167"/>
      <c r="CG1595" s="167"/>
      <c r="CH1595" s="168"/>
      <c r="CI1595" s="101"/>
      <c r="CJ1595" s="101"/>
      <c r="CK1595" s="165"/>
    </row>
    <row r="1596" spans="1:89">
      <c r="A1596" s="166"/>
      <c r="B1596" s="101"/>
      <c r="C1596" s="100"/>
      <c r="D1596" s="167"/>
      <c r="E1596" s="167"/>
      <c r="F1596" s="167"/>
      <c r="G1596" s="167"/>
      <c r="H1596" s="168"/>
      <c r="I1596" s="101"/>
      <c r="J1596" s="101"/>
      <c r="K1596" s="165"/>
      <c r="CA1596" s="166"/>
      <c r="CB1596" s="101"/>
      <c r="CC1596" s="100"/>
      <c r="CD1596" s="167"/>
      <c r="CE1596" s="167"/>
      <c r="CF1596" s="167"/>
      <c r="CG1596" s="167"/>
      <c r="CH1596" s="168"/>
      <c r="CI1596" s="101"/>
      <c r="CJ1596" s="101"/>
      <c r="CK1596" s="165"/>
    </row>
    <row r="1597" spans="1:89">
      <c r="A1597" s="166"/>
      <c r="B1597" s="101"/>
      <c r="C1597" s="100"/>
      <c r="D1597" s="167"/>
      <c r="E1597" s="167"/>
      <c r="F1597" s="167"/>
      <c r="G1597" s="167"/>
      <c r="H1597" s="168"/>
      <c r="I1597" s="101"/>
      <c r="J1597" s="101"/>
      <c r="K1597" s="165"/>
      <c r="CA1597" s="166"/>
      <c r="CB1597" s="101"/>
      <c r="CC1597" s="100"/>
      <c r="CD1597" s="167"/>
      <c r="CE1597" s="167"/>
      <c r="CF1597" s="167"/>
      <c r="CG1597" s="167"/>
      <c r="CH1597" s="168"/>
      <c r="CI1597" s="101"/>
      <c r="CJ1597" s="101"/>
      <c r="CK1597" s="165"/>
    </row>
    <row r="1598" spans="1:89">
      <c r="A1598" s="166"/>
      <c r="B1598" s="101"/>
      <c r="C1598" s="100"/>
      <c r="D1598" s="167"/>
      <c r="E1598" s="167"/>
      <c r="F1598" s="167"/>
      <c r="G1598" s="167"/>
      <c r="H1598" s="168"/>
      <c r="I1598" s="101"/>
      <c r="J1598" s="101"/>
      <c r="K1598" s="165"/>
      <c r="CA1598" s="166"/>
      <c r="CB1598" s="101"/>
      <c r="CC1598" s="100"/>
      <c r="CD1598" s="167"/>
      <c r="CE1598" s="167"/>
      <c r="CF1598" s="167"/>
      <c r="CG1598" s="167"/>
      <c r="CH1598" s="168"/>
      <c r="CI1598" s="101"/>
      <c r="CJ1598" s="101"/>
      <c r="CK1598" s="165"/>
    </row>
    <row r="1599" spans="1:89">
      <c r="A1599" s="166"/>
      <c r="B1599" s="101"/>
      <c r="C1599" s="100"/>
      <c r="D1599" s="167"/>
      <c r="E1599" s="167"/>
      <c r="F1599" s="167"/>
      <c r="G1599" s="167"/>
      <c r="H1599" s="168"/>
      <c r="I1599" s="101"/>
      <c r="J1599" s="101"/>
      <c r="K1599" s="165"/>
      <c r="CA1599" s="166"/>
      <c r="CB1599" s="101"/>
      <c r="CC1599" s="100"/>
      <c r="CD1599" s="167"/>
      <c r="CE1599" s="167"/>
      <c r="CF1599" s="167"/>
      <c r="CG1599" s="167"/>
      <c r="CH1599" s="168"/>
      <c r="CI1599" s="101"/>
      <c r="CJ1599" s="101"/>
      <c r="CK1599" s="165"/>
    </row>
    <row r="1600" spans="1:89">
      <c r="A1600" s="166"/>
      <c r="B1600" s="101"/>
      <c r="C1600" s="100"/>
      <c r="D1600" s="167"/>
      <c r="E1600" s="167"/>
      <c r="F1600" s="167"/>
      <c r="G1600" s="167"/>
      <c r="H1600" s="168"/>
      <c r="I1600" s="101"/>
      <c r="J1600" s="101"/>
      <c r="K1600" s="165"/>
      <c r="CA1600" s="166"/>
      <c r="CB1600" s="101"/>
      <c r="CC1600" s="100"/>
      <c r="CD1600" s="167"/>
      <c r="CE1600" s="167"/>
      <c r="CF1600" s="167"/>
      <c r="CG1600" s="167"/>
      <c r="CH1600" s="168"/>
      <c r="CI1600" s="101"/>
      <c r="CJ1600" s="101"/>
      <c r="CK1600" s="165"/>
    </row>
    <row r="1601" spans="1:89">
      <c r="A1601" s="166"/>
      <c r="B1601" s="101"/>
      <c r="C1601" s="100"/>
      <c r="D1601" s="167"/>
      <c r="E1601" s="167"/>
      <c r="F1601" s="167"/>
      <c r="G1601" s="167"/>
      <c r="H1601" s="168"/>
      <c r="I1601" s="101"/>
      <c r="J1601" s="101"/>
      <c r="K1601" s="165"/>
      <c r="CA1601" s="166"/>
      <c r="CB1601" s="101"/>
      <c r="CC1601" s="100"/>
      <c r="CD1601" s="167"/>
      <c r="CE1601" s="167"/>
      <c r="CF1601" s="167"/>
      <c r="CG1601" s="167"/>
      <c r="CH1601" s="168"/>
      <c r="CI1601" s="101"/>
      <c r="CJ1601" s="101"/>
      <c r="CK1601" s="165"/>
    </row>
    <row r="1602" spans="1:89">
      <c r="A1602" s="181"/>
      <c r="B1602" s="103"/>
      <c r="C1602" s="100"/>
      <c r="D1602" s="100"/>
      <c r="E1602" s="100"/>
      <c r="F1602" s="100"/>
      <c r="G1602" s="100"/>
      <c r="H1602" s="177"/>
      <c r="I1602" s="103"/>
      <c r="J1602" s="103"/>
      <c r="K1602" s="182"/>
      <c r="CA1602" s="181"/>
      <c r="CB1602" s="103"/>
      <c r="CC1602" s="100"/>
      <c r="CD1602" s="100"/>
      <c r="CE1602" s="100"/>
      <c r="CF1602" s="100"/>
      <c r="CG1602" s="100"/>
      <c r="CH1602" s="177"/>
      <c r="CI1602" s="103"/>
      <c r="CJ1602" s="103"/>
      <c r="CK1602" s="182"/>
    </row>
    <row r="1603" spans="1:89">
      <c r="A1603" s="179" t="s">
        <v>5027</v>
      </c>
      <c r="B1603" s="102"/>
      <c r="C1603" s="175" t="s">
        <v>5018</v>
      </c>
      <c r="D1603" s="175" t="s">
        <v>5701</v>
      </c>
      <c r="E1603" s="175" t="s">
        <v>5019</v>
      </c>
      <c r="F1603" s="175" t="s">
        <v>5020</v>
      </c>
      <c r="G1603" s="175" t="s">
        <v>5021</v>
      </c>
      <c r="H1603" s="175" t="s">
        <v>5022</v>
      </c>
      <c r="I1603" s="176" t="s">
        <v>5316</v>
      </c>
      <c r="J1603" s="176"/>
      <c r="K1603" s="180"/>
      <c r="CA1603" s="179" t="s">
        <v>5027</v>
      </c>
      <c r="CB1603" s="102"/>
      <c r="CC1603" s="175" t="s">
        <v>5018</v>
      </c>
      <c r="CD1603" s="175" t="s">
        <v>5701</v>
      </c>
      <c r="CE1603" s="175" t="s">
        <v>5019</v>
      </c>
      <c r="CF1603" s="175" t="s">
        <v>5020</v>
      </c>
      <c r="CG1603" s="175" t="s">
        <v>5021</v>
      </c>
      <c r="CH1603" s="175" t="s">
        <v>5022</v>
      </c>
      <c r="CI1603" s="176" t="s">
        <v>5316</v>
      </c>
      <c r="CJ1603" s="176"/>
      <c r="CK1603" s="180"/>
    </row>
    <row r="1604" spans="1:89">
      <c r="A1604" s="166"/>
      <c r="B1604" s="101"/>
      <c r="C1604" s="100"/>
      <c r="D1604" s="167"/>
      <c r="E1604" s="167"/>
      <c r="F1604" s="167"/>
      <c r="G1604" s="167"/>
      <c r="H1604" s="168"/>
      <c r="I1604" s="101"/>
      <c r="J1604" s="101"/>
      <c r="K1604" s="165"/>
      <c r="CA1604" s="166"/>
      <c r="CB1604" s="101"/>
      <c r="CC1604" s="100"/>
      <c r="CD1604" s="167"/>
      <c r="CE1604" s="167"/>
      <c r="CF1604" s="167"/>
      <c r="CG1604" s="167"/>
      <c r="CH1604" s="168"/>
      <c r="CI1604" s="101"/>
      <c r="CJ1604" s="101"/>
      <c r="CK1604" s="165"/>
    </row>
    <row r="1605" spans="1:89">
      <c r="A1605" s="166"/>
      <c r="B1605" s="101"/>
      <c r="C1605" s="100"/>
      <c r="D1605" s="167"/>
      <c r="E1605" s="167"/>
      <c r="F1605" s="167"/>
      <c r="G1605" s="167"/>
      <c r="H1605" s="168"/>
      <c r="I1605" s="101"/>
      <c r="J1605" s="101"/>
      <c r="K1605" s="165"/>
      <c r="CA1605" s="166"/>
      <c r="CB1605" s="101"/>
      <c r="CC1605" s="100"/>
      <c r="CD1605" s="167"/>
      <c r="CE1605" s="167"/>
      <c r="CF1605" s="167"/>
      <c r="CG1605" s="167"/>
      <c r="CH1605" s="168"/>
      <c r="CI1605" s="101"/>
      <c r="CJ1605" s="101"/>
      <c r="CK1605" s="165"/>
    </row>
    <row r="1606" spans="1:89">
      <c r="A1606" s="166"/>
      <c r="B1606" s="101"/>
      <c r="C1606" s="100"/>
      <c r="D1606" s="167"/>
      <c r="E1606" s="167"/>
      <c r="F1606" s="167"/>
      <c r="G1606" s="167"/>
      <c r="H1606" s="168"/>
      <c r="I1606" s="101"/>
      <c r="J1606" s="101"/>
      <c r="K1606" s="165"/>
      <c r="CA1606" s="166"/>
      <c r="CB1606" s="101"/>
      <c r="CC1606" s="100"/>
      <c r="CD1606" s="167"/>
      <c r="CE1606" s="167"/>
      <c r="CF1606" s="167"/>
      <c r="CG1606" s="167"/>
      <c r="CH1606" s="168"/>
      <c r="CI1606" s="101"/>
      <c r="CJ1606" s="101"/>
      <c r="CK1606" s="165"/>
    </row>
    <row r="1607" spans="1:89">
      <c r="A1607" s="166"/>
      <c r="B1607" s="101"/>
      <c r="C1607" s="100"/>
      <c r="D1607" s="167"/>
      <c r="E1607" s="167"/>
      <c r="F1607" s="167"/>
      <c r="G1607" s="167"/>
      <c r="H1607" s="168"/>
      <c r="I1607" s="101"/>
      <c r="J1607" s="101"/>
      <c r="K1607" s="165"/>
      <c r="CA1607" s="166"/>
      <c r="CB1607" s="101"/>
      <c r="CC1607" s="100"/>
      <c r="CD1607" s="167"/>
      <c r="CE1607" s="167"/>
      <c r="CF1607" s="167"/>
      <c r="CG1607" s="167"/>
      <c r="CH1607" s="168"/>
      <c r="CI1607" s="101"/>
      <c r="CJ1607" s="101"/>
      <c r="CK1607" s="165"/>
    </row>
    <row r="1608" spans="1:89">
      <c r="A1608" s="166"/>
      <c r="B1608" s="101"/>
      <c r="C1608" s="100"/>
      <c r="D1608" s="167"/>
      <c r="E1608" s="167"/>
      <c r="F1608" s="167"/>
      <c r="G1608" s="167"/>
      <c r="H1608" s="168"/>
      <c r="I1608" s="101"/>
      <c r="J1608" s="101"/>
      <c r="K1608" s="165"/>
      <c r="CA1608" s="166"/>
      <c r="CB1608" s="101"/>
      <c r="CC1608" s="100"/>
      <c r="CD1608" s="167"/>
      <c r="CE1608" s="167"/>
      <c r="CF1608" s="167"/>
      <c r="CG1608" s="167"/>
      <c r="CH1608" s="168"/>
      <c r="CI1608" s="101"/>
      <c r="CJ1608" s="101"/>
      <c r="CK1608" s="165"/>
    </row>
    <row r="1609" spans="1:89">
      <c r="A1609" s="166"/>
      <c r="B1609" s="101"/>
      <c r="C1609" s="100"/>
      <c r="D1609" s="167"/>
      <c r="E1609" s="167"/>
      <c r="F1609" s="167"/>
      <c r="G1609" s="167"/>
      <c r="H1609" s="168"/>
      <c r="I1609" s="101"/>
      <c r="J1609" s="101"/>
      <c r="K1609" s="165"/>
      <c r="CA1609" s="166"/>
      <c r="CB1609" s="101"/>
      <c r="CC1609" s="100"/>
      <c r="CD1609" s="167"/>
      <c r="CE1609" s="167"/>
      <c r="CF1609" s="167"/>
      <c r="CG1609" s="167"/>
      <c r="CH1609" s="168"/>
      <c r="CI1609" s="101"/>
      <c r="CJ1609" s="101"/>
      <c r="CK1609" s="165"/>
    </row>
    <row r="1610" spans="1:89">
      <c r="A1610" s="166"/>
      <c r="B1610" s="101"/>
      <c r="C1610" s="100"/>
      <c r="D1610" s="167"/>
      <c r="E1610" s="167"/>
      <c r="F1610" s="167"/>
      <c r="G1610" s="167"/>
      <c r="H1610" s="168"/>
      <c r="I1610" s="101"/>
      <c r="J1610" s="101"/>
      <c r="K1610" s="165"/>
      <c r="CA1610" s="166"/>
      <c r="CB1610" s="101"/>
      <c r="CC1610" s="100"/>
      <c r="CD1610" s="167"/>
      <c r="CE1610" s="167"/>
      <c r="CF1610" s="167"/>
      <c r="CG1610" s="167"/>
      <c r="CH1610" s="168"/>
      <c r="CI1610" s="101"/>
      <c r="CJ1610" s="101"/>
      <c r="CK1610" s="165"/>
    </row>
    <row r="1611" spans="1:89">
      <c r="A1611" s="166"/>
      <c r="B1611" s="101"/>
      <c r="C1611" s="100"/>
      <c r="D1611" s="167"/>
      <c r="E1611" s="167"/>
      <c r="F1611" s="167"/>
      <c r="G1611" s="167"/>
      <c r="H1611" s="168"/>
      <c r="I1611" s="101"/>
      <c r="J1611" s="101"/>
      <c r="K1611" s="165"/>
      <c r="CA1611" s="166"/>
      <c r="CB1611" s="101"/>
      <c r="CC1611" s="100"/>
      <c r="CD1611" s="167"/>
      <c r="CE1611" s="167"/>
      <c r="CF1611" s="167"/>
      <c r="CG1611" s="167"/>
      <c r="CH1611" s="168"/>
      <c r="CI1611" s="101"/>
      <c r="CJ1611" s="101"/>
      <c r="CK1611" s="165"/>
    </row>
    <row r="1612" spans="1:89">
      <c r="A1612" s="166"/>
      <c r="B1612" s="101"/>
      <c r="C1612" s="100"/>
      <c r="D1612" s="167"/>
      <c r="E1612" s="167"/>
      <c r="F1612" s="167"/>
      <c r="G1612" s="167"/>
      <c r="H1612" s="168"/>
      <c r="I1612" s="101"/>
      <c r="J1612" s="101"/>
      <c r="K1612" s="165"/>
      <c r="CA1612" s="166"/>
      <c r="CB1612" s="101"/>
      <c r="CC1612" s="100"/>
      <c r="CD1612" s="167"/>
      <c r="CE1612" s="167"/>
      <c r="CF1612" s="167"/>
      <c r="CG1612" s="167"/>
      <c r="CH1612" s="168"/>
      <c r="CI1612" s="101"/>
      <c r="CJ1612" s="101"/>
      <c r="CK1612" s="165"/>
    </row>
    <row r="1613" spans="1:89">
      <c r="A1613" s="166"/>
      <c r="B1613" s="101"/>
      <c r="C1613" s="100"/>
      <c r="D1613" s="167"/>
      <c r="E1613" s="167"/>
      <c r="F1613" s="167"/>
      <c r="G1613" s="167"/>
      <c r="H1613" s="168"/>
      <c r="I1613" s="101"/>
      <c r="J1613" s="101"/>
      <c r="K1613" s="165"/>
      <c r="CA1613" s="166"/>
      <c r="CB1613" s="101"/>
      <c r="CC1613" s="100"/>
      <c r="CD1613" s="167"/>
      <c r="CE1613" s="167"/>
      <c r="CF1613" s="167"/>
      <c r="CG1613" s="167"/>
      <c r="CH1613" s="168"/>
      <c r="CI1613" s="101"/>
      <c r="CJ1613" s="101"/>
      <c r="CK1613" s="165"/>
    </row>
    <row r="1614" spans="1:89">
      <c r="A1614" s="166"/>
      <c r="B1614" s="101"/>
      <c r="C1614" s="100"/>
      <c r="D1614" s="167"/>
      <c r="E1614" s="167"/>
      <c r="F1614" s="167"/>
      <c r="G1614" s="167"/>
      <c r="H1614" s="168"/>
      <c r="I1614" s="101"/>
      <c r="J1614" s="101"/>
      <c r="K1614" s="165"/>
      <c r="CA1614" s="166"/>
      <c r="CB1614" s="101"/>
      <c r="CC1614" s="100"/>
      <c r="CD1614" s="167"/>
      <c r="CE1614" s="167"/>
      <c r="CF1614" s="167"/>
      <c r="CG1614" s="167"/>
      <c r="CH1614" s="168"/>
      <c r="CI1614" s="101"/>
      <c r="CJ1614" s="101"/>
      <c r="CK1614" s="165"/>
    </row>
    <row r="1615" spans="1:89">
      <c r="A1615" s="166"/>
      <c r="B1615" s="101"/>
      <c r="C1615" s="100"/>
      <c r="D1615" s="167"/>
      <c r="E1615" s="167"/>
      <c r="F1615" s="167"/>
      <c r="G1615" s="167"/>
      <c r="H1615" s="168"/>
      <c r="I1615" s="101"/>
      <c r="J1615" s="101"/>
      <c r="K1615" s="165"/>
      <c r="CA1615" s="166"/>
      <c r="CB1615" s="101"/>
      <c r="CC1615" s="100"/>
      <c r="CD1615" s="167"/>
      <c r="CE1615" s="167"/>
      <c r="CF1615" s="167"/>
      <c r="CG1615" s="167"/>
      <c r="CH1615" s="168"/>
      <c r="CI1615" s="101"/>
      <c r="CJ1615" s="101"/>
      <c r="CK1615" s="165"/>
    </row>
    <row r="1616" spans="1:89">
      <c r="A1616" s="179"/>
      <c r="B1616" s="102"/>
      <c r="C1616" s="175"/>
      <c r="D1616" s="175"/>
      <c r="E1616" s="175"/>
      <c r="F1616" s="175"/>
      <c r="G1616" s="175"/>
      <c r="H1616" s="175"/>
      <c r="I1616" s="176"/>
      <c r="J1616" s="176"/>
      <c r="K1616" s="180"/>
      <c r="CA1616" s="179" t="s">
        <v>5217</v>
      </c>
      <c r="CB1616" s="102"/>
      <c r="CC1616" s="175" t="s">
        <v>5018</v>
      </c>
      <c r="CD1616" s="175" t="s">
        <v>5701</v>
      </c>
      <c r="CE1616" s="175" t="s">
        <v>5019</v>
      </c>
      <c r="CF1616" s="175" t="s">
        <v>5020</v>
      </c>
      <c r="CG1616" s="175" t="s">
        <v>5021</v>
      </c>
      <c r="CH1616" s="175" t="s">
        <v>5022</v>
      </c>
      <c r="CI1616" s="176" t="s">
        <v>5316</v>
      </c>
      <c r="CJ1616" s="176"/>
      <c r="CK1616" s="180"/>
    </row>
    <row r="1617" spans="1:89">
      <c r="A1617" s="166" t="s">
        <v>5217</v>
      </c>
      <c r="B1617" s="101"/>
      <c r="C1617" s="100" t="s">
        <v>5018</v>
      </c>
      <c r="D1617" s="167" t="s">
        <v>5701</v>
      </c>
      <c r="E1617" s="167" t="s">
        <v>5019</v>
      </c>
      <c r="F1617" s="167" t="s">
        <v>5020</v>
      </c>
      <c r="G1617" s="167" t="s">
        <v>5021</v>
      </c>
      <c r="H1617" s="168" t="s">
        <v>5022</v>
      </c>
      <c r="I1617" s="101" t="s">
        <v>5316</v>
      </c>
      <c r="J1617" s="101"/>
      <c r="K1617" s="165"/>
      <c r="CA1617" s="166"/>
      <c r="CB1617" s="101"/>
      <c r="CC1617" s="100"/>
      <c r="CD1617" s="167"/>
      <c r="CE1617" s="167"/>
      <c r="CF1617" s="167"/>
      <c r="CG1617" s="167"/>
      <c r="CH1617" s="168"/>
      <c r="CI1617" s="101"/>
      <c r="CJ1617" s="101"/>
      <c r="CK1617" s="165"/>
    </row>
    <row r="1618" spans="1:89">
      <c r="A1618" s="166"/>
      <c r="B1618" s="101"/>
      <c r="C1618" s="100"/>
      <c r="D1618" s="167"/>
      <c r="E1618" s="167"/>
      <c r="F1618" s="167"/>
      <c r="G1618" s="167"/>
      <c r="H1618" s="168"/>
      <c r="I1618" s="101"/>
      <c r="J1618" s="101"/>
      <c r="K1618" s="165"/>
      <c r="CA1618" s="166"/>
      <c r="CB1618" s="101"/>
      <c r="CC1618" s="100"/>
      <c r="CD1618" s="167"/>
      <c r="CE1618" s="167"/>
      <c r="CF1618" s="167"/>
      <c r="CG1618" s="167"/>
      <c r="CH1618" s="168"/>
      <c r="CI1618" s="101"/>
      <c r="CJ1618" s="101"/>
      <c r="CK1618" s="165"/>
    </row>
    <row r="1619" spans="1:89">
      <c r="A1619" s="166"/>
      <c r="B1619" s="101"/>
      <c r="C1619" s="100"/>
      <c r="D1619" s="167"/>
      <c r="E1619" s="167"/>
      <c r="F1619" s="167"/>
      <c r="G1619" s="167"/>
      <c r="H1619" s="168"/>
      <c r="I1619" s="101"/>
      <c r="J1619" s="101"/>
      <c r="K1619" s="165"/>
      <c r="CA1619" s="166"/>
      <c r="CB1619" s="101"/>
      <c r="CC1619" s="100"/>
      <c r="CD1619" s="167"/>
      <c r="CE1619" s="167"/>
      <c r="CF1619" s="167"/>
      <c r="CG1619" s="167"/>
      <c r="CH1619" s="168"/>
      <c r="CI1619" s="101"/>
      <c r="CJ1619" s="101"/>
      <c r="CK1619" s="165"/>
    </row>
    <row r="1620" spans="1:89">
      <c r="A1620" s="166"/>
      <c r="B1620" s="101"/>
      <c r="C1620" s="100"/>
      <c r="D1620" s="167"/>
      <c r="E1620" s="167"/>
      <c r="F1620" s="167"/>
      <c r="G1620" s="167"/>
      <c r="H1620" s="168"/>
      <c r="I1620" s="101"/>
      <c r="J1620" s="101"/>
      <c r="K1620" s="165"/>
      <c r="CA1620" s="166"/>
      <c r="CB1620" s="101"/>
      <c r="CC1620" s="100"/>
      <c r="CD1620" s="167"/>
      <c r="CE1620" s="167"/>
      <c r="CF1620" s="167"/>
      <c r="CG1620" s="167"/>
      <c r="CH1620" s="168"/>
      <c r="CI1620" s="101"/>
      <c r="CJ1620" s="101"/>
      <c r="CK1620" s="165"/>
    </row>
    <row r="1621" spans="1:89">
      <c r="A1621" s="166"/>
      <c r="B1621" s="101"/>
      <c r="C1621" s="100"/>
      <c r="D1621" s="167"/>
      <c r="E1621" s="167"/>
      <c r="F1621" s="167"/>
      <c r="G1621" s="167"/>
      <c r="H1621" s="168"/>
      <c r="I1621" s="101"/>
      <c r="J1621" s="101"/>
      <c r="K1621" s="165"/>
      <c r="CA1621" s="166"/>
      <c r="CB1621" s="101"/>
      <c r="CC1621" s="100"/>
      <c r="CD1621" s="167"/>
      <c r="CE1621" s="167"/>
      <c r="CF1621" s="167"/>
      <c r="CG1621" s="167"/>
      <c r="CH1621" s="168"/>
      <c r="CI1621" s="101"/>
      <c r="CJ1621" s="101"/>
      <c r="CK1621" s="165"/>
    </row>
    <row r="1622" spans="1:89">
      <c r="A1622" s="166"/>
      <c r="B1622" s="101"/>
      <c r="C1622" s="100"/>
      <c r="D1622" s="167"/>
      <c r="E1622" s="167"/>
      <c r="F1622" s="167"/>
      <c r="G1622" s="167"/>
      <c r="H1622" s="168"/>
      <c r="I1622" s="101"/>
      <c r="J1622" s="101"/>
      <c r="K1622" s="165"/>
      <c r="CA1622" s="166"/>
      <c r="CB1622" s="101"/>
      <c r="CC1622" s="100"/>
      <c r="CD1622" s="167"/>
      <c r="CE1622" s="167"/>
      <c r="CF1622" s="167"/>
      <c r="CG1622" s="167"/>
      <c r="CH1622" s="168"/>
      <c r="CI1622" s="101"/>
      <c r="CJ1622" s="101"/>
      <c r="CK1622" s="165"/>
    </row>
    <row r="1623" spans="1:89">
      <c r="A1623" s="166"/>
      <c r="B1623" s="101"/>
      <c r="C1623" s="100"/>
      <c r="D1623" s="167"/>
      <c r="E1623" s="167"/>
      <c r="F1623" s="167"/>
      <c r="G1623" s="167"/>
      <c r="H1623" s="168"/>
      <c r="I1623" s="101"/>
      <c r="J1623" s="101"/>
      <c r="K1623" s="165"/>
      <c r="CA1623" s="166"/>
      <c r="CB1623" s="101"/>
      <c r="CC1623" s="100"/>
      <c r="CD1623" s="167"/>
      <c r="CE1623" s="167"/>
      <c r="CF1623" s="167"/>
      <c r="CG1623" s="167"/>
      <c r="CH1623" s="168"/>
      <c r="CI1623" s="101"/>
      <c r="CJ1623" s="101"/>
      <c r="CK1623" s="165"/>
    </row>
    <row r="1624" spans="1:89">
      <c r="A1624" s="166"/>
      <c r="B1624" s="101"/>
      <c r="C1624" s="100"/>
      <c r="D1624" s="167"/>
      <c r="E1624" s="167"/>
      <c r="F1624" s="167"/>
      <c r="G1624" s="167"/>
      <c r="H1624" s="168"/>
      <c r="I1624" s="101"/>
      <c r="J1624" s="101"/>
      <c r="K1624" s="165"/>
      <c r="CA1624" s="166"/>
      <c r="CB1624" s="101"/>
      <c r="CC1624" s="100"/>
      <c r="CD1624" s="167"/>
      <c r="CE1624" s="167"/>
      <c r="CF1624" s="167"/>
      <c r="CG1624" s="167"/>
      <c r="CH1624" s="168"/>
      <c r="CI1624" s="101"/>
      <c r="CJ1624" s="101"/>
      <c r="CK1624" s="165"/>
    </row>
    <row r="1625" spans="1:89">
      <c r="A1625" s="166"/>
      <c r="B1625" s="101"/>
      <c r="C1625" s="100"/>
      <c r="D1625" s="167"/>
      <c r="E1625" s="167"/>
      <c r="F1625" s="167"/>
      <c r="G1625" s="167"/>
      <c r="H1625" s="168"/>
      <c r="I1625" s="101"/>
      <c r="J1625" s="101"/>
      <c r="K1625" s="165"/>
      <c r="CA1625" s="166"/>
      <c r="CB1625" s="101"/>
      <c r="CC1625" s="100"/>
      <c r="CD1625" s="167"/>
      <c r="CE1625" s="167"/>
      <c r="CF1625" s="167"/>
      <c r="CG1625" s="167"/>
      <c r="CH1625" s="168"/>
      <c r="CI1625" s="101"/>
      <c r="CJ1625" s="101"/>
      <c r="CK1625" s="165"/>
    </row>
    <row r="1626" spans="1:89">
      <c r="A1626" s="166"/>
      <c r="B1626" s="101"/>
      <c r="C1626" s="100"/>
      <c r="D1626" s="167"/>
      <c r="E1626" s="167"/>
      <c r="F1626" s="167"/>
      <c r="G1626" s="167"/>
      <c r="H1626" s="168"/>
      <c r="I1626" s="101"/>
      <c r="J1626" s="101"/>
      <c r="K1626" s="165"/>
      <c r="CA1626" s="166"/>
      <c r="CB1626" s="101"/>
      <c r="CC1626" s="100"/>
      <c r="CD1626" s="167"/>
      <c r="CE1626" s="167"/>
      <c r="CF1626" s="167"/>
      <c r="CG1626" s="167"/>
      <c r="CH1626" s="168"/>
      <c r="CI1626" s="101"/>
      <c r="CJ1626" s="101"/>
      <c r="CK1626" s="165"/>
    </row>
    <row r="1627" spans="1:89">
      <c r="A1627" s="166"/>
      <c r="B1627" s="101"/>
      <c r="C1627" s="100"/>
      <c r="D1627" s="167"/>
      <c r="E1627" s="167"/>
      <c r="F1627" s="167"/>
      <c r="G1627" s="167"/>
      <c r="H1627" s="168"/>
      <c r="I1627" s="101"/>
      <c r="J1627" s="101"/>
      <c r="K1627" s="165"/>
      <c r="CA1627" s="166"/>
      <c r="CB1627" s="101"/>
      <c r="CC1627" s="100"/>
      <c r="CD1627" s="167"/>
      <c r="CE1627" s="167"/>
      <c r="CF1627" s="167"/>
      <c r="CG1627" s="167"/>
      <c r="CH1627" s="168"/>
      <c r="CI1627" s="101"/>
      <c r="CJ1627" s="101"/>
      <c r="CK1627" s="165"/>
    </row>
    <row r="1628" spans="1:89">
      <c r="A1628" s="166"/>
      <c r="B1628" s="101"/>
      <c r="C1628" s="100"/>
      <c r="D1628" s="167"/>
      <c r="E1628" s="167"/>
      <c r="F1628" s="167"/>
      <c r="G1628" s="167"/>
      <c r="H1628" s="168"/>
      <c r="I1628" s="101"/>
      <c r="J1628" s="101"/>
      <c r="K1628" s="165"/>
      <c r="CA1628" s="166"/>
      <c r="CB1628" s="101"/>
      <c r="CC1628" s="100"/>
      <c r="CD1628" s="167"/>
      <c r="CE1628" s="167"/>
      <c r="CF1628" s="167"/>
      <c r="CG1628" s="167"/>
      <c r="CH1628" s="168"/>
      <c r="CI1628" s="101"/>
      <c r="CJ1628" s="101"/>
      <c r="CK1628" s="165"/>
    </row>
    <row r="1629" spans="1:89">
      <c r="A1629" s="166"/>
      <c r="B1629" s="101"/>
      <c r="C1629" s="100"/>
      <c r="D1629" s="167"/>
      <c r="E1629" s="167"/>
      <c r="F1629" s="167"/>
      <c r="G1629" s="167"/>
      <c r="H1629" s="168"/>
      <c r="I1629" s="101"/>
      <c r="J1629" s="101"/>
      <c r="K1629" s="165"/>
      <c r="CA1629" s="166"/>
      <c r="CB1629" s="101"/>
      <c r="CC1629" s="100"/>
      <c r="CD1629" s="167"/>
      <c r="CE1629" s="167"/>
      <c r="CF1629" s="167"/>
      <c r="CG1629" s="167"/>
      <c r="CH1629" s="168"/>
      <c r="CI1629" s="101"/>
      <c r="CJ1629" s="101"/>
      <c r="CK1629" s="165"/>
    </row>
    <row r="1630" spans="1:89">
      <c r="A1630" s="166"/>
      <c r="B1630" s="101"/>
      <c r="C1630" s="100"/>
      <c r="D1630" s="167"/>
      <c r="E1630" s="167"/>
      <c r="F1630" s="167"/>
      <c r="G1630" s="167"/>
      <c r="H1630" s="168"/>
      <c r="I1630" s="101"/>
      <c r="J1630" s="101"/>
      <c r="K1630" s="165"/>
      <c r="CA1630" s="166"/>
      <c r="CB1630" s="101"/>
      <c r="CC1630" s="100"/>
      <c r="CD1630" s="167"/>
      <c r="CE1630" s="167"/>
      <c r="CF1630" s="167"/>
      <c r="CG1630" s="167"/>
      <c r="CH1630" s="168"/>
      <c r="CI1630" s="101"/>
      <c r="CJ1630" s="101"/>
      <c r="CK1630" s="165"/>
    </row>
    <row r="1631" spans="1:89">
      <c r="A1631" s="166"/>
      <c r="B1631" s="101"/>
      <c r="C1631" s="100"/>
      <c r="D1631" s="167"/>
      <c r="E1631" s="167"/>
      <c r="F1631" s="167"/>
      <c r="G1631" s="167"/>
      <c r="H1631" s="168"/>
      <c r="I1631" s="101"/>
      <c r="J1631" s="101"/>
      <c r="K1631" s="165"/>
      <c r="CA1631" s="166"/>
      <c r="CB1631" s="101"/>
      <c r="CC1631" s="100"/>
      <c r="CD1631" s="167"/>
      <c r="CE1631" s="167"/>
      <c r="CF1631" s="167"/>
      <c r="CG1631" s="167"/>
      <c r="CH1631" s="168"/>
      <c r="CI1631" s="101"/>
      <c r="CJ1631" s="101"/>
      <c r="CK1631" s="165"/>
    </row>
    <row r="1632" spans="1:89">
      <c r="A1632" s="181"/>
      <c r="B1632" s="103"/>
      <c r="C1632" s="100"/>
      <c r="D1632" s="100"/>
      <c r="E1632" s="100"/>
      <c r="F1632" s="100"/>
      <c r="G1632" s="100"/>
      <c r="H1632" s="177"/>
      <c r="I1632" s="103"/>
      <c r="J1632" s="103"/>
      <c r="K1632" s="182"/>
      <c r="CA1632" s="181"/>
      <c r="CB1632" s="103"/>
      <c r="CC1632" s="100"/>
      <c r="CD1632" s="100"/>
      <c r="CE1632" s="100"/>
      <c r="CF1632" s="100"/>
      <c r="CG1632" s="100"/>
      <c r="CH1632" s="177"/>
      <c r="CI1632" s="103"/>
      <c r="CJ1632" s="103"/>
      <c r="CK1632" s="182"/>
    </row>
    <row r="1633" spans="1:89">
      <c r="A1633" s="179" t="s">
        <v>5212</v>
      </c>
      <c r="B1633" s="102"/>
      <c r="C1633" s="175" t="s">
        <v>5018</v>
      </c>
      <c r="D1633" s="175" t="s">
        <v>5701</v>
      </c>
      <c r="E1633" s="175" t="s">
        <v>5019</v>
      </c>
      <c r="F1633" s="175" t="s">
        <v>5020</v>
      </c>
      <c r="G1633" s="175" t="s">
        <v>5021</v>
      </c>
      <c r="H1633" s="175" t="s">
        <v>5022</v>
      </c>
      <c r="I1633" s="176" t="s">
        <v>5316</v>
      </c>
      <c r="J1633" s="176"/>
      <c r="K1633" s="180"/>
      <c r="CA1633" s="179" t="s">
        <v>5212</v>
      </c>
      <c r="CB1633" s="102"/>
      <c r="CC1633" s="175" t="s">
        <v>5018</v>
      </c>
      <c r="CD1633" s="175" t="s">
        <v>5701</v>
      </c>
      <c r="CE1633" s="175" t="s">
        <v>5019</v>
      </c>
      <c r="CF1633" s="175" t="s">
        <v>5020</v>
      </c>
      <c r="CG1633" s="175" t="s">
        <v>5021</v>
      </c>
      <c r="CH1633" s="175" t="s">
        <v>5022</v>
      </c>
      <c r="CI1633" s="176" t="s">
        <v>5316</v>
      </c>
      <c r="CJ1633" s="176"/>
      <c r="CK1633" s="180"/>
    </row>
    <row r="1634" spans="1:89">
      <c r="A1634" s="166"/>
      <c r="B1634" s="101"/>
      <c r="C1634" s="100"/>
      <c r="D1634" s="167"/>
      <c r="E1634" s="167"/>
      <c r="F1634" s="167"/>
      <c r="G1634" s="167"/>
      <c r="H1634" s="168"/>
      <c r="I1634" s="101"/>
      <c r="J1634" s="101"/>
      <c r="K1634" s="165"/>
      <c r="CA1634" s="166"/>
      <c r="CB1634" s="101"/>
      <c r="CC1634" s="100"/>
      <c r="CD1634" s="167"/>
      <c r="CE1634" s="167"/>
      <c r="CF1634" s="167"/>
      <c r="CG1634" s="167"/>
      <c r="CH1634" s="168"/>
      <c r="CI1634" s="101"/>
      <c r="CJ1634" s="101"/>
      <c r="CK1634" s="165"/>
    </row>
    <row r="1635" spans="1:89">
      <c r="A1635" s="166"/>
      <c r="B1635" s="101"/>
      <c r="C1635" s="100"/>
      <c r="D1635" s="167"/>
      <c r="E1635" s="167"/>
      <c r="F1635" s="167"/>
      <c r="G1635" s="167"/>
      <c r="H1635" s="168"/>
      <c r="I1635" s="101"/>
      <c r="J1635" s="101"/>
      <c r="K1635" s="165"/>
      <c r="CA1635" s="166"/>
      <c r="CB1635" s="101"/>
      <c r="CC1635" s="100"/>
      <c r="CD1635" s="167"/>
      <c r="CE1635" s="167"/>
      <c r="CF1635" s="167"/>
      <c r="CG1635" s="167"/>
      <c r="CH1635" s="168"/>
      <c r="CI1635" s="101"/>
      <c r="CJ1635" s="101"/>
      <c r="CK1635" s="165"/>
    </row>
    <row r="1636" spans="1:89">
      <c r="A1636" s="166"/>
      <c r="B1636" s="101"/>
      <c r="C1636" s="100"/>
      <c r="D1636" s="167"/>
      <c r="E1636" s="167"/>
      <c r="F1636" s="167"/>
      <c r="G1636" s="167"/>
      <c r="H1636" s="168"/>
      <c r="I1636" s="101"/>
      <c r="J1636" s="101"/>
      <c r="K1636" s="165"/>
      <c r="CA1636" s="166"/>
      <c r="CB1636" s="101"/>
      <c r="CC1636" s="100"/>
      <c r="CD1636" s="167"/>
      <c r="CE1636" s="167"/>
      <c r="CF1636" s="167"/>
      <c r="CG1636" s="167"/>
      <c r="CH1636" s="168"/>
      <c r="CI1636" s="101"/>
      <c r="CJ1636" s="101"/>
      <c r="CK1636" s="165"/>
    </row>
    <row r="1637" spans="1:89">
      <c r="A1637" s="166"/>
      <c r="B1637" s="101"/>
      <c r="C1637" s="100"/>
      <c r="D1637" s="167"/>
      <c r="E1637" s="167"/>
      <c r="F1637" s="167"/>
      <c r="G1637" s="167"/>
      <c r="H1637" s="168"/>
      <c r="I1637" s="101"/>
      <c r="J1637" s="101"/>
      <c r="K1637" s="165"/>
      <c r="CA1637" s="166"/>
      <c r="CB1637" s="101"/>
      <c r="CC1637" s="100"/>
      <c r="CD1637" s="167"/>
      <c r="CE1637" s="167"/>
      <c r="CF1637" s="167"/>
      <c r="CG1637" s="167"/>
      <c r="CH1637" s="168"/>
      <c r="CI1637" s="101"/>
      <c r="CJ1637" s="101"/>
      <c r="CK1637" s="165"/>
    </row>
    <row r="1638" spans="1:89">
      <c r="A1638" s="166"/>
      <c r="B1638" s="101"/>
      <c r="C1638" s="100"/>
      <c r="D1638" s="167"/>
      <c r="E1638" s="167"/>
      <c r="F1638" s="167"/>
      <c r="G1638" s="167"/>
      <c r="H1638" s="168"/>
      <c r="I1638" s="101"/>
      <c r="J1638" s="101"/>
      <c r="K1638" s="165"/>
      <c r="CA1638" s="166"/>
      <c r="CB1638" s="101"/>
      <c r="CC1638" s="100"/>
      <c r="CD1638" s="167"/>
      <c r="CE1638" s="167"/>
      <c r="CF1638" s="167"/>
      <c r="CG1638" s="167"/>
      <c r="CH1638" s="168"/>
      <c r="CI1638" s="101"/>
      <c r="CJ1638" s="101"/>
      <c r="CK1638" s="165"/>
    </row>
    <row r="1639" spans="1:89">
      <c r="A1639" s="166"/>
      <c r="B1639" s="101"/>
      <c r="C1639" s="100"/>
      <c r="D1639" s="167"/>
      <c r="E1639" s="167"/>
      <c r="F1639" s="167"/>
      <c r="G1639" s="167"/>
      <c r="H1639" s="168"/>
      <c r="I1639" s="101"/>
      <c r="J1639" s="101"/>
      <c r="K1639" s="165"/>
      <c r="CA1639" s="166"/>
      <c r="CB1639" s="101"/>
      <c r="CC1639" s="100"/>
      <c r="CD1639" s="167"/>
      <c r="CE1639" s="167"/>
      <c r="CF1639" s="167"/>
      <c r="CG1639" s="167"/>
      <c r="CH1639" s="168"/>
      <c r="CI1639" s="101"/>
      <c r="CJ1639" s="101"/>
      <c r="CK1639" s="165"/>
    </row>
    <row r="1640" spans="1:89">
      <c r="A1640" s="166"/>
      <c r="B1640" s="101"/>
      <c r="C1640" s="100"/>
      <c r="D1640" s="167"/>
      <c r="E1640" s="167"/>
      <c r="F1640" s="167"/>
      <c r="G1640" s="167"/>
      <c r="H1640" s="168"/>
      <c r="I1640" s="101"/>
      <c r="J1640" s="101"/>
      <c r="K1640" s="165"/>
      <c r="CA1640" s="166"/>
      <c r="CB1640" s="101"/>
      <c r="CC1640" s="100"/>
      <c r="CD1640" s="167"/>
      <c r="CE1640" s="167"/>
      <c r="CF1640" s="167"/>
      <c r="CG1640" s="167"/>
      <c r="CH1640" s="168"/>
      <c r="CI1640" s="101"/>
      <c r="CJ1640" s="101"/>
      <c r="CK1640" s="165"/>
    </row>
    <row r="1641" spans="1:89">
      <c r="A1641" s="166"/>
      <c r="B1641" s="101"/>
      <c r="C1641" s="100"/>
      <c r="D1641" s="167"/>
      <c r="E1641" s="167"/>
      <c r="F1641" s="167"/>
      <c r="G1641" s="167"/>
      <c r="H1641" s="168"/>
      <c r="I1641" s="101"/>
      <c r="J1641" s="101"/>
      <c r="K1641" s="165"/>
      <c r="CA1641" s="166"/>
      <c r="CB1641" s="101"/>
      <c r="CC1641" s="100"/>
      <c r="CD1641" s="167"/>
      <c r="CE1641" s="167"/>
      <c r="CF1641" s="167"/>
      <c r="CG1641" s="167"/>
      <c r="CH1641" s="168"/>
      <c r="CI1641" s="101"/>
      <c r="CJ1641" s="101"/>
      <c r="CK1641" s="165"/>
    </row>
    <row r="1642" spans="1:89">
      <c r="A1642" s="166"/>
      <c r="B1642" s="101"/>
      <c r="C1642" s="100"/>
      <c r="D1642" s="167"/>
      <c r="E1642" s="167"/>
      <c r="F1642" s="167"/>
      <c r="G1642" s="167"/>
      <c r="H1642" s="168"/>
      <c r="I1642" s="101"/>
      <c r="J1642" s="101"/>
      <c r="K1642" s="165"/>
      <c r="CA1642" s="166"/>
      <c r="CB1642" s="101"/>
      <c r="CC1642" s="100"/>
      <c r="CD1642" s="167"/>
      <c r="CE1642" s="167"/>
      <c r="CF1642" s="167"/>
      <c r="CG1642" s="167"/>
      <c r="CH1642" s="168"/>
      <c r="CI1642" s="101"/>
      <c r="CJ1642" s="101"/>
      <c r="CK1642" s="165"/>
    </row>
    <row r="1643" spans="1:89">
      <c r="A1643" s="166"/>
      <c r="B1643" s="101"/>
      <c r="C1643" s="100"/>
      <c r="D1643" s="167"/>
      <c r="E1643" s="167"/>
      <c r="F1643" s="167"/>
      <c r="G1643" s="167"/>
      <c r="H1643" s="168"/>
      <c r="I1643" s="101"/>
      <c r="J1643" s="101"/>
      <c r="K1643" s="165"/>
      <c r="CA1643" s="166"/>
      <c r="CB1643" s="101"/>
      <c r="CC1643" s="100"/>
      <c r="CD1643" s="167"/>
      <c r="CE1643" s="167"/>
      <c r="CF1643" s="167"/>
      <c r="CG1643" s="167"/>
      <c r="CH1643" s="168"/>
      <c r="CI1643" s="101"/>
      <c r="CJ1643" s="101"/>
      <c r="CK1643" s="165"/>
    </row>
    <row r="1644" spans="1:89">
      <c r="A1644" s="166"/>
      <c r="B1644" s="101"/>
      <c r="C1644" s="100"/>
      <c r="D1644" s="167"/>
      <c r="E1644" s="167"/>
      <c r="F1644" s="167"/>
      <c r="G1644" s="167"/>
      <c r="H1644" s="168"/>
      <c r="I1644" s="101"/>
      <c r="J1644" s="101"/>
      <c r="K1644" s="165"/>
      <c r="CA1644" s="166"/>
      <c r="CB1644" s="101"/>
      <c r="CC1644" s="100"/>
      <c r="CD1644" s="167"/>
      <c r="CE1644" s="167"/>
      <c r="CF1644" s="167"/>
      <c r="CG1644" s="167"/>
      <c r="CH1644" s="168"/>
      <c r="CI1644" s="101"/>
      <c r="CJ1644" s="101"/>
      <c r="CK1644" s="165"/>
    </row>
    <row r="1645" spans="1:89">
      <c r="A1645" s="181"/>
      <c r="B1645" s="103"/>
      <c r="C1645" s="100"/>
      <c r="D1645" s="100"/>
      <c r="E1645" s="100"/>
      <c r="F1645" s="100"/>
      <c r="G1645" s="100"/>
      <c r="H1645" s="177"/>
      <c r="I1645" s="103"/>
      <c r="J1645" s="103"/>
      <c r="K1645" s="182"/>
      <c r="CA1645" s="181"/>
      <c r="CB1645" s="103"/>
      <c r="CC1645" s="100"/>
      <c r="CD1645" s="100"/>
      <c r="CE1645" s="100"/>
      <c r="CF1645" s="100"/>
      <c r="CG1645" s="100"/>
      <c r="CH1645" s="177"/>
      <c r="CI1645" s="103"/>
      <c r="CJ1645" s="103"/>
      <c r="CK1645" s="182"/>
    </row>
    <row r="1646" spans="1:89">
      <c r="A1646" s="179" t="s">
        <v>5213</v>
      </c>
      <c r="B1646" s="102"/>
      <c r="C1646" s="175" t="s">
        <v>5018</v>
      </c>
      <c r="D1646" s="175" t="s">
        <v>5701</v>
      </c>
      <c r="E1646" s="175" t="s">
        <v>5019</v>
      </c>
      <c r="F1646" s="175" t="s">
        <v>5020</v>
      </c>
      <c r="G1646" s="175" t="s">
        <v>5021</v>
      </c>
      <c r="H1646" s="175" t="s">
        <v>5022</v>
      </c>
      <c r="I1646" s="176" t="s">
        <v>5316</v>
      </c>
      <c r="J1646" s="176"/>
      <c r="K1646" s="180"/>
      <c r="CA1646" s="179" t="s">
        <v>5213</v>
      </c>
      <c r="CB1646" s="102"/>
      <c r="CC1646" s="175" t="s">
        <v>5018</v>
      </c>
      <c r="CD1646" s="175" t="s">
        <v>5701</v>
      </c>
      <c r="CE1646" s="175" t="s">
        <v>5019</v>
      </c>
      <c r="CF1646" s="175" t="s">
        <v>5020</v>
      </c>
      <c r="CG1646" s="175" t="s">
        <v>5021</v>
      </c>
      <c r="CH1646" s="175" t="s">
        <v>5022</v>
      </c>
      <c r="CI1646" s="176" t="s">
        <v>5316</v>
      </c>
      <c r="CJ1646" s="176"/>
      <c r="CK1646" s="180"/>
    </row>
    <row r="1647" spans="1:89">
      <c r="A1647" s="166"/>
      <c r="B1647" s="101"/>
      <c r="C1647" s="100"/>
      <c r="D1647" s="167"/>
      <c r="E1647" s="167"/>
      <c r="F1647" s="167"/>
      <c r="G1647" s="167"/>
      <c r="H1647" s="168"/>
      <c r="I1647" s="101"/>
      <c r="J1647" s="101"/>
      <c r="K1647" s="165"/>
      <c r="CA1647" s="166"/>
      <c r="CB1647" s="101"/>
      <c r="CC1647" s="100"/>
      <c r="CD1647" s="167"/>
      <c r="CE1647" s="167"/>
      <c r="CF1647" s="167"/>
      <c r="CG1647" s="167"/>
      <c r="CH1647" s="168"/>
      <c r="CI1647" s="101"/>
      <c r="CJ1647" s="101"/>
      <c r="CK1647" s="165"/>
    </row>
    <row r="1648" spans="1:89">
      <c r="A1648" s="166"/>
      <c r="B1648" s="101"/>
      <c r="C1648" s="100"/>
      <c r="D1648" s="167"/>
      <c r="E1648" s="167"/>
      <c r="F1648" s="167"/>
      <c r="G1648" s="167"/>
      <c r="H1648" s="168"/>
      <c r="I1648" s="101"/>
      <c r="J1648" s="101"/>
      <c r="K1648" s="165"/>
      <c r="CA1648" s="166"/>
      <c r="CB1648" s="101"/>
      <c r="CC1648" s="100"/>
      <c r="CD1648" s="167"/>
      <c r="CE1648" s="167"/>
      <c r="CF1648" s="167"/>
      <c r="CG1648" s="167"/>
      <c r="CH1648" s="168"/>
      <c r="CI1648" s="101"/>
      <c r="CJ1648" s="101"/>
      <c r="CK1648" s="165"/>
    </row>
    <row r="1649" spans="1:89">
      <c r="A1649" s="166"/>
      <c r="B1649" s="101"/>
      <c r="C1649" s="100"/>
      <c r="D1649" s="167"/>
      <c r="E1649" s="167"/>
      <c r="F1649" s="167"/>
      <c r="G1649" s="167"/>
      <c r="H1649" s="168"/>
      <c r="I1649" s="101"/>
      <c r="J1649" s="101"/>
      <c r="K1649" s="165"/>
      <c r="CA1649" s="166"/>
      <c r="CB1649" s="101"/>
      <c r="CC1649" s="100"/>
      <c r="CD1649" s="167"/>
      <c r="CE1649" s="167"/>
      <c r="CF1649" s="167"/>
      <c r="CG1649" s="167"/>
      <c r="CH1649" s="168"/>
      <c r="CI1649" s="101"/>
      <c r="CJ1649" s="101"/>
      <c r="CK1649" s="165"/>
    </row>
    <row r="1650" spans="1:89">
      <c r="A1650" s="166"/>
      <c r="B1650" s="101"/>
      <c r="C1650" s="100"/>
      <c r="D1650" s="167"/>
      <c r="E1650" s="167"/>
      <c r="F1650" s="167"/>
      <c r="G1650" s="167"/>
      <c r="H1650" s="168"/>
      <c r="I1650" s="101"/>
      <c r="J1650" s="101"/>
      <c r="K1650" s="165"/>
      <c r="CA1650" s="166"/>
      <c r="CB1650" s="101"/>
      <c r="CC1650" s="100"/>
      <c r="CD1650" s="167"/>
      <c r="CE1650" s="167"/>
      <c r="CF1650" s="167"/>
      <c r="CG1650" s="167"/>
      <c r="CH1650" s="168"/>
      <c r="CI1650" s="101"/>
      <c r="CJ1650" s="101"/>
      <c r="CK1650" s="165"/>
    </row>
    <row r="1651" spans="1:89">
      <c r="A1651" s="166"/>
      <c r="B1651" s="101"/>
      <c r="C1651" s="100"/>
      <c r="D1651" s="167"/>
      <c r="E1651" s="167"/>
      <c r="F1651" s="167"/>
      <c r="G1651" s="167"/>
      <c r="H1651" s="168"/>
      <c r="I1651" s="101"/>
      <c r="J1651" s="101"/>
      <c r="K1651" s="165"/>
      <c r="CA1651" s="166"/>
      <c r="CB1651" s="101"/>
      <c r="CC1651" s="100"/>
      <c r="CD1651" s="167"/>
      <c r="CE1651" s="167"/>
      <c r="CF1651" s="167"/>
      <c r="CG1651" s="167"/>
      <c r="CH1651" s="168"/>
      <c r="CI1651" s="101"/>
      <c r="CJ1651" s="101"/>
      <c r="CK1651" s="165"/>
    </row>
    <row r="1652" spans="1:89">
      <c r="A1652" s="166"/>
      <c r="B1652" s="101"/>
      <c r="C1652" s="100"/>
      <c r="D1652" s="167"/>
      <c r="E1652" s="167"/>
      <c r="F1652" s="167"/>
      <c r="G1652" s="167"/>
      <c r="H1652" s="168"/>
      <c r="I1652" s="101"/>
      <c r="J1652" s="101"/>
      <c r="K1652" s="165"/>
      <c r="CA1652" s="166"/>
      <c r="CB1652" s="101"/>
      <c r="CC1652" s="100"/>
      <c r="CD1652" s="167"/>
      <c r="CE1652" s="167"/>
      <c r="CF1652" s="167"/>
      <c r="CG1652" s="167"/>
      <c r="CH1652" s="168"/>
      <c r="CI1652" s="101"/>
      <c r="CJ1652" s="101"/>
      <c r="CK1652" s="165"/>
    </row>
    <row r="1653" spans="1:89">
      <c r="A1653" s="166"/>
      <c r="B1653" s="101"/>
      <c r="C1653" s="100"/>
      <c r="D1653" s="167"/>
      <c r="E1653" s="167"/>
      <c r="F1653" s="167"/>
      <c r="G1653" s="167"/>
      <c r="H1653" s="168"/>
      <c r="I1653" s="101"/>
      <c r="J1653" s="101"/>
      <c r="K1653" s="165"/>
      <c r="CA1653" s="166"/>
      <c r="CB1653" s="101"/>
      <c r="CC1653" s="100"/>
      <c r="CD1653" s="167"/>
      <c r="CE1653" s="167"/>
      <c r="CF1653" s="167"/>
      <c r="CG1653" s="167"/>
      <c r="CH1653" s="168"/>
      <c r="CI1653" s="101"/>
      <c r="CJ1653" s="101"/>
      <c r="CK1653" s="165"/>
    </row>
    <row r="1654" spans="1:89">
      <c r="A1654" s="166"/>
      <c r="B1654" s="101"/>
      <c r="C1654" s="100"/>
      <c r="D1654" s="167"/>
      <c r="E1654" s="167"/>
      <c r="F1654" s="167"/>
      <c r="G1654" s="167"/>
      <c r="H1654" s="168"/>
      <c r="I1654" s="101"/>
      <c r="J1654" s="101"/>
      <c r="K1654" s="165"/>
      <c r="CA1654" s="166"/>
      <c r="CB1654" s="101"/>
      <c r="CC1654" s="100"/>
      <c r="CD1654" s="167"/>
      <c r="CE1654" s="167"/>
      <c r="CF1654" s="167"/>
      <c r="CG1654" s="167"/>
      <c r="CH1654" s="168"/>
      <c r="CI1654" s="101"/>
      <c r="CJ1654" s="101"/>
      <c r="CK1654" s="165"/>
    </row>
    <row r="1655" spans="1:89">
      <c r="A1655" s="166"/>
      <c r="B1655" s="101"/>
      <c r="C1655" s="100"/>
      <c r="D1655" s="167"/>
      <c r="E1655" s="167"/>
      <c r="F1655" s="167"/>
      <c r="G1655" s="167"/>
      <c r="H1655" s="168"/>
      <c r="I1655" s="101"/>
      <c r="J1655" s="101"/>
      <c r="K1655" s="165"/>
      <c r="CA1655" s="166"/>
      <c r="CB1655" s="101"/>
      <c r="CC1655" s="100"/>
      <c r="CD1655" s="167"/>
      <c r="CE1655" s="167"/>
      <c r="CF1655" s="167"/>
      <c r="CG1655" s="167"/>
      <c r="CH1655" s="168"/>
      <c r="CI1655" s="101"/>
      <c r="CJ1655" s="101"/>
      <c r="CK1655" s="165"/>
    </row>
    <row r="1656" spans="1:89">
      <c r="A1656" s="166"/>
      <c r="B1656" s="101"/>
      <c r="C1656" s="100"/>
      <c r="D1656" s="167"/>
      <c r="E1656" s="167"/>
      <c r="F1656" s="167"/>
      <c r="G1656" s="167"/>
      <c r="H1656" s="168"/>
      <c r="I1656" s="101"/>
      <c r="J1656" s="101"/>
      <c r="K1656" s="165"/>
      <c r="CA1656" s="166"/>
      <c r="CB1656" s="101"/>
      <c r="CC1656" s="100"/>
      <c r="CD1656" s="167"/>
      <c r="CE1656" s="167"/>
      <c r="CF1656" s="167"/>
      <c r="CG1656" s="167"/>
      <c r="CH1656" s="168"/>
      <c r="CI1656" s="101"/>
      <c r="CJ1656" s="101"/>
      <c r="CK1656" s="165"/>
    </row>
    <row r="1657" spans="1:89">
      <c r="A1657" s="181"/>
      <c r="B1657" s="103"/>
      <c r="C1657" s="100"/>
      <c r="D1657" s="100"/>
      <c r="E1657" s="100"/>
      <c r="F1657" s="100"/>
      <c r="G1657" s="100"/>
      <c r="H1657" s="177"/>
      <c r="I1657" s="103"/>
      <c r="J1657" s="103"/>
      <c r="K1657" s="182"/>
      <c r="CA1657" s="181"/>
      <c r="CB1657" s="103"/>
      <c r="CC1657" s="100"/>
      <c r="CD1657" s="100"/>
      <c r="CE1657" s="100"/>
      <c r="CF1657" s="100"/>
      <c r="CG1657" s="100"/>
      <c r="CH1657" s="177"/>
      <c r="CI1657" s="103"/>
      <c r="CJ1657" s="103"/>
      <c r="CK1657" s="182"/>
    </row>
    <row r="1658" spans="1:89">
      <c r="A1658" s="179" t="s">
        <v>5214</v>
      </c>
      <c r="B1658" s="102"/>
      <c r="C1658" s="175" t="s">
        <v>5018</v>
      </c>
      <c r="D1658" s="175" t="s">
        <v>5701</v>
      </c>
      <c r="E1658" s="175" t="s">
        <v>5019</v>
      </c>
      <c r="F1658" s="175" t="s">
        <v>5020</v>
      </c>
      <c r="G1658" s="175" t="s">
        <v>5021</v>
      </c>
      <c r="H1658" s="175" t="s">
        <v>5022</v>
      </c>
      <c r="I1658" s="176" t="s">
        <v>5316</v>
      </c>
      <c r="J1658" s="176"/>
      <c r="K1658" s="180"/>
      <c r="CA1658" s="179" t="s">
        <v>5214</v>
      </c>
      <c r="CB1658" s="102"/>
      <c r="CC1658" s="175" t="s">
        <v>5018</v>
      </c>
      <c r="CD1658" s="175" t="s">
        <v>5701</v>
      </c>
      <c r="CE1658" s="175" t="s">
        <v>5019</v>
      </c>
      <c r="CF1658" s="175" t="s">
        <v>5020</v>
      </c>
      <c r="CG1658" s="175" t="s">
        <v>5021</v>
      </c>
      <c r="CH1658" s="175" t="s">
        <v>5022</v>
      </c>
      <c r="CI1658" s="176" t="s">
        <v>5316</v>
      </c>
      <c r="CJ1658" s="176"/>
      <c r="CK1658" s="180"/>
    </row>
    <row r="1659" spans="1:89">
      <c r="A1659" s="166"/>
      <c r="B1659" s="101"/>
      <c r="C1659" s="100"/>
      <c r="D1659" s="167"/>
      <c r="E1659" s="167"/>
      <c r="F1659" s="167"/>
      <c r="G1659" s="167"/>
      <c r="H1659" s="168"/>
      <c r="I1659" s="101"/>
      <c r="J1659" s="101"/>
      <c r="K1659" s="165"/>
      <c r="CA1659" s="166"/>
      <c r="CB1659" s="101"/>
      <c r="CC1659" s="100"/>
      <c r="CD1659" s="167"/>
      <c r="CE1659" s="167"/>
      <c r="CF1659" s="167"/>
      <c r="CG1659" s="167"/>
      <c r="CH1659" s="168"/>
      <c r="CI1659" s="101"/>
      <c r="CJ1659" s="101"/>
      <c r="CK1659" s="165"/>
    </row>
    <row r="1660" spans="1:89">
      <c r="A1660" s="166"/>
      <c r="B1660" s="101"/>
      <c r="C1660" s="100"/>
      <c r="D1660" s="167"/>
      <c r="E1660" s="167"/>
      <c r="F1660" s="167"/>
      <c r="G1660" s="167"/>
      <c r="H1660" s="168"/>
      <c r="I1660" s="101"/>
      <c r="J1660" s="101"/>
      <c r="K1660" s="165"/>
      <c r="CA1660" s="166"/>
      <c r="CB1660" s="101"/>
      <c r="CC1660" s="100"/>
      <c r="CD1660" s="167"/>
      <c r="CE1660" s="167"/>
      <c r="CF1660" s="167"/>
      <c r="CG1660" s="167"/>
      <c r="CH1660" s="168"/>
      <c r="CI1660" s="101"/>
      <c r="CJ1660" s="101"/>
      <c r="CK1660" s="165"/>
    </row>
    <row r="1661" spans="1:89">
      <c r="A1661" s="166"/>
      <c r="B1661" s="101"/>
      <c r="C1661" s="100"/>
      <c r="D1661" s="167"/>
      <c r="E1661" s="167"/>
      <c r="F1661" s="167"/>
      <c r="G1661" s="167"/>
      <c r="H1661" s="168"/>
      <c r="I1661" s="101"/>
      <c r="J1661" s="101"/>
      <c r="K1661" s="165"/>
      <c r="CA1661" s="166"/>
      <c r="CB1661" s="101"/>
      <c r="CC1661" s="100"/>
      <c r="CD1661" s="167"/>
      <c r="CE1661" s="167"/>
      <c r="CF1661" s="167"/>
      <c r="CG1661" s="167"/>
      <c r="CH1661" s="168"/>
      <c r="CI1661" s="101"/>
      <c r="CJ1661" s="101"/>
      <c r="CK1661" s="165"/>
    </row>
    <row r="1662" spans="1:89">
      <c r="A1662" s="166"/>
      <c r="B1662" s="101"/>
      <c r="C1662" s="100"/>
      <c r="D1662" s="167"/>
      <c r="E1662" s="167"/>
      <c r="F1662" s="167"/>
      <c r="G1662" s="167"/>
      <c r="H1662" s="168"/>
      <c r="I1662" s="101"/>
      <c r="J1662" s="101"/>
      <c r="K1662" s="165"/>
      <c r="CA1662" s="166"/>
      <c r="CB1662" s="101"/>
      <c r="CC1662" s="100"/>
      <c r="CD1662" s="167"/>
      <c r="CE1662" s="167"/>
      <c r="CF1662" s="167"/>
      <c r="CG1662" s="167"/>
      <c r="CH1662" s="168"/>
      <c r="CI1662" s="101"/>
      <c r="CJ1662" s="101"/>
      <c r="CK1662" s="165"/>
    </row>
    <row r="1663" spans="1:89">
      <c r="A1663" s="166"/>
      <c r="B1663" s="101"/>
      <c r="C1663" s="100"/>
      <c r="D1663" s="167"/>
      <c r="E1663" s="167"/>
      <c r="F1663" s="167"/>
      <c r="G1663" s="167"/>
      <c r="H1663" s="168"/>
      <c r="I1663" s="101"/>
      <c r="J1663" s="101"/>
      <c r="K1663" s="165"/>
      <c r="CA1663" s="166"/>
      <c r="CB1663" s="101"/>
      <c r="CC1663" s="100"/>
      <c r="CD1663" s="167"/>
      <c r="CE1663" s="167"/>
      <c r="CF1663" s="167"/>
      <c r="CG1663" s="167"/>
      <c r="CH1663" s="168"/>
      <c r="CI1663" s="101"/>
      <c r="CJ1663" s="101"/>
      <c r="CK1663" s="165"/>
    </row>
    <row r="1664" spans="1:89">
      <c r="A1664" s="166"/>
      <c r="B1664" s="101"/>
      <c r="C1664" s="100"/>
      <c r="D1664" s="167"/>
      <c r="E1664" s="167"/>
      <c r="F1664" s="167"/>
      <c r="G1664" s="167"/>
      <c r="H1664" s="168"/>
      <c r="I1664" s="101"/>
      <c r="J1664" s="101"/>
      <c r="K1664" s="165"/>
      <c r="CA1664" s="166"/>
      <c r="CB1664" s="101"/>
      <c r="CC1664" s="100"/>
      <c r="CD1664" s="167"/>
      <c r="CE1664" s="167"/>
      <c r="CF1664" s="167"/>
      <c r="CG1664" s="167"/>
      <c r="CH1664" s="168"/>
      <c r="CI1664" s="101"/>
      <c r="CJ1664" s="101"/>
      <c r="CK1664" s="165"/>
    </row>
    <row r="1665" spans="1:89">
      <c r="A1665" s="166"/>
      <c r="B1665" s="101"/>
      <c r="C1665" s="100"/>
      <c r="D1665" s="167"/>
      <c r="E1665" s="167"/>
      <c r="F1665" s="167"/>
      <c r="G1665" s="167"/>
      <c r="H1665" s="168"/>
      <c r="I1665" s="101"/>
      <c r="J1665" s="101"/>
      <c r="K1665" s="165"/>
      <c r="CA1665" s="166"/>
      <c r="CB1665" s="101"/>
      <c r="CC1665" s="100"/>
      <c r="CD1665" s="167"/>
      <c r="CE1665" s="167"/>
      <c r="CF1665" s="167"/>
      <c r="CG1665" s="167"/>
      <c r="CH1665" s="168"/>
      <c r="CI1665" s="101"/>
      <c r="CJ1665" s="101"/>
      <c r="CK1665" s="165"/>
    </row>
    <row r="1666" spans="1:89">
      <c r="A1666" s="166"/>
      <c r="B1666" s="101"/>
      <c r="C1666" s="100"/>
      <c r="D1666" s="167"/>
      <c r="E1666" s="167"/>
      <c r="F1666" s="167"/>
      <c r="G1666" s="167"/>
      <c r="H1666" s="168"/>
      <c r="I1666" s="101"/>
      <c r="J1666" s="101"/>
      <c r="K1666" s="165"/>
      <c r="CA1666" s="166"/>
      <c r="CB1666" s="101"/>
      <c r="CC1666" s="100"/>
      <c r="CD1666" s="167"/>
      <c r="CE1666" s="167"/>
      <c r="CF1666" s="167"/>
      <c r="CG1666" s="167"/>
      <c r="CH1666" s="168"/>
      <c r="CI1666" s="101"/>
      <c r="CJ1666" s="101"/>
      <c r="CK1666" s="165"/>
    </row>
    <row r="1667" spans="1:89">
      <c r="A1667" s="166"/>
      <c r="B1667" s="101"/>
      <c r="C1667" s="100"/>
      <c r="D1667" s="167"/>
      <c r="E1667" s="167"/>
      <c r="F1667" s="167"/>
      <c r="G1667" s="167"/>
      <c r="H1667" s="168"/>
      <c r="I1667" s="101"/>
      <c r="J1667" s="101"/>
      <c r="K1667" s="165"/>
      <c r="CA1667" s="166"/>
      <c r="CB1667" s="101"/>
      <c r="CC1667" s="100"/>
      <c r="CD1667" s="167"/>
      <c r="CE1667" s="167"/>
      <c r="CF1667" s="167"/>
      <c r="CG1667" s="167"/>
      <c r="CH1667" s="168"/>
      <c r="CI1667" s="101"/>
      <c r="CJ1667" s="101"/>
      <c r="CK1667" s="165"/>
    </row>
    <row r="1668" spans="1:89">
      <c r="A1668" s="166"/>
      <c r="B1668" s="101"/>
      <c r="C1668" s="100"/>
      <c r="D1668" s="167"/>
      <c r="E1668" s="167"/>
      <c r="F1668" s="167"/>
      <c r="G1668" s="167"/>
      <c r="H1668" s="168"/>
      <c r="I1668" s="101"/>
      <c r="J1668" s="101"/>
      <c r="K1668" s="165"/>
      <c r="CA1668" s="166"/>
      <c r="CB1668" s="101"/>
      <c r="CC1668" s="100"/>
      <c r="CD1668" s="167"/>
      <c r="CE1668" s="167"/>
      <c r="CF1668" s="167"/>
      <c r="CG1668" s="167"/>
      <c r="CH1668" s="168"/>
      <c r="CI1668" s="101"/>
      <c r="CJ1668" s="101"/>
      <c r="CK1668" s="165"/>
    </row>
    <row r="1669" spans="1:89">
      <c r="A1669" s="166"/>
      <c r="B1669" s="101"/>
      <c r="C1669" s="100"/>
      <c r="D1669" s="167"/>
      <c r="E1669" s="167"/>
      <c r="F1669" s="167"/>
      <c r="G1669" s="167"/>
      <c r="H1669" s="168"/>
      <c r="I1669" s="101"/>
      <c r="J1669" s="101"/>
      <c r="K1669" s="165"/>
      <c r="CA1669" s="166"/>
      <c r="CB1669" s="101"/>
      <c r="CC1669" s="100"/>
      <c r="CD1669" s="167"/>
      <c r="CE1669" s="167"/>
      <c r="CF1669" s="167"/>
      <c r="CG1669" s="167"/>
      <c r="CH1669" s="168"/>
      <c r="CI1669" s="101"/>
      <c r="CJ1669" s="101"/>
      <c r="CK1669" s="165"/>
    </row>
    <row r="1670" spans="1:89">
      <c r="A1670" s="181"/>
      <c r="B1670" s="103"/>
      <c r="C1670" s="100"/>
      <c r="D1670" s="100"/>
      <c r="E1670" s="100"/>
      <c r="F1670" s="100"/>
      <c r="G1670" s="100"/>
      <c r="H1670" s="177"/>
      <c r="I1670" s="103"/>
      <c r="J1670" s="103"/>
      <c r="K1670" s="182"/>
      <c r="CA1670" s="181"/>
      <c r="CB1670" s="103"/>
      <c r="CC1670" s="100"/>
      <c r="CD1670" s="100"/>
      <c r="CE1670" s="100"/>
      <c r="CF1670" s="100"/>
      <c r="CG1670" s="100"/>
      <c r="CH1670" s="177"/>
      <c r="CI1670" s="103"/>
      <c r="CJ1670" s="103"/>
      <c r="CK1670" s="182"/>
    </row>
    <row r="1671" spans="1:89">
      <c r="A1671" s="179" t="s">
        <v>5215</v>
      </c>
      <c r="B1671" s="102"/>
      <c r="C1671" s="175" t="s">
        <v>5018</v>
      </c>
      <c r="D1671" s="175" t="s">
        <v>5701</v>
      </c>
      <c r="E1671" s="175" t="s">
        <v>5019</v>
      </c>
      <c r="F1671" s="175" t="s">
        <v>5020</v>
      </c>
      <c r="G1671" s="175" t="s">
        <v>5021</v>
      </c>
      <c r="H1671" s="175" t="s">
        <v>5022</v>
      </c>
      <c r="I1671" s="176" t="s">
        <v>5316</v>
      </c>
      <c r="J1671" s="176"/>
      <c r="K1671" s="180"/>
      <c r="CA1671" s="179" t="s">
        <v>5215</v>
      </c>
      <c r="CB1671" s="102"/>
      <c r="CC1671" s="175" t="s">
        <v>5018</v>
      </c>
      <c r="CD1671" s="175" t="s">
        <v>5701</v>
      </c>
      <c r="CE1671" s="175" t="s">
        <v>5019</v>
      </c>
      <c r="CF1671" s="175" t="s">
        <v>5020</v>
      </c>
      <c r="CG1671" s="175" t="s">
        <v>5021</v>
      </c>
      <c r="CH1671" s="175" t="s">
        <v>5022</v>
      </c>
      <c r="CI1671" s="176" t="s">
        <v>5316</v>
      </c>
      <c r="CJ1671" s="176"/>
      <c r="CK1671" s="180"/>
    </row>
    <row r="1672" spans="1:89">
      <c r="A1672" s="166"/>
      <c r="B1672" s="101"/>
      <c r="C1672" s="100"/>
      <c r="D1672" s="167"/>
      <c r="E1672" s="167"/>
      <c r="F1672" s="167"/>
      <c r="G1672" s="167"/>
      <c r="H1672" s="168"/>
      <c r="I1672" s="101"/>
      <c r="J1672" s="101"/>
      <c r="K1672" s="165"/>
      <c r="CA1672" s="166"/>
      <c r="CB1672" s="101"/>
      <c r="CC1672" s="100"/>
      <c r="CD1672" s="167"/>
      <c r="CE1672" s="167"/>
      <c r="CF1672" s="167"/>
      <c r="CG1672" s="167"/>
      <c r="CH1672" s="168"/>
      <c r="CI1672" s="101"/>
      <c r="CJ1672" s="101"/>
      <c r="CK1672" s="165"/>
    </row>
    <row r="1673" spans="1:89">
      <c r="A1673" s="166"/>
      <c r="B1673" s="101"/>
      <c r="C1673" s="100"/>
      <c r="D1673" s="167"/>
      <c r="E1673" s="167"/>
      <c r="F1673" s="167"/>
      <c r="G1673" s="167"/>
      <c r="H1673" s="168"/>
      <c r="I1673" s="101"/>
      <c r="J1673" s="101"/>
      <c r="K1673" s="165"/>
      <c r="CA1673" s="166"/>
      <c r="CB1673" s="101"/>
      <c r="CC1673" s="100"/>
      <c r="CD1673" s="167"/>
      <c r="CE1673" s="167"/>
      <c r="CF1673" s="167"/>
      <c r="CG1673" s="167"/>
      <c r="CH1673" s="168"/>
      <c r="CI1673" s="101"/>
      <c r="CJ1673" s="101"/>
      <c r="CK1673" s="165"/>
    </row>
    <row r="1674" spans="1:89">
      <c r="A1674" s="166"/>
      <c r="B1674" s="101"/>
      <c r="C1674" s="100"/>
      <c r="D1674" s="167"/>
      <c r="E1674" s="167"/>
      <c r="F1674" s="167"/>
      <c r="G1674" s="167"/>
      <c r="H1674" s="168"/>
      <c r="I1674" s="101"/>
      <c r="J1674" s="101"/>
      <c r="K1674" s="165"/>
      <c r="CA1674" s="166"/>
      <c r="CB1674" s="101"/>
      <c r="CC1674" s="100"/>
      <c r="CD1674" s="167"/>
      <c r="CE1674" s="167"/>
      <c r="CF1674" s="167"/>
      <c r="CG1674" s="167"/>
      <c r="CH1674" s="168"/>
      <c r="CI1674" s="101"/>
      <c r="CJ1674" s="101"/>
      <c r="CK1674" s="165"/>
    </row>
    <row r="1675" spans="1:89">
      <c r="A1675" s="166"/>
      <c r="B1675" s="101"/>
      <c r="C1675" s="100"/>
      <c r="D1675" s="167"/>
      <c r="E1675" s="167"/>
      <c r="F1675" s="167"/>
      <c r="G1675" s="167"/>
      <c r="H1675" s="168"/>
      <c r="I1675" s="101"/>
      <c r="J1675" s="101"/>
      <c r="K1675" s="165"/>
      <c r="CA1675" s="166"/>
      <c r="CB1675" s="101"/>
      <c r="CC1675" s="100"/>
      <c r="CD1675" s="167"/>
      <c r="CE1675" s="167"/>
      <c r="CF1675" s="167"/>
      <c r="CG1675" s="167"/>
      <c r="CH1675" s="168"/>
      <c r="CI1675" s="101"/>
      <c r="CJ1675" s="101"/>
      <c r="CK1675" s="165"/>
    </row>
    <row r="1676" spans="1:89">
      <c r="A1676" s="181"/>
      <c r="B1676" s="103"/>
      <c r="C1676" s="100"/>
      <c r="D1676" s="100"/>
      <c r="E1676" s="100"/>
      <c r="F1676" s="100"/>
      <c r="G1676" s="100"/>
      <c r="H1676" s="177"/>
      <c r="I1676" s="103"/>
      <c r="J1676" s="103"/>
      <c r="K1676" s="182"/>
      <c r="CA1676" s="181"/>
      <c r="CB1676" s="103"/>
      <c r="CC1676" s="100"/>
      <c r="CD1676" s="100"/>
      <c r="CE1676" s="100"/>
      <c r="CF1676" s="100"/>
      <c r="CG1676" s="100"/>
      <c r="CH1676" s="177"/>
      <c r="CI1676" s="103"/>
      <c r="CJ1676" s="103"/>
      <c r="CK1676" s="182"/>
    </row>
    <row r="1677" spans="1:89">
      <c r="A1677" s="179" t="s">
        <v>5216</v>
      </c>
      <c r="B1677" s="102"/>
      <c r="C1677" s="175" t="s">
        <v>5018</v>
      </c>
      <c r="D1677" s="175" t="s">
        <v>5701</v>
      </c>
      <c r="E1677" s="175" t="s">
        <v>5019</v>
      </c>
      <c r="F1677" s="175" t="s">
        <v>5020</v>
      </c>
      <c r="G1677" s="175" t="s">
        <v>5021</v>
      </c>
      <c r="H1677" s="175" t="s">
        <v>5022</v>
      </c>
      <c r="I1677" s="176" t="s">
        <v>5316</v>
      </c>
      <c r="J1677" s="176"/>
      <c r="K1677" s="180"/>
      <c r="CA1677" s="179" t="s">
        <v>5216</v>
      </c>
      <c r="CB1677" s="102"/>
      <c r="CC1677" s="175" t="s">
        <v>5018</v>
      </c>
      <c r="CD1677" s="175" t="s">
        <v>5701</v>
      </c>
      <c r="CE1677" s="175" t="s">
        <v>5019</v>
      </c>
      <c r="CF1677" s="175" t="s">
        <v>5020</v>
      </c>
      <c r="CG1677" s="175" t="s">
        <v>5021</v>
      </c>
      <c r="CH1677" s="175" t="s">
        <v>5022</v>
      </c>
      <c r="CI1677" s="176" t="s">
        <v>5316</v>
      </c>
      <c r="CJ1677" s="176"/>
      <c r="CK1677" s="180"/>
    </row>
    <row r="1678" spans="1:89">
      <c r="A1678" s="166"/>
      <c r="B1678" s="101"/>
      <c r="C1678" s="100"/>
      <c r="D1678" s="167"/>
      <c r="E1678" s="167"/>
      <c r="F1678" s="167"/>
      <c r="G1678" s="167"/>
      <c r="H1678" s="168"/>
      <c r="I1678" s="101"/>
      <c r="J1678" s="101"/>
      <c r="K1678" s="165"/>
      <c r="CA1678" s="166"/>
      <c r="CB1678" s="101"/>
      <c r="CC1678" s="100"/>
      <c r="CD1678" s="167"/>
      <c r="CE1678" s="167"/>
      <c r="CF1678" s="167"/>
      <c r="CG1678" s="167"/>
      <c r="CH1678" s="168"/>
      <c r="CI1678" s="101"/>
      <c r="CJ1678" s="101"/>
      <c r="CK1678" s="165"/>
    </row>
    <row r="1679" spans="1:89">
      <c r="A1679" s="166"/>
      <c r="B1679" s="101"/>
      <c r="C1679" s="100"/>
      <c r="D1679" s="167"/>
      <c r="E1679" s="167"/>
      <c r="F1679" s="167"/>
      <c r="G1679" s="167"/>
      <c r="H1679" s="168"/>
      <c r="I1679" s="101"/>
      <c r="J1679" s="101"/>
      <c r="K1679" s="165"/>
      <c r="CA1679" s="166"/>
      <c r="CB1679" s="101"/>
      <c r="CC1679" s="100"/>
      <c r="CD1679" s="167"/>
      <c r="CE1679" s="167"/>
      <c r="CF1679" s="167"/>
      <c r="CG1679" s="167"/>
      <c r="CH1679" s="168"/>
      <c r="CI1679" s="101"/>
      <c r="CJ1679" s="101"/>
      <c r="CK1679" s="165"/>
    </row>
    <row r="1680" spans="1:89">
      <c r="A1680" s="166"/>
      <c r="B1680" s="101"/>
      <c r="C1680" s="100"/>
      <c r="D1680" s="167"/>
      <c r="E1680" s="167"/>
      <c r="F1680" s="167"/>
      <c r="G1680" s="167"/>
      <c r="H1680" s="168"/>
      <c r="I1680" s="101"/>
      <c r="J1680" s="101"/>
      <c r="K1680" s="165"/>
      <c r="CA1680" s="166"/>
      <c r="CB1680" s="101"/>
      <c r="CC1680" s="100"/>
      <c r="CD1680" s="167"/>
      <c r="CE1680" s="167"/>
      <c r="CF1680" s="167"/>
      <c r="CG1680" s="167"/>
      <c r="CH1680" s="168"/>
      <c r="CI1680" s="101"/>
      <c r="CJ1680" s="101"/>
      <c r="CK1680" s="165"/>
    </row>
    <row r="1681" spans="1:89">
      <c r="A1681" s="166"/>
      <c r="B1681" s="101"/>
      <c r="C1681" s="100"/>
      <c r="D1681" s="167"/>
      <c r="E1681" s="167"/>
      <c r="F1681" s="167"/>
      <c r="G1681" s="167"/>
      <c r="H1681" s="168"/>
      <c r="I1681" s="101"/>
      <c r="J1681" s="101"/>
      <c r="K1681" s="165"/>
      <c r="CA1681" s="166"/>
      <c r="CB1681" s="101"/>
      <c r="CC1681" s="100"/>
      <c r="CD1681" s="167"/>
      <c r="CE1681" s="167"/>
      <c r="CF1681" s="167"/>
      <c r="CG1681" s="167"/>
      <c r="CH1681" s="168"/>
      <c r="CI1681" s="101"/>
      <c r="CJ1681" s="101"/>
      <c r="CK1681" s="165"/>
    </row>
    <row r="1682" spans="1:89">
      <c r="A1682" s="181"/>
      <c r="B1682" s="103"/>
      <c r="C1682" s="100"/>
      <c r="D1682" s="100"/>
      <c r="E1682" s="100"/>
      <c r="F1682" s="100"/>
      <c r="G1682" s="100"/>
      <c r="H1682" s="177"/>
      <c r="I1682" s="103"/>
      <c r="J1682" s="103"/>
      <c r="K1682" s="182"/>
      <c r="CA1682" s="181"/>
      <c r="CB1682" s="103"/>
      <c r="CC1682" s="100"/>
      <c r="CD1682" s="100"/>
      <c r="CE1682" s="100"/>
      <c r="CF1682" s="100"/>
      <c r="CG1682" s="100"/>
      <c r="CH1682" s="177"/>
      <c r="CI1682" s="103"/>
      <c r="CJ1682" s="103"/>
      <c r="CK1682" s="182"/>
    </row>
    <row r="1683" spans="1:89">
      <c r="A1683" s="179" t="s">
        <v>5418</v>
      </c>
      <c r="B1683" s="102"/>
      <c r="C1683" s="175" t="s">
        <v>5018</v>
      </c>
      <c r="D1683" s="175" t="s">
        <v>5701</v>
      </c>
      <c r="E1683" s="175" t="s">
        <v>5019</v>
      </c>
      <c r="F1683" s="175" t="s">
        <v>5020</v>
      </c>
      <c r="G1683" s="175" t="s">
        <v>5021</v>
      </c>
      <c r="H1683" s="175" t="s">
        <v>5022</v>
      </c>
      <c r="I1683" s="176" t="s">
        <v>5316</v>
      </c>
      <c r="J1683" s="176"/>
      <c r="K1683" s="180"/>
      <c r="CA1683" s="179" t="s">
        <v>5418</v>
      </c>
      <c r="CB1683" s="102"/>
      <c r="CC1683" s="175" t="s">
        <v>5018</v>
      </c>
      <c r="CD1683" s="175" t="s">
        <v>5701</v>
      </c>
      <c r="CE1683" s="175" t="s">
        <v>5019</v>
      </c>
      <c r="CF1683" s="175" t="s">
        <v>5020</v>
      </c>
      <c r="CG1683" s="175" t="s">
        <v>5021</v>
      </c>
      <c r="CH1683" s="175" t="s">
        <v>5022</v>
      </c>
      <c r="CI1683" s="176" t="s">
        <v>5316</v>
      </c>
      <c r="CJ1683" s="176"/>
      <c r="CK1683" s="180"/>
    </row>
    <row r="1684" spans="1:89">
      <c r="A1684" s="166"/>
      <c r="B1684" s="101"/>
      <c r="C1684" s="100"/>
      <c r="D1684" s="167"/>
      <c r="E1684" s="167"/>
      <c r="F1684" s="167"/>
      <c r="G1684" s="167"/>
      <c r="H1684" s="168"/>
      <c r="I1684" s="101"/>
      <c r="J1684" s="101"/>
      <c r="K1684" s="165"/>
      <c r="CA1684" s="166"/>
      <c r="CB1684" s="101"/>
      <c r="CC1684" s="100"/>
      <c r="CD1684" s="167"/>
      <c r="CE1684" s="167"/>
      <c r="CF1684" s="167"/>
      <c r="CG1684" s="167"/>
      <c r="CH1684" s="168"/>
      <c r="CI1684" s="101"/>
      <c r="CJ1684" s="101"/>
      <c r="CK1684" s="165"/>
    </row>
    <row r="1685" spans="1:89">
      <c r="A1685" s="166"/>
      <c r="B1685" s="101"/>
      <c r="C1685" s="100"/>
      <c r="D1685" s="167"/>
      <c r="E1685" s="167"/>
      <c r="F1685" s="167"/>
      <c r="G1685" s="167"/>
      <c r="H1685" s="168"/>
      <c r="I1685" s="101"/>
      <c r="J1685" s="101"/>
      <c r="K1685" s="165"/>
      <c r="CA1685" s="166"/>
      <c r="CB1685" s="101"/>
      <c r="CC1685" s="100"/>
      <c r="CD1685" s="167"/>
      <c r="CE1685" s="167"/>
      <c r="CF1685" s="167"/>
      <c r="CG1685" s="167"/>
      <c r="CH1685" s="168"/>
      <c r="CI1685" s="101"/>
      <c r="CJ1685" s="101"/>
      <c r="CK1685" s="165"/>
    </row>
    <row r="1686" spans="1:89">
      <c r="A1686" s="166"/>
      <c r="B1686" s="101"/>
      <c r="C1686" s="100"/>
      <c r="D1686" s="167"/>
      <c r="E1686" s="167"/>
      <c r="F1686" s="167"/>
      <c r="G1686" s="167"/>
      <c r="H1686" s="168"/>
      <c r="I1686" s="101"/>
      <c r="J1686" s="101"/>
      <c r="K1686" s="165"/>
      <c r="CA1686" s="166"/>
      <c r="CB1686" s="101"/>
      <c r="CC1686" s="100"/>
      <c r="CD1686" s="167"/>
      <c r="CE1686" s="167"/>
      <c r="CF1686" s="167"/>
      <c r="CG1686" s="167"/>
      <c r="CH1686" s="168"/>
      <c r="CI1686" s="101"/>
      <c r="CJ1686" s="101"/>
      <c r="CK1686" s="165"/>
    </row>
    <row r="1687" spans="1:89">
      <c r="A1687" s="166"/>
      <c r="B1687" s="101"/>
      <c r="C1687" s="100"/>
      <c r="D1687" s="167"/>
      <c r="E1687" s="167"/>
      <c r="F1687" s="167"/>
      <c r="G1687" s="167"/>
      <c r="H1687" s="168"/>
      <c r="I1687" s="101"/>
      <c r="J1687" s="101"/>
      <c r="K1687" s="165"/>
      <c r="CA1687" s="166"/>
      <c r="CB1687" s="101"/>
      <c r="CC1687" s="100"/>
      <c r="CD1687" s="167"/>
      <c r="CE1687" s="167"/>
      <c r="CF1687" s="167"/>
      <c r="CG1687" s="167"/>
      <c r="CH1687" s="168"/>
      <c r="CI1687" s="101"/>
      <c r="CJ1687" s="101"/>
      <c r="CK1687" s="165"/>
    </row>
    <row r="1688" spans="1:89">
      <c r="A1688" s="181"/>
      <c r="B1688" s="103"/>
      <c r="C1688" s="100"/>
      <c r="D1688" s="100"/>
      <c r="E1688" s="100"/>
      <c r="F1688" s="100"/>
      <c r="G1688" s="100"/>
      <c r="H1688" s="177"/>
      <c r="I1688" s="103"/>
      <c r="J1688" s="178"/>
      <c r="K1688" s="182"/>
      <c r="CA1688" s="181"/>
      <c r="CB1688" s="103"/>
      <c r="CC1688" s="100"/>
      <c r="CD1688" s="100"/>
      <c r="CE1688" s="100"/>
      <c r="CF1688" s="100"/>
      <c r="CG1688" s="100"/>
      <c r="CH1688" s="177"/>
      <c r="CI1688" s="103"/>
      <c r="CJ1688" s="178"/>
      <c r="CK1688" s="182"/>
    </row>
    <row r="1689" spans="1:89">
      <c r="A1689" s="179" t="s">
        <v>5419</v>
      </c>
      <c r="B1689" s="102"/>
      <c r="C1689" s="175" t="s">
        <v>5018</v>
      </c>
      <c r="D1689" s="175" t="s">
        <v>5701</v>
      </c>
      <c r="E1689" s="175" t="s">
        <v>5019</v>
      </c>
      <c r="F1689" s="175" t="s">
        <v>5020</v>
      </c>
      <c r="G1689" s="175" t="s">
        <v>5021</v>
      </c>
      <c r="H1689" s="175" t="s">
        <v>5022</v>
      </c>
      <c r="I1689" s="176" t="s">
        <v>5316</v>
      </c>
      <c r="J1689" s="176"/>
      <c r="K1689" s="180"/>
      <c r="CA1689" s="179" t="s">
        <v>5419</v>
      </c>
      <c r="CB1689" s="102"/>
      <c r="CC1689" s="175" t="s">
        <v>5018</v>
      </c>
      <c r="CD1689" s="175" t="s">
        <v>5701</v>
      </c>
      <c r="CE1689" s="175" t="s">
        <v>5019</v>
      </c>
      <c r="CF1689" s="175" t="s">
        <v>5020</v>
      </c>
      <c r="CG1689" s="175" t="s">
        <v>5021</v>
      </c>
      <c r="CH1689" s="175" t="s">
        <v>5022</v>
      </c>
      <c r="CI1689" s="176" t="s">
        <v>5316</v>
      </c>
      <c r="CJ1689" s="176"/>
      <c r="CK1689" s="180"/>
    </row>
    <row r="1690" spans="1:89">
      <c r="A1690" s="166"/>
      <c r="B1690" s="101"/>
      <c r="C1690" s="100"/>
      <c r="D1690" s="167"/>
      <c r="E1690" s="167"/>
      <c r="F1690" s="167"/>
      <c r="G1690" s="167"/>
      <c r="H1690" s="168"/>
      <c r="I1690" s="101"/>
      <c r="J1690" s="101"/>
      <c r="K1690" s="165"/>
      <c r="CA1690" s="166"/>
      <c r="CB1690" s="101"/>
      <c r="CC1690" s="100"/>
      <c r="CD1690" s="167"/>
      <c r="CE1690" s="167"/>
      <c r="CF1690" s="167"/>
      <c r="CG1690" s="167"/>
      <c r="CH1690" s="168"/>
      <c r="CI1690" s="101"/>
      <c r="CJ1690" s="101"/>
      <c r="CK1690" s="165"/>
    </row>
    <row r="1691" spans="1:89">
      <c r="A1691" s="166"/>
      <c r="B1691" s="101"/>
      <c r="C1691" s="100"/>
      <c r="D1691" s="167"/>
      <c r="E1691" s="167"/>
      <c r="F1691" s="167"/>
      <c r="G1691" s="167"/>
      <c r="H1691" s="168"/>
      <c r="I1691" s="101"/>
      <c r="J1691" s="101"/>
      <c r="K1691" s="165"/>
      <c r="CA1691" s="166"/>
      <c r="CB1691" s="101"/>
      <c r="CC1691" s="100"/>
      <c r="CD1691" s="167"/>
      <c r="CE1691" s="167"/>
      <c r="CF1691" s="167"/>
      <c r="CG1691" s="167"/>
      <c r="CH1691" s="168"/>
      <c r="CI1691" s="101"/>
      <c r="CJ1691" s="101"/>
      <c r="CK1691" s="165"/>
    </row>
    <row r="1692" spans="1:89">
      <c r="A1692" s="166"/>
      <c r="B1692" s="101"/>
      <c r="C1692" s="100"/>
      <c r="D1692" s="167"/>
      <c r="E1692" s="167"/>
      <c r="F1692" s="167"/>
      <c r="G1692" s="167"/>
      <c r="H1692" s="168"/>
      <c r="I1692" s="101"/>
      <c r="J1692" s="101"/>
      <c r="K1692" s="165"/>
      <c r="CA1692" s="166"/>
      <c r="CB1692" s="101"/>
      <c r="CC1692" s="100"/>
      <c r="CD1692" s="167"/>
      <c r="CE1692" s="167"/>
      <c r="CF1692" s="167"/>
      <c r="CG1692" s="167"/>
      <c r="CH1692" s="168"/>
      <c r="CI1692" s="101"/>
      <c r="CJ1692" s="101"/>
      <c r="CK1692" s="165"/>
    </row>
    <row r="1693" spans="1:89">
      <c r="A1693" s="166"/>
      <c r="B1693" s="101"/>
      <c r="C1693" s="100"/>
      <c r="D1693" s="167"/>
      <c r="E1693" s="167"/>
      <c r="F1693" s="167"/>
      <c r="G1693" s="167"/>
      <c r="H1693" s="168"/>
      <c r="I1693" s="101"/>
      <c r="J1693" s="101"/>
      <c r="K1693" s="165"/>
      <c r="CA1693" s="166"/>
      <c r="CB1693" s="101"/>
      <c r="CC1693" s="100"/>
      <c r="CD1693" s="167"/>
      <c r="CE1693" s="167"/>
      <c r="CF1693" s="167"/>
      <c r="CG1693" s="167"/>
      <c r="CH1693" s="168"/>
      <c r="CI1693" s="101"/>
      <c r="CJ1693" s="101"/>
      <c r="CK1693" s="165"/>
    </row>
    <row r="1694" spans="1:89">
      <c r="A1694" s="181"/>
      <c r="B1694" s="103"/>
      <c r="C1694" s="100"/>
      <c r="D1694" s="100"/>
      <c r="E1694" s="100"/>
      <c r="F1694" s="100"/>
      <c r="G1694" s="100"/>
      <c r="H1694" s="177"/>
      <c r="I1694" s="103"/>
      <c r="J1694" s="178"/>
      <c r="K1694" s="182"/>
      <c r="CA1694" s="181"/>
      <c r="CB1694" s="103"/>
      <c r="CC1694" s="100"/>
      <c r="CD1694" s="100"/>
      <c r="CE1694" s="100"/>
      <c r="CF1694" s="100"/>
      <c r="CG1694" s="100"/>
      <c r="CH1694" s="177"/>
      <c r="CI1694" s="103"/>
      <c r="CJ1694" s="178"/>
      <c r="CK1694" s="182"/>
    </row>
    <row r="1695" spans="1:89">
      <c r="A1695" s="179" t="s">
        <v>5420</v>
      </c>
      <c r="B1695" s="102"/>
      <c r="C1695" s="175" t="s">
        <v>5018</v>
      </c>
      <c r="D1695" s="175" t="s">
        <v>5701</v>
      </c>
      <c r="E1695" s="175" t="s">
        <v>5019</v>
      </c>
      <c r="F1695" s="175" t="s">
        <v>5020</v>
      </c>
      <c r="G1695" s="175" t="s">
        <v>5021</v>
      </c>
      <c r="H1695" s="175" t="s">
        <v>5022</v>
      </c>
      <c r="I1695" s="176" t="s">
        <v>5316</v>
      </c>
      <c r="J1695" s="176"/>
      <c r="K1695" s="180"/>
      <c r="CA1695" s="179" t="s">
        <v>5420</v>
      </c>
      <c r="CB1695" s="102"/>
      <c r="CC1695" s="175" t="s">
        <v>5018</v>
      </c>
      <c r="CD1695" s="175" t="s">
        <v>5701</v>
      </c>
      <c r="CE1695" s="175" t="s">
        <v>5019</v>
      </c>
      <c r="CF1695" s="175" t="s">
        <v>5020</v>
      </c>
      <c r="CG1695" s="175" t="s">
        <v>5021</v>
      </c>
      <c r="CH1695" s="175" t="s">
        <v>5022</v>
      </c>
      <c r="CI1695" s="176" t="s">
        <v>5316</v>
      </c>
      <c r="CJ1695" s="176"/>
      <c r="CK1695" s="180"/>
    </row>
    <row r="1696" spans="1:89">
      <c r="A1696" s="166"/>
      <c r="B1696" s="101"/>
      <c r="C1696" s="100"/>
      <c r="D1696" s="167"/>
      <c r="E1696" s="167"/>
      <c r="F1696" s="167"/>
      <c r="G1696" s="167"/>
      <c r="H1696" s="168"/>
      <c r="I1696" s="101"/>
      <c r="J1696" s="101"/>
      <c r="K1696" s="165"/>
      <c r="CA1696" s="166"/>
      <c r="CB1696" s="101"/>
      <c r="CC1696" s="100"/>
      <c r="CD1696" s="167"/>
      <c r="CE1696" s="167"/>
      <c r="CF1696" s="167"/>
      <c r="CG1696" s="167"/>
      <c r="CH1696" s="168"/>
      <c r="CI1696" s="101"/>
      <c r="CJ1696" s="101"/>
      <c r="CK1696" s="165"/>
    </row>
    <row r="1697" spans="1:89">
      <c r="A1697" s="166"/>
      <c r="B1697" s="101"/>
      <c r="C1697" s="100"/>
      <c r="D1697" s="167"/>
      <c r="E1697" s="167"/>
      <c r="F1697" s="167"/>
      <c r="G1697" s="167"/>
      <c r="H1697" s="168"/>
      <c r="I1697" s="101"/>
      <c r="J1697" s="101"/>
      <c r="K1697" s="165"/>
      <c r="CA1697" s="166"/>
      <c r="CB1697" s="101"/>
      <c r="CC1697" s="100"/>
      <c r="CD1697" s="167"/>
      <c r="CE1697" s="167"/>
      <c r="CF1697" s="167"/>
      <c r="CG1697" s="167"/>
      <c r="CH1697" s="168"/>
      <c r="CI1697" s="101"/>
      <c r="CJ1697" s="101"/>
      <c r="CK1697" s="165"/>
    </row>
    <row r="1698" spans="1:89">
      <c r="A1698" s="166"/>
      <c r="B1698" s="101"/>
      <c r="C1698" s="100"/>
      <c r="D1698" s="167"/>
      <c r="E1698" s="167"/>
      <c r="F1698" s="167"/>
      <c r="G1698" s="167"/>
      <c r="H1698" s="168"/>
      <c r="I1698" s="101"/>
      <c r="J1698" s="101"/>
      <c r="K1698" s="165"/>
      <c r="CA1698" s="166"/>
      <c r="CB1698" s="101"/>
      <c r="CC1698" s="100"/>
      <c r="CD1698" s="167"/>
      <c r="CE1698" s="167"/>
      <c r="CF1698" s="167"/>
      <c r="CG1698" s="167"/>
      <c r="CH1698" s="168"/>
      <c r="CI1698" s="101"/>
      <c r="CJ1698" s="101"/>
      <c r="CK1698" s="165"/>
    </row>
    <row r="1699" spans="1:89">
      <c r="A1699" s="166"/>
      <c r="B1699" s="101"/>
      <c r="C1699" s="100"/>
      <c r="D1699" s="167"/>
      <c r="E1699" s="167"/>
      <c r="F1699" s="167"/>
      <c r="G1699" s="167"/>
      <c r="H1699" s="168"/>
      <c r="I1699" s="101"/>
      <c r="J1699" s="101"/>
      <c r="K1699" s="165"/>
      <c r="CA1699" s="166"/>
      <c r="CB1699" s="101"/>
      <c r="CC1699" s="100"/>
      <c r="CD1699" s="167"/>
      <c r="CE1699" s="167"/>
      <c r="CF1699" s="167"/>
      <c r="CG1699" s="167"/>
      <c r="CH1699" s="168"/>
      <c r="CI1699" s="101"/>
      <c r="CJ1699" s="101"/>
      <c r="CK1699" s="165"/>
    </row>
    <row r="1700" spans="1:89" ht="14" thickBot="1">
      <c r="A1700" s="170"/>
      <c r="B1700" s="171"/>
      <c r="C1700" s="172"/>
      <c r="D1700" s="172"/>
      <c r="E1700" s="172"/>
      <c r="F1700" s="172"/>
      <c r="G1700" s="172"/>
      <c r="H1700" s="173"/>
      <c r="I1700" s="171"/>
      <c r="J1700" s="171"/>
      <c r="K1700" s="174"/>
      <c r="CA1700" s="170"/>
      <c r="CB1700" s="171"/>
      <c r="CC1700" s="172"/>
      <c r="CD1700" s="172"/>
      <c r="CE1700" s="172"/>
      <c r="CF1700" s="172"/>
      <c r="CG1700" s="172"/>
      <c r="CH1700" s="173"/>
      <c r="CI1700" s="171"/>
      <c r="CJ1700" s="171"/>
      <c r="CK1700" s="174"/>
    </row>
    <row r="1701" spans="1:89">
      <c r="A1701"/>
      <c r="B1701"/>
      <c r="C1701"/>
      <c r="D1701"/>
      <c r="E1701"/>
      <c r="F1701"/>
      <c r="G1701"/>
      <c r="H1701"/>
      <c r="I1701"/>
      <c r="J1701"/>
      <c r="K1701"/>
    </row>
    <row r="1702" spans="1:89">
      <c r="A1702"/>
      <c r="B1702"/>
      <c r="C1702"/>
      <c r="D1702"/>
      <c r="E1702"/>
      <c r="F1702"/>
      <c r="G1702"/>
      <c r="H1702"/>
      <c r="I1702"/>
      <c r="J1702"/>
      <c r="K1702"/>
    </row>
    <row r="1703" spans="1:89">
      <c r="A1703"/>
      <c r="B1703"/>
      <c r="C1703"/>
      <c r="D1703"/>
      <c r="E1703"/>
      <c r="F1703"/>
      <c r="G1703"/>
      <c r="H1703"/>
      <c r="I1703"/>
      <c r="J1703"/>
      <c r="K1703"/>
    </row>
    <row r="1704" spans="1:89">
      <c r="A1704"/>
      <c r="B1704"/>
      <c r="C1704"/>
      <c r="D1704"/>
      <c r="E1704"/>
      <c r="F1704"/>
      <c r="G1704"/>
      <c r="H1704"/>
      <c r="I1704"/>
      <c r="J1704"/>
      <c r="K1704"/>
    </row>
    <row r="1705" spans="1:89">
      <c r="A1705"/>
      <c r="B1705"/>
      <c r="C1705"/>
      <c r="D1705"/>
      <c r="E1705"/>
      <c r="F1705"/>
      <c r="G1705"/>
      <c r="H1705"/>
      <c r="I1705"/>
      <c r="J1705"/>
      <c r="K1705"/>
    </row>
    <row r="1706" spans="1:89">
      <c r="A1706"/>
      <c r="B1706"/>
      <c r="C1706"/>
      <c r="D1706"/>
      <c r="E1706"/>
      <c r="F1706"/>
      <c r="G1706"/>
      <c r="H1706"/>
      <c r="I1706"/>
      <c r="J1706"/>
      <c r="K1706"/>
    </row>
    <row r="1707" spans="1:89">
      <c r="A1707"/>
      <c r="B1707"/>
      <c r="C1707"/>
      <c r="D1707"/>
      <c r="E1707"/>
      <c r="F1707"/>
      <c r="G1707"/>
      <c r="H1707"/>
      <c r="I1707"/>
      <c r="J1707"/>
      <c r="K1707"/>
    </row>
    <row r="1708" spans="1:89">
      <c r="A1708"/>
      <c r="B1708"/>
      <c r="C1708"/>
      <c r="D1708"/>
      <c r="E1708"/>
      <c r="F1708"/>
      <c r="G1708"/>
      <c r="H1708"/>
      <c r="I1708"/>
      <c r="J1708"/>
      <c r="K1708"/>
    </row>
    <row r="1709" spans="1:89">
      <c r="A1709"/>
      <c r="B1709"/>
      <c r="C1709"/>
      <c r="D1709"/>
      <c r="E1709"/>
      <c r="F1709"/>
      <c r="G1709"/>
      <c r="H1709"/>
      <c r="I1709"/>
      <c r="J1709"/>
      <c r="K1709"/>
    </row>
    <row r="1710" spans="1:89">
      <c r="A1710"/>
      <c r="B1710"/>
      <c r="C1710"/>
      <c r="D1710"/>
      <c r="E1710"/>
      <c r="F1710"/>
      <c r="G1710"/>
      <c r="H1710"/>
      <c r="I1710"/>
      <c r="J1710"/>
      <c r="K1710"/>
    </row>
    <row r="1711" spans="1:89">
      <c r="A1711"/>
      <c r="B1711"/>
      <c r="C1711"/>
      <c r="D1711"/>
      <c r="E1711"/>
      <c r="F1711"/>
      <c r="G1711"/>
      <c r="H1711"/>
      <c r="I1711"/>
      <c r="J1711"/>
      <c r="K1711"/>
    </row>
    <row r="1712" spans="1:89">
      <c r="A1712"/>
      <c r="B1712"/>
      <c r="C1712"/>
      <c r="D1712"/>
      <c r="E1712"/>
      <c r="F1712"/>
      <c r="G1712"/>
      <c r="H1712"/>
      <c r="I1712"/>
      <c r="J1712"/>
      <c r="K1712"/>
    </row>
    <row r="1713" spans="1:11">
      <c r="A1713"/>
      <c r="B1713"/>
      <c r="C1713"/>
      <c r="D1713"/>
      <c r="E1713"/>
      <c r="F1713"/>
      <c r="G1713"/>
      <c r="H1713"/>
      <c r="I1713"/>
      <c r="J1713"/>
      <c r="K1713"/>
    </row>
    <row r="1714" spans="1:11">
      <c r="A1714"/>
      <c r="B1714"/>
      <c r="C1714"/>
      <c r="D1714"/>
      <c r="E1714"/>
      <c r="F1714"/>
      <c r="G1714"/>
      <c r="H1714"/>
      <c r="I1714"/>
      <c r="J1714"/>
      <c r="K1714"/>
    </row>
    <row r="1715" spans="1:11">
      <c r="A1715"/>
      <c r="B1715"/>
      <c r="C1715"/>
      <c r="D1715"/>
      <c r="E1715"/>
      <c r="F1715"/>
      <c r="G1715"/>
      <c r="H1715"/>
      <c r="I1715"/>
      <c r="J1715"/>
      <c r="K1715"/>
    </row>
    <row r="1716" spans="1:11">
      <c r="A1716"/>
      <c r="B1716"/>
      <c r="C1716"/>
      <c r="D1716"/>
      <c r="E1716"/>
      <c r="F1716"/>
      <c r="G1716"/>
      <c r="H1716"/>
      <c r="I1716"/>
      <c r="J1716"/>
      <c r="K1716"/>
    </row>
    <row r="1717" spans="1:11">
      <c r="A1717"/>
      <c r="B1717"/>
      <c r="C1717"/>
      <c r="D1717"/>
      <c r="E1717"/>
      <c r="F1717"/>
      <c r="G1717"/>
      <c r="H1717"/>
      <c r="I1717"/>
      <c r="J1717"/>
      <c r="K1717"/>
    </row>
    <row r="1718" spans="1:11">
      <c r="A1718"/>
      <c r="B1718"/>
      <c r="C1718"/>
      <c r="D1718"/>
      <c r="E1718"/>
      <c r="F1718"/>
      <c r="G1718"/>
      <c r="H1718"/>
      <c r="I1718"/>
      <c r="J1718"/>
      <c r="K1718"/>
    </row>
    <row r="1719" spans="1:11">
      <c r="A1719"/>
      <c r="B1719"/>
      <c r="C1719"/>
      <c r="D1719"/>
      <c r="E1719"/>
      <c r="F1719"/>
      <c r="G1719"/>
      <c r="H1719"/>
      <c r="I1719"/>
      <c r="J1719"/>
      <c r="K1719"/>
    </row>
    <row r="1720" spans="1:11">
      <c r="A1720"/>
      <c r="B1720"/>
      <c r="C1720"/>
      <c r="D1720"/>
      <c r="E1720"/>
      <c r="F1720"/>
      <c r="G1720"/>
      <c r="H1720"/>
      <c r="I1720"/>
      <c r="J1720"/>
      <c r="K1720"/>
    </row>
    <row r="1721" spans="1:11">
      <c r="A1721"/>
      <c r="B1721"/>
      <c r="C1721"/>
      <c r="D1721"/>
      <c r="E1721"/>
      <c r="F1721"/>
      <c r="G1721"/>
      <c r="H1721"/>
      <c r="I1721"/>
      <c r="J1721"/>
      <c r="K1721"/>
    </row>
    <row r="1722" spans="1:11">
      <c r="A1722"/>
      <c r="B1722"/>
      <c r="C1722"/>
      <c r="D1722"/>
      <c r="E1722"/>
      <c r="F1722"/>
      <c r="G1722"/>
      <c r="H1722"/>
      <c r="I1722"/>
      <c r="J1722"/>
      <c r="K1722"/>
    </row>
    <row r="1723" spans="1:11">
      <c r="A1723"/>
      <c r="B1723"/>
      <c r="C1723"/>
      <c r="D1723"/>
      <c r="E1723"/>
      <c r="F1723"/>
      <c r="G1723"/>
      <c r="H1723"/>
      <c r="I1723"/>
      <c r="J1723"/>
      <c r="K1723"/>
    </row>
    <row r="1724" spans="1:11">
      <c r="A1724"/>
      <c r="B1724"/>
      <c r="C1724"/>
      <c r="D1724"/>
      <c r="E1724"/>
      <c r="F1724"/>
      <c r="G1724"/>
      <c r="H1724"/>
      <c r="I1724"/>
      <c r="J1724"/>
      <c r="K1724"/>
    </row>
    <row r="1725" spans="1:11">
      <c r="A1725"/>
      <c r="B1725"/>
      <c r="C1725"/>
      <c r="D1725"/>
      <c r="E1725"/>
      <c r="F1725"/>
      <c r="G1725"/>
      <c r="H1725"/>
      <c r="I1725"/>
      <c r="J1725"/>
      <c r="K1725"/>
    </row>
    <row r="1726" spans="1:11">
      <c r="A1726"/>
      <c r="B1726"/>
      <c r="C1726"/>
      <c r="D1726"/>
      <c r="E1726"/>
      <c r="F1726"/>
      <c r="G1726"/>
      <c r="H1726"/>
      <c r="I1726"/>
      <c r="J1726"/>
      <c r="K1726"/>
    </row>
    <row r="1727" spans="1:11">
      <c r="A1727"/>
      <c r="B1727"/>
      <c r="C1727"/>
      <c r="D1727"/>
      <c r="E1727"/>
      <c r="F1727"/>
      <c r="G1727"/>
      <c r="H1727"/>
      <c r="I1727"/>
      <c r="J1727"/>
      <c r="K1727"/>
    </row>
    <row r="1728" spans="1:11">
      <c r="A1728"/>
      <c r="B1728"/>
      <c r="C1728"/>
      <c r="D1728"/>
      <c r="E1728"/>
      <c r="F1728"/>
      <c r="G1728"/>
      <c r="H1728"/>
      <c r="I1728"/>
      <c r="J1728"/>
      <c r="K1728"/>
    </row>
    <row r="1729" spans="1:11">
      <c r="A1729"/>
      <c r="B1729"/>
      <c r="C1729"/>
      <c r="D1729"/>
      <c r="E1729"/>
      <c r="F1729"/>
      <c r="G1729"/>
      <c r="H1729"/>
      <c r="I1729"/>
      <c r="J1729"/>
      <c r="K1729"/>
    </row>
    <row r="1730" spans="1:11">
      <c r="A1730"/>
      <c r="B1730"/>
      <c r="C1730"/>
      <c r="D1730"/>
      <c r="E1730"/>
      <c r="F1730"/>
      <c r="G1730"/>
      <c r="H1730"/>
      <c r="I1730"/>
      <c r="J1730"/>
      <c r="K1730"/>
    </row>
    <row r="1731" spans="1:11">
      <c r="A1731"/>
      <c r="B1731"/>
      <c r="C1731"/>
      <c r="D1731"/>
      <c r="E1731"/>
      <c r="F1731"/>
      <c r="G1731"/>
      <c r="H1731"/>
      <c r="I1731"/>
      <c r="J1731"/>
      <c r="K1731"/>
    </row>
    <row r="1732" spans="1:11">
      <c r="A1732"/>
      <c r="B1732"/>
      <c r="C1732"/>
      <c r="D1732"/>
      <c r="E1732"/>
      <c r="F1732"/>
      <c r="G1732"/>
      <c r="H1732"/>
      <c r="I1732"/>
      <c r="J1732"/>
      <c r="K1732"/>
    </row>
    <row r="1733" spans="1:11">
      <c r="A1733"/>
      <c r="B1733"/>
      <c r="C1733"/>
      <c r="D1733"/>
      <c r="E1733"/>
      <c r="F1733"/>
      <c r="G1733"/>
      <c r="H1733"/>
      <c r="I1733"/>
      <c r="J1733"/>
      <c r="K1733"/>
    </row>
    <row r="1734" spans="1:11">
      <c r="A1734"/>
      <c r="B1734"/>
      <c r="C1734"/>
      <c r="D1734"/>
      <c r="E1734"/>
      <c r="F1734"/>
      <c r="G1734"/>
      <c r="H1734"/>
      <c r="I1734"/>
      <c r="J1734"/>
      <c r="K1734"/>
    </row>
    <row r="1735" spans="1:11">
      <c r="A1735"/>
      <c r="B1735"/>
      <c r="C1735"/>
      <c r="D1735"/>
      <c r="E1735"/>
      <c r="F1735"/>
      <c r="G1735"/>
      <c r="H1735"/>
      <c r="I1735"/>
      <c r="J1735"/>
      <c r="K1735"/>
    </row>
    <row r="1736" spans="1:11">
      <c r="A1736"/>
      <c r="B1736"/>
      <c r="C1736"/>
      <c r="D1736"/>
      <c r="E1736"/>
      <c r="F1736"/>
      <c r="G1736"/>
      <c r="H1736"/>
      <c r="I1736"/>
      <c r="J1736"/>
      <c r="K1736"/>
    </row>
    <row r="1737" spans="1:11">
      <c r="A1737"/>
      <c r="B1737"/>
      <c r="C1737"/>
      <c r="D1737"/>
      <c r="E1737"/>
      <c r="F1737"/>
      <c r="G1737"/>
      <c r="H1737"/>
      <c r="I1737"/>
      <c r="J1737"/>
      <c r="K1737"/>
    </row>
    <row r="1738" spans="1:11">
      <c r="A1738"/>
      <c r="B1738"/>
      <c r="C1738"/>
      <c r="D1738"/>
      <c r="E1738"/>
      <c r="F1738"/>
      <c r="G1738"/>
      <c r="H1738"/>
      <c r="I1738"/>
      <c r="J1738"/>
      <c r="K1738"/>
    </row>
    <row r="1739" spans="1:11">
      <c r="A1739"/>
      <c r="B1739"/>
      <c r="C1739"/>
      <c r="D1739"/>
      <c r="E1739"/>
      <c r="F1739"/>
      <c r="G1739"/>
      <c r="H1739"/>
      <c r="I1739"/>
      <c r="J1739"/>
      <c r="K1739"/>
    </row>
    <row r="1740" spans="1:11">
      <c r="A1740"/>
      <c r="B1740"/>
      <c r="C1740"/>
      <c r="D1740"/>
      <c r="E1740"/>
      <c r="F1740"/>
      <c r="G1740"/>
      <c r="H1740"/>
      <c r="I1740"/>
      <c r="J1740"/>
      <c r="K1740"/>
    </row>
    <row r="1741" spans="1:11">
      <c r="A1741"/>
      <c r="B1741"/>
      <c r="C1741"/>
      <c r="D1741"/>
      <c r="E1741"/>
      <c r="F1741"/>
      <c r="G1741"/>
      <c r="H1741"/>
      <c r="I1741"/>
      <c r="J1741"/>
      <c r="K1741"/>
    </row>
    <row r="1742" spans="1:11">
      <c r="A1742"/>
      <c r="B1742"/>
      <c r="C1742"/>
      <c r="D1742"/>
      <c r="E1742"/>
      <c r="F1742"/>
      <c r="G1742"/>
      <c r="H1742"/>
      <c r="I1742"/>
      <c r="J1742"/>
      <c r="K1742"/>
    </row>
    <row r="1743" spans="1:11">
      <c r="A1743"/>
      <c r="B1743"/>
      <c r="C1743"/>
      <c r="D1743"/>
      <c r="E1743"/>
      <c r="F1743"/>
      <c r="G1743"/>
      <c r="H1743"/>
      <c r="I1743"/>
      <c r="J1743"/>
      <c r="K1743"/>
    </row>
    <row r="1744" spans="1:11">
      <c r="A1744"/>
      <c r="B1744"/>
      <c r="C1744"/>
      <c r="D1744"/>
      <c r="E1744"/>
      <c r="F1744"/>
      <c r="G1744"/>
      <c r="H1744"/>
      <c r="I1744"/>
      <c r="J1744"/>
      <c r="K1744"/>
    </row>
    <row r="1745" spans="1:11">
      <c r="A1745"/>
      <c r="B1745"/>
      <c r="C1745"/>
      <c r="D1745"/>
      <c r="E1745"/>
      <c r="F1745"/>
      <c r="G1745"/>
      <c r="H1745"/>
      <c r="I1745"/>
      <c r="J1745"/>
      <c r="K1745"/>
    </row>
    <row r="1746" spans="1:11">
      <c r="A1746"/>
      <c r="B1746"/>
      <c r="C1746"/>
      <c r="D1746"/>
      <c r="E1746"/>
      <c r="F1746"/>
      <c r="G1746"/>
      <c r="H1746"/>
      <c r="I1746"/>
      <c r="J1746"/>
      <c r="K1746"/>
    </row>
    <row r="1747" spans="1:11">
      <c r="A1747"/>
      <c r="B1747"/>
      <c r="C1747"/>
      <c r="D1747"/>
      <c r="E1747"/>
      <c r="F1747"/>
      <c r="G1747"/>
      <c r="H1747"/>
      <c r="I1747"/>
      <c r="J1747"/>
      <c r="K1747"/>
    </row>
    <row r="1748" spans="1:11">
      <c r="A1748"/>
      <c r="B1748"/>
      <c r="C1748"/>
      <c r="D1748"/>
      <c r="E1748"/>
      <c r="F1748"/>
      <c r="G1748"/>
      <c r="H1748"/>
      <c r="I1748"/>
      <c r="J1748"/>
      <c r="K1748"/>
    </row>
    <row r="1749" spans="1:11">
      <c r="A1749"/>
      <c r="B1749"/>
      <c r="C1749"/>
      <c r="D1749"/>
      <c r="E1749"/>
      <c r="F1749"/>
      <c r="G1749"/>
      <c r="H1749"/>
      <c r="I1749"/>
      <c r="J1749"/>
      <c r="K1749"/>
    </row>
    <row r="1750" spans="1:11">
      <c r="A1750"/>
      <c r="B1750"/>
      <c r="C1750"/>
      <c r="D1750"/>
      <c r="E1750"/>
      <c r="F1750"/>
      <c r="G1750"/>
      <c r="H1750"/>
      <c r="I1750"/>
      <c r="J1750"/>
      <c r="K1750"/>
    </row>
    <row r="1751" spans="1:11">
      <c r="A1751"/>
      <c r="B1751"/>
      <c r="C1751"/>
      <c r="D1751"/>
      <c r="E1751"/>
      <c r="F1751"/>
      <c r="G1751"/>
      <c r="H1751"/>
      <c r="I1751"/>
      <c r="J1751"/>
      <c r="K1751"/>
    </row>
    <row r="1752" spans="1:11">
      <c r="A1752"/>
      <c r="B1752"/>
      <c r="C1752"/>
      <c r="D1752"/>
      <c r="E1752"/>
      <c r="F1752"/>
      <c r="G1752"/>
      <c r="H1752"/>
      <c r="I1752"/>
      <c r="J1752"/>
      <c r="K1752"/>
    </row>
    <row r="1753" spans="1:11">
      <c r="A1753"/>
      <c r="B1753"/>
      <c r="C1753"/>
      <c r="D1753"/>
      <c r="E1753"/>
      <c r="F1753"/>
      <c r="G1753"/>
      <c r="H1753"/>
      <c r="I1753"/>
      <c r="J1753"/>
      <c r="K1753"/>
    </row>
    <row r="1754" spans="1:11">
      <c r="A1754"/>
      <c r="B1754"/>
      <c r="C1754"/>
      <c r="D1754"/>
      <c r="E1754"/>
      <c r="F1754"/>
      <c r="G1754"/>
      <c r="H1754"/>
      <c r="I1754"/>
      <c r="J1754"/>
      <c r="K1754"/>
    </row>
    <row r="1755" spans="1:11">
      <c r="A1755"/>
      <c r="B1755"/>
      <c r="C1755"/>
      <c r="D1755"/>
      <c r="E1755"/>
      <c r="F1755"/>
      <c r="G1755"/>
      <c r="H1755"/>
      <c r="I1755"/>
      <c r="J1755"/>
      <c r="K1755"/>
    </row>
    <row r="1756" spans="1:11">
      <c r="A1756"/>
      <c r="B1756"/>
      <c r="C1756"/>
      <c r="D1756"/>
      <c r="E1756"/>
      <c r="F1756"/>
      <c r="G1756"/>
      <c r="H1756"/>
      <c r="I1756"/>
      <c r="J1756"/>
      <c r="K1756"/>
    </row>
    <row r="1757" spans="1:11">
      <c r="A1757"/>
      <c r="B1757"/>
      <c r="C1757"/>
      <c r="D1757"/>
      <c r="E1757"/>
      <c r="F1757"/>
      <c r="G1757"/>
      <c r="H1757"/>
      <c r="I1757"/>
      <c r="J1757"/>
      <c r="K1757"/>
    </row>
    <row r="1758" spans="1:11">
      <c r="A1758"/>
      <c r="B1758"/>
      <c r="C1758"/>
      <c r="D1758"/>
      <c r="E1758"/>
      <c r="F1758"/>
      <c r="G1758"/>
      <c r="H1758"/>
      <c r="I1758"/>
      <c r="J1758"/>
      <c r="K1758"/>
    </row>
  </sheetData>
  <phoneticPr fontId="6" type="noConversion"/>
  <printOptions horizontalCentered="1" verticalCentered="1"/>
  <pageMargins left="0.25" right="0.25" top="0.25" bottom="0.25" header="0" footer="0"/>
  <headerFooter>
    <oddHeader xml:space="preserve">&amp;L                   </oddHeader>
    <oddFooter xml:space="preserve">&amp;L               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B496"/>
  <sheetViews>
    <sheetView workbookViewId="0">
      <pane ySplit="1" topLeftCell="A2" activePane="bottomLeft" state="frozenSplit"/>
      <selection pane="bottomLeft"/>
    </sheetView>
  </sheetViews>
  <sheetFormatPr baseColWidth="10" defaultColWidth="10.7109375" defaultRowHeight="13"/>
  <cols>
    <col min="1" max="8" width="10.7109375" style="231"/>
    <col min="9" max="10" width="10.7109375" style="190"/>
    <col min="11" max="11" width="3.5703125" style="231" customWidth="1"/>
    <col min="12" max="12" width="10.7109375" style="190"/>
    <col min="13" max="23" width="10.7109375" style="231"/>
    <col min="24" max="24" width="19.7109375" style="4" customWidth="1"/>
    <col min="25" max="27" width="10.7109375" style="231"/>
    <col min="28" max="28" width="75.42578125" style="231" customWidth="1"/>
    <col min="29" max="254" width="10.7109375" style="231"/>
    <col min="255" max="255" width="10.7109375" style="231" customWidth="1"/>
    <col min="256" max="257" width="10.7109375" style="231"/>
    <col min="258" max="261" width="10.7109375" style="231" customWidth="1"/>
    <col min="262" max="263" width="10.7109375" style="231"/>
    <col min="264" max="265" width="10.7109375" style="231" customWidth="1"/>
    <col min="266" max="267" width="10.7109375" style="231"/>
    <col min="268" max="268" width="10.7109375" style="231" customWidth="1"/>
    <col min="269" max="271" width="10.7109375" style="231"/>
    <col min="272" max="272" width="10.7109375" style="231" customWidth="1"/>
    <col min="273" max="273" width="10.7109375" style="231"/>
    <col min="274" max="274" width="10.7109375" style="231" customWidth="1"/>
    <col min="275" max="275" width="10.7109375" style="231"/>
    <col min="276" max="277" width="10.7109375" style="231" customWidth="1"/>
    <col min="278" max="279" width="10.7109375" style="231"/>
    <col min="280" max="281" width="10.7109375" style="231" customWidth="1"/>
    <col min="282" max="284" width="10.7109375" style="231"/>
    <col min="285" max="285" width="10.7109375" style="231" customWidth="1"/>
    <col min="286" max="287" width="10.7109375" style="231"/>
    <col min="288" max="289" width="10.7109375" style="231" customWidth="1"/>
    <col min="290" max="291" width="10.7109375" style="231"/>
    <col min="292" max="292" width="10.7109375" style="231" customWidth="1"/>
    <col min="293" max="296" width="10.7109375" style="231"/>
    <col min="297" max="306" width="10.7109375" style="231" customWidth="1"/>
    <col min="307" max="309" width="10.7109375" style="231"/>
    <col min="310" max="311" width="10.7109375" style="231" customWidth="1"/>
    <col min="312" max="312" width="10.7109375" style="231"/>
    <col min="313" max="321" width="10.7109375" style="231" customWidth="1"/>
    <col min="322" max="323" width="10.7109375" style="231"/>
    <col min="324" max="324" width="10.7109375" style="231" customWidth="1"/>
    <col min="325" max="326" width="10.7109375" style="231"/>
    <col min="327" max="328" width="10.7109375" style="231" customWidth="1"/>
    <col min="329" max="329" width="10.7109375" style="231"/>
    <col min="330" max="336" width="10.7109375" style="231" customWidth="1"/>
    <col min="337" max="341" width="10.7109375" style="231"/>
    <col min="342" max="343" width="10.7109375" style="231" customWidth="1"/>
    <col min="344" max="344" width="10.7109375" style="231"/>
    <col min="345" max="354" width="10.7109375" style="231" customWidth="1"/>
    <col min="355" max="355" width="10.7109375" style="231"/>
    <col min="356" max="357" width="10.7109375" style="231" customWidth="1"/>
    <col min="358" max="358" width="10.7109375" style="231"/>
    <col min="359" max="359" width="10.7109375" style="231" customWidth="1"/>
    <col min="360" max="360" width="10.7109375" style="231"/>
    <col min="361" max="368" width="10.7109375" style="231" customWidth="1"/>
    <col min="369" max="369" width="10.7109375" style="231"/>
    <col min="370" max="370" width="10.7109375" style="231" customWidth="1"/>
    <col min="371" max="373" width="10.7109375" style="231"/>
    <col min="374" max="375" width="10.7109375" style="231" customWidth="1"/>
    <col min="376" max="376" width="10.7109375" style="231"/>
    <col min="377" max="384" width="10.7109375" style="231" customWidth="1"/>
    <col min="385" max="386" width="10.7109375" style="231"/>
    <col min="387" max="389" width="10.7109375" style="231" customWidth="1"/>
    <col min="390" max="390" width="10.7109375" style="231"/>
    <col min="391" max="391" width="10.7109375" style="231" customWidth="1"/>
    <col min="392" max="392" width="10.7109375" style="231"/>
    <col min="393" max="400" width="10.7109375" style="231" customWidth="1"/>
    <col min="401" max="401" width="10.7109375" style="231"/>
    <col min="402" max="403" width="10.7109375" style="231" customWidth="1"/>
    <col min="404" max="406" width="10.7109375" style="231"/>
    <col min="407" max="407" width="10.7109375" style="231" customWidth="1"/>
    <col min="408" max="408" width="10.7109375" style="231"/>
    <col min="409" max="416" width="10.7109375" style="231" customWidth="1"/>
    <col min="417" max="417" width="10.7109375" style="231"/>
    <col min="418" max="418" width="10.7109375" style="231" customWidth="1"/>
    <col min="419" max="421" width="10.7109375" style="231"/>
    <col min="422" max="423" width="10.7109375" style="231" customWidth="1"/>
    <col min="424" max="424" width="10.7109375" style="231"/>
    <col min="425" max="432" width="10.7109375" style="231" customWidth="1"/>
    <col min="433" max="433" width="10.7109375" style="231"/>
    <col min="434" max="434" width="10.7109375" style="231" customWidth="1"/>
    <col min="435" max="436" width="10.7109375" style="231"/>
    <col min="437" max="437" width="10.7109375" style="231" customWidth="1"/>
    <col min="438" max="438" width="10.7109375" style="231"/>
    <col min="439" max="439" width="10.7109375" style="231" customWidth="1"/>
    <col min="440" max="440" width="10.7109375" style="231"/>
    <col min="441" max="448" width="10.7109375" style="231" customWidth="1"/>
    <col min="449" max="450" width="10.7109375" style="231"/>
    <col min="451" max="454" width="10.7109375" style="231" customWidth="1"/>
    <col min="455" max="456" width="10.7109375" style="231"/>
    <col min="457" max="464" width="10.7109375" style="231" customWidth="1"/>
    <col min="465" max="465" width="10.7109375" style="231"/>
    <col min="466" max="468" width="10.7109375" style="231" customWidth="1"/>
    <col min="469" max="470" width="10.7109375" style="231"/>
    <col min="471" max="471" width="10.7109375" style="231" customWidth="1"/>
    <col min="472" max="472" width="10.7109375" style="231"/>
    <col min="473" max="480" width="10.7109375" style="231" customWidth="1"/>
    <col min="481" max="481" width="10.7109375" style="231"/>
    <col min="482" max="482" width="10.7109375" style="231" customWidth="1"/>
    <col min="483" max="485" width="10.7109375" style="231"/>
    <col min="486" max="486" width="10.7109375" style="231" customWidth="1"/>
    <col min="487" max="488" width="10.7109375" style="231"/>
    <col min="489" max="496" width="10.7109375" style="231" customWidth="1"/>
    <col min="497" max="499" width="10.7109375" style="231"/>
    <col min="500" max="501" width="10.7109375" style="231" customWidth="1"/>
    <col min="502" max="502" width="10.7109375" style="231"/>
    <col min="503" max="503" width="10.7109375" style="231" customWidth="1"/>
    <col min="504" max="504" width="10.7109375" style="231"/>
    <col min="505" max="514" width="10.7109375" style="231" customWidth="1"/>
    <col min="515" max="515" width="10.7109375" style="231"/>
    <col min="516" max="518" width="10.7109375" style="231" customWidth="1"/>
    <col min="519" max="520" width="10.7109375" style="231"/>
    <col min="521" max="529" width="10.7109375" style="231" customWidth="1"/>
    <col min="530" max="531" width="10.7109375" style="231"/>
    <col min="532" max="533" width="10.7109375" style="231" customWidth="1"/>
    <col min="534" max="534" width="10.7109375" style="231"/>
    <col min="535" max="577" width="10.7109375" style="231" customWidth="1"/>
    <col min="578" max="578" width="10.7109375" style="231"/>
    <col min="579" max="581" width="10.7109375" style="231" customWidth="1"/>
    <col min="582" max="582" width="10.7109375" style="231"/>
    <col min="583" max="590" width="10.7109375" style="231" customWidth="1"/>
    <col min="591" max="592" width="10.7109375" style="231"/>
    <col min="593" max="593" width="10.7109375" style="231" customWidth="1"/>
    <col min="594" max="594" width="10.7109375" style="231"/>
    <col min="595" max="600" width="10.7109375" style="231" customWidth="1"/>
    <col min="601" max="601" width="10.7109375" style="231"/>
    <col min="602" max="603" width="10.7109375" style="231" customWidth="1"/>
    <col min="604" max="605" width="10.7109375" style="231"/>
    <col min="606" max="611" width="10.7109375" style="231" customWidth="1"/>
    <col min="612" max="612" width="10.7109375" style="231"/>
    <col min="613" max="616" width="10.7109375" style="231" customWidth="1"/>
    <col min="617" max="617" width="10.7109375" style="231"/>
    <col min="618" max="618" width="10.7109375" style="231" customWidth="1"/>
    <col min="619" max="620" width="10.7109375" style="231"/>
    <col min="621" max="622" width="10.7109375" style="231" customWidth="1"/>
    <col min="623" max="623" width="10.7109375" style="231"/>
    <col min="624" max="633" width="10.7109375" style="231" customWidth="1"/>
    <col min="634" max="634" width="10.7109375" style="231"/>
    <col min="635" max="635" width="10.7109375" style="231" customWidth="1"/>
    <col min="636" max="637" width="10.7109375" style="231"/>
    <col min="638" max="638" width="10.7109375" style="231" customWidth="1"/>
    <col min="639" max="639" width="10.7109375" style="231"/>
    <col min="640" max="640" width="10.7109375" style="231" customWidth="1"/>
    <col min="641" max="656" width="10.7109375" style="231"/>
    <col min="657" max="706" width="10.7109375" style="231" customWidth="1"/>
    <col min="707" max="710" width="10.7109375" style="231"/>
    <col min="711" max="752" width="10.7109375" style="231" customWidth="1"/>
    <col min="753" max="753" width="10.7109375" style="231"/>
    <col min="754" max="754" width="10.7109375" style="231" customWidth="1"/>
    <col min="755" max="755" width="10.7109375" style="231"/>
    <col min="756" max="759" width="10.7109375" style="231" customWidth="1"/>
    <col min="760" max="760" width="10.7109375" style="231"/>
    <col min="761" max="766" width="10.7109375" style="231" customWidth="1"/>
    <col min="767" max="769" width="10.7109375" style="231"/>
    <col min="770" max="776" width="10.7109375" style="231" customWidth="1"/>
    <col min="777" max="779" width="10.7109375" style="231"/>
    <col min="780" max="780" width="10.7109375" style="231" customWidth="1"/>
    <col min="781" max="781" width="10.7109375" style="231"/>
    <col min="782" max="786" width="10.7109375" style="231" customWidth="1"/>
    <col min="787" max="788" width="10.7109375" style="231"/>
    <col min="789" max="793" width="10.7109375" style="231" customWidth="1"/>
    <col min="794" max="796" width="10.7109375" style="231"/>
    <col min="797" max="798" width="10.7109375" style="231" customWidth="1"/>
    <col min="799" max="799" width="10.7109375" style="231"/>
    <col min="800" max="800" width="10.7109375" style="231" customWidth="1"/>
    <col min="801" max="801" width="10.7109375" style="231"/>
    <col min="802" max="802" width="10.7109375" style="231" customWidth="1"/>
    <col min="803" max="803" width="10.7109375" style="231"/>
    <col min="804" max="805" width="10.7109375" style="231" customWidth="1"/>
    <col min="806" max="807" width="10.7109375" style="231"/>
    <col min="808" max="810" width="10.7109375" style="231" customWidth="1"/>
    <col min="811" max="811" width="10.7109375" style="231"/>
    <col min="812" max="812" width="10.7109375" style="231" customWidth="1"/>
    <col min="813" max="815" width="10.7109375" style="231"/>
    <col min="816" max="819" width="10.7109375" style="231" customWidth="1"/>
    <col min="820" max="820" width="10.7109375" style="231"/>
    <col min="821" max="821" width="10.7109375" style="231" customWidth="1"/>
    <col min="822" max="823" width="10.7109375" style="231"/>
    <col min="824" max="824" width="10.7109375" style="231" customWidth="1"/>
    <col min="825" max="825" width="10.7109375" style="231"/>
    <col min="826" max="826" width="10.7109375" style="231" customWidth="1"/>
    <col min="827" max="827" width="10.7109375" style="231"/>
    <col min="828" max="829" width="10.7109375" style="231" customWidth="1"/>
    <col min="830" max="831" width="10.7109375" style="231"/>
    <col min="832" max="833" width="10.7109375" style="231" customWidth="1"/>
    <col min="834" max="834" width="10.7109375" style="231"/>
    <col min="835" max="836" width="10.7109375" style="231" customWidth="1"/>
    <col min="837" max="839" width="10.7109375" style="231"/>
    <col min="840" max="840" width="10.7109375" style="231" customWidth="1"/>
    <col min="841" max="841" width="10.7109375" style="231"/>
    <col min="842" max="842" width="10.7109375" style="231" customWidth="1"/>
    <col min="843" max="844" width="10.7109375" style="231"/>
    <col min="845" max="845" width="10.7109375" style="231" customWidth="1"/>
    <col min="846" max="847" width="10.7109375" style="231"/>
    <col min="848" max="848" width="10.7109375" style="231" customWidth="1"/>
    <col min="849" max="849" width="10.7109375" style="231"/>
    <col min="850" max="853" width="10.7109375" style="231" customWidth="1"/>
    <col min="854" max="855" width="10.7109375" style="231"/>
    <col min="856" max="857" width="10.7109375" style="231" customWidth="1"/>
    <col min="858" max="860" width="10.7109375" style="231"/>
    <col min="861" max="861" width="10.7109375" style="231" customWidth="1"/>
    <col min="862" max="863" width="10.7109375" style="231"/>
    <col min="864" max="864" width="10.7109375" style="231" customWidth="1"/>
    <col min="865" max="866" width="10.7109375" style="231"/>
    <col min="867" max="869" width="10.7109375" style="231" customWidth="1"/>
    <col min="870" max="871" width="10.7109375" style="231"/>
    <col min="872" max="872" width="10.7109375" style="231" customWidth="1"/>
    <col min="873" max="873" width="10.7109375" style="231"/>
    <col min="874" max="874" width="10.7109375" style="231" customWidth="1"/>
    <col min="875" max="875" width="10.7109375" style="231"/>
    <col min="876" max="877" width="10.7109375" style="231" customWidth="1"/>
    <col min="878" max="879" width="10.7109375" style="231"/>
    <col min="880" max="881" width="10.7109375" style="231" customWidth="1"/>
    <col min="882" max="882" width="10.7109375" style="231"/>
    <col min="883" max="884" width="10.7109375" style="231" customWidth="1"/>
    <col min="885" max="887" width="10.7109375" style="231"/>
    <col min="888" max="888" width="10.7109375" style="231" customWidth="1"/>
    <col min="889" max="890" width="10.7109375" style="231"/>
    <col min="891" max="891" width="10.7109375" style="231" customWidth="1"/>
    <col min="892" max="892" width="10.7109375" style="231"/>
    <col min="893" max="896" width="10.7109375" style="231" customWidth="1"/>
    <col min="897" max="897" width="10.7109375" style="231"/>
    <col min="898" max="899" width="10.7109375" style="231" customWidth="1"/>
    <col min="900" max="901" width="10.7109375" style="231"/>
    <col min="902" max="905" width="10.7109375" style="231" customWidth="1"/>
    <col min="906" max="906" width="10.7109375" style="231"/>
    <col min="907" max="913" width="10.7109375" style="231" customWidth="1"/>
    <col min="914" max="915" width="10.7109375" style="231"/>
    <col min="916" max="916" width="10.7109375" style="231" customWidth="1"/>
    <col min="917" max="917" width="10.7109375" style="231"/>
    <col min="918" max="929" width="10.7109375" style="231" customWidth="1"/>
    <col min="930" max="930" width="10.7109375" style="231"/>
    <col min="931" max="931" width="10.7109375" style="231" customWidth="1"/>
    <col min="932" max="934" width="10.7109375" style="231"/>
    <col min="935" max="936" width="10.7109375" style="231" customWidth="1"/>
    <col min="937" max="952" width="10.7109375" style="231"/>
    <col min="953" max="1000" width="10.7109375" style="231" customWidth="1"/>
    <col min="1001" max="1001" width="10.7109375" style="231"/>
    <col min="1002" max="1005" width="10.7109375" style="231" customWidth="1"/>
    <col min="1006" max="1007" width="10.7109375" style="231"/>
    <col min="1008" max="1048" width="10.7109375" style="231" customWidth="1"/>
    <col min="1049" max="1050" width="10.7109375" style="231"/>
    <col min="1051" max="1052" width="10.7109375" style="231" customWidth="1"/>
    <col min="1053" max="1053" width="10.7109375" style="231"/>
    <col min="1054" max="1055" width="10.7109375" style="231" customWidth="1"/>
    <col min="1056" max="1056" width="10.7109375" style="231"/>
    <col min="1057" max="1062" width="10.7109375" style="231" customWidth="1"/>
    <col min="1063" max="1064" width="10.7109375" style="231"/>
    <col min="1065" max="1065" width="10.7109375" style="231" customWidth="1"/>
    <col min="1066" max="1066" width="10.7109375" style="231"/>
    <col min="1067" max="1072" width="10.7109375" style="231" customWidth="1"/>
    <col min="1073" max="1073" width="10.7109375" style="231"/>
    <col min="1074" max="1075" width="10.7109375" style="231" customWidth="1"/>
    <col min="1076" max="1077" width="10.7109375" style="231"/>
    <col min="1078" max="1083" width="10.7109375" style="231" customWidth="1"/>
    <col min="1084" max="1084" width="10.7109375" style="231"/>
    <col min="1085" max="1089" width="10.7109375" style="231" customWidth="1"/>
    <col min="1090" max="1090" width="10.7109375" style="231"/>
    <col min="1091" max="1091" width="10.7109375" style="231" customWidth="1"/>
    <col min="1092" max="1092" width="10.7109375" style="231"/>
    <col min="1093" max="1105" width="10.7109375" style="231" customWidth="1"/>
    <col min="1106" max="1109" width="10.7109375" style="231"/>
    <col min="1110" max="1128" width="10.7109375" style="231" customWidth="1"/>
    <col min="1129" max="1129" width="10.7109375" style="231"/>
    <col min="1130" max="1131" width="10.7109375" style="231" customWidth="1"/>
    <col min="1132" max="1133" width="10.7109375" style="231"/>
    <col min="1134" max="1139" width="10.7109375" style="231" customWidth="1"/>
    <col min="1140" max="1140" width="10.7109375" style="231"/>
    <col min="1141" max="1144" width="10.7109375" style="231" customWidth="1"/>
    <col min="1145" max="1146" width="10.7109375" style="231"/>
    <col min="1147" max="1161" width="10.7109375" style="231" customWidth="1"/>
    <col min="1162" max="1162" width="10.7109375" style="231"/>
    <col min="1163" max="1165" width="10.7109375" style="231" customWidth="1"/>
    <col min="1166" max="1166" width="10.7109375" style="231"/>
    <col min="1167" max="1168" width="10.7109375" style="231" customWidth="1"/>
    <col min="1169" max="1170" width="10.7109375" style="231"/>
    <col min="1171" max="1176" width="10.7109375" style="231" customWidth="1"/>
    <col min="1177" max="1177" width="10.7109375" style="231"/>
    <col min="1178" max="1192" width="10.7109375" style="231" customWidth="1"/>
    <col min="1193" max="1193" width="10.7109375" style="231"/>
    <col min="1194" max="1195" width="10.7109375" style="231" customWidth="1"/>
    <col min="1196" max="1197" width="10.7109375" style="231"/>
    <col min="1198" max="1203" width="10.7109375" style="231" customWidth="1"/>
    <col min="1204" max="1204" width="10.7109375" style="231"/>
    <col min="1205" max="1208" width="10.7109375" style="231" customWidth="1"/>
    <col min="1209" max="1210" width="10.7109375" style="231"/>
    <col min="1211" max="1225" width="10.7109375" style="231" customWidth="1"/>
    <col min="1226" max="1226" width="10.7109375" style="231"/>
    <col min="1227" max="1230" width="10.7109375" style="231" customWidth="1"/>
    <col min="1231" max="1231" width="10.7109375" style="231"/>
    <col min="1232" max="1232" width="10.7109375" style="231" customWidth="1"/>
    <col min="1233" max="1234" width="10.7109375" style="231"/>
    <col min="1235" max="1240" width="10.7109375" style="231" customWidth="1"/>
    <col min="1241" max="1241" width="10.7109375" style="231"/>
    <col min="1242" max="1264" width="10.7109375" style="231" customWidth="1"/>
    <col min="1265" max="1265" width="10.7109375" style="231"/>
    <col min="1266" max="1266" width="10.7109375" style="231" customWidth="1"/>
    <col min="1267" max="1272" width="10.7109375" style="231"/>
    <col min="1273" max="1280" width="10.7109375" style="231" customWidth="1"/>
    <col min="1281" max="1282" width="10.7109375" style="231"/>
    <col min="1283" max="1283" width="10.7109375" style="231" customWidth="1"/>
    <col min="1284" max="1285" width="10.7109375" style="231"/>
    <col min="1286" max="1296" width="10.7109375" style="231" customWidth="1"/>
    <col min="1297" max="1297" width="10.7109375" style="231"/>
    <col min="1298" max="1298" width="10.7109375" style="231" customWidth="1"/>
    <col min="1299" max="1304" width="10.7109375" style="231"/>
    <col min="1305" max="1312" width="10.7109375" style="231" customWidth="1"/>
    <col min="1313" max="1314" width="10.7109375" style="231"/>
    <col min="1315" max="1315" width="10.7109375" style="231" customWidth="1"/>
    <col min="1316" max="1317" width="10.7109375" style="231"/>
    <col min="1318" max="1328" width="10.7109375" style="231" customWidth="1"/>
    <col min="1329" max="1330" width="10.7109375" style="231"/>
    <col min="1331" max="1331" width="10.7109375" style="231" customWidth="1"/>
    <col min="1332" max="1333" width="10.7109375" style="231"/>
    <col min="1334" max="1344" width="10.7109375" style="231" customWidth="1"/>
    <col min="1345" max="1346" width="10.7109375" style="231"/>
    <col min="1347" max="1347" width="10.7109375" style="231" customWidth="1"/>
    <col min="1348" max="1349" width="10.7109375" style="231"/>
    <col min="1350" max="1360" width="10.7109375" style="231" customWidth="1"/>
    <col min="1361" max="1362" width="10.7109375" style="231"/>
    <col min="1363" max="1363" width="10.7109375" style="231" customWidth="1"/>
    <col min="1364" max="1365" width="10.7109375" style="231"/>
    <col min="1366" max="1376" width="10.7109375" style="231" customWidth="1"/>
    <col min="1377" max="1378" width="10.7109375" style="231"/>
    <col min="1379" max="1379" width="10.7109375" style="231" customWidth="1"/>
    <col min="1380" max="1381" width="10.7109375" style="231"/>
    <col min="1382" max="1392" width="10.7109375" style="231" customWidth="1"/>
    <col min="1393" max="1397" width="10.7109375" style="231"/>
    <col min="1398" max="1408" width="10.7109375" style="231" customWidth="1"/>
    <col min="1409" max="1413" width="10.7109375" style="231"/>
    <col min="1414" max="1424" width="10.7109375" style="231" customWidth="1"/>
    <col min="1425" max="1429" width="10.7109375" style="231"/>
    <col min="1430" max="1443" width="10.7109375" style="231" customWidth="1"/>
    <col min="1444" max="1445" width="10.7109375" style="231"/>
    <col min="1446" max="1446" width="10.7109375" style="231" customWidth="1"/>
    <col min="1447" max="1447" width="10.7109375" style="231"/>
    <col min="1448" max="1457" width="10.7109375" style="231" customWidth="1"/>
    <col min="1458" max="1458" width="10.7109375" style="231"/>
    <col min="1459" max="1462" width="10.7109375" style="231" customWidth="1"/>
    <col min="1463" max="1463" width="10.7109375" style="231"/>
    <col min="1464" max="1464" width="10.7109375" style="231" customWidth="1"/>
    <col min="1465" max="1466" width="10.7109375" style="231"/>
    <col min="1467" max="1474" width="10.7109375" style="231" customWidth="1"/>
    <col min="1475" max="1477" width="10.7109375" style="231"/>
    <col min="1478" max="1488" width="10.7109375" style="231" customWidth="1"/>
    <col min="1489" max="1489" width="10.7109375" style="231"/>
    <col min="1490" max="1491" width="10.7109375" style="231" customWidth="1"/>
    <col min="1492" max="1493" width="10.7109375" style="231"/>
    <col min="1494" max="1499" width="10.7109375" style="231" customWidth="1"/>
    <col min="1500" max="1500" width="10.7109375" style="231"/>
    <col min="1501" max="1504" width="10.7109375" style="231" customWidth="1"/>
    <col min="1505" max="1505" width="10.7109375" style="231"/>
    <col min="1506" max="1506" width="10.7109375" style="231" customWidth="1"/>
    <col min="1507" max="1510" width="10.7109375" style="231"/>
    <col min="1511" max="1522" width="10.7109375" style="231" customWidth="1"/>
    <col min="1523" max="1523" width="10.7109375" style="231"/>
    <col min="1524" max="1526" width="10.7109375" style="231" customWidth="1"/>
    <col min="1527" max="1527" width="10.7109375" style="231"/>
    <col min="1528" max="1528" width="10.7109375" style="231" customWidth="1"/>
    <col min="1529" max="1529" width="10.7109375" style="231"/>
    <col min="1530" max="1533" width="10.7109375" style="231" customWidth="1"/>
    <col min="1534" max="1536" width="10.7109375" style="231"/>
    <col min="1537" max="1542" width="10.7109375" style="231" customWidth="1"/>
    <col min="1543" max="1544" width="10.7109375" style="231"/>
    <col min="1545" max="1546" width="10.7109375" style="231" customWidth="1"/>
    <col min="1547" max="1548" width="10.7109375" style="231"/>
    <col min="1549" max="1553" width="10.7109375" style="231" customWidth="1"/>
    <col min="1554" max="1557" width="10.7109375" style="231"/>
    <col min="1558" max="1562" width="10.7109375" style="231" customWidth="1"/>
    <col min="1563" max="1563" width="10.7109375" style="231"/>
    <col min="1564" max="1576" width="10.7109375" style="231" customWidth="1"/>
    <col min="1577" max="1578" width="10.7109375" style="231"/>
    <col min="1579" max="1579" width="10.7109375" style="231" customWidth="1"/>
    <col min="1580" max="1580" width="10.7109375" style="231"/>
    <col min="1581" max="1584" width="10.7109375" style="231" customWidth="1"/>
    <col min="1585" max="1585" width="10.7109375" style="231"/>
    <col min="1586" max="1587" width="10.7109375" style="231" customWidth="1"/>
    <col min="1588" max="1589" width="10.7109375" style="231"/>
    <col min="1590" max="1593" width="10.7109375" style="231" customWidth="1"/>
    <col min="1594" max="1594" width="10.7109375" style="231"/>
    <col min="1595" max="1600" width="10.7109375" style="231" customWidth="1"/>
    <col min="1601" max="1605" width="10.7109375" style="231"/>
    <col min="1606" max="1618" width="10.7109375" style="231" customWidth="1"/>
    <col min="1619" max="1619" width="10.7109375" style="231"/>
    <col min="1620" max="1622" width="10.7109375" style="231" customWidth="1"/>
    <col min="1623" max="1623" width="10.7109375" style="231"/>
    <col min="1624" max="1624" width="10.7109375" style="231" customWidth="1"/>
    <col min="1625" max="1625" width="10.7109375" style="231"/>
    <col min="1626" max="1627" width="10.7109375" style="231" customWidth="1"/>
    <col min="1628" max="1628" width="10.7109375" style="231"/>
    <col min="1629" max="1630" width="10.7109375" style="231" customWidth="1"/>
    <col min="1631" max="1632" width="10.7109375" style="231"/>
    <col min="1633" max="1640" width="10.7109375" style="231" customWidth="1"/>
    <col min="1641" max="1641" width="10.7109375" style="231"/>
    <col min="1642" max="1649" width="10.7109375" style="231" customWidth="1"/>
    <col min="1650" max="1653" width="10.7109375" style="231"/>
    <col min="1654" max="1656" width="10.7109375" style="231" customWidth="1"/>
    <col min="1657" max="1657" width="10.7109375" style="231"/>
    <col min="1658" max="1672" width="10.7109375" style="231" customWidth="1"/>
    <col min="1673" max="1674" width="10.7109375" style="231"/>
    <col min="1675" max="1680" width="10.7109375" style="231" customWidth="1"/>
    <col min="1681" max="1681" width="10.7109375" style="231"/>
    <col min="1682" max="1682" width="10.7109375" style="231" customWidth="1"/>
    <col min="1683" max="1683" width="10.7109375" style="231"/>
    <col min="1684" max="1684" width="10.7109375" style="231" customWidth="1"/>
    <col min="1685" max="1685" width="10.7109375" style="231"/>
    <col min="1686" max="1688" width="10.7109375" style="231" customWidth="1"/>
    <col min="1689" max="1689" width="10.7109375" style="231"/>
    <col min="1690" max="1690" width="10.7109375" style="231" customWidth="1"/>
    <col min="1691" max="1691" width="10.7109375" style="231"/>
    <col min="1692" max="1693" width="10.7109375" style="231" customWidth="1"/>
    <col min="1694" max="1694" width="10.7109375" style="231"/>
    <col min="1695" max="1697" width="10.7109375" style="231" customWidth="1"/>
    <col min="1698" max="1699" width="10.7109375" style="231"/>
    <col min="1700" max="1700" width="10.7109375" style="231" customWidth="1"/>
    <col min="1701" max="1701" width="10.7109375" style="231"/>
    <col min="1702" max="1712" width="10.7109375" style="231" customWidth="1"/>
    <col min="1713" max="1713" width="10.7109375" style="231"/>
    <col min="1714" max="1714" width="10.7109375" style="231" customWidth="1"/>
    <col min="1715" max="1715" width="10.7109375" style="231"/>
    <col min="1716" max="1717" width="10.7109375" style="231" customWidth="1"/>
    <col min="1718" max="1718" width="10.7109375" style="231"/>
    <col min="1719" max="1729" width="10.7109375" style="231" customWidth="1"/>
    <col min="1730" max="1730" width="10.7109375" style="231"/>
    <col min="1731" max="1731" width="10.7109375" style="231" customWidth="1"/>
    <col min="1732" max="1732" width="10.7109375" style="231"/>
    <col min="1733" max="1733" width="10.7109375" style="231" customWidth="1"/>
    <col min="1734" max="1734" width="10.7109375" style="231"/>
    <col min="1735" max="1737" width="10.7109375" style="231" customWidth="1"/>
    <col min="1738" max="1738" width="10.7109375" style="231"/>
    <col min="1739" max="1739" width="10.7109375" style="231" customWidth="1"/>
    <col min="1740" max="1740" width="10.7109375" style="231"/>
    <col min="1741" max="1741" width="10.7109375" style="231" customWidth="1"/>
    <col min="1742" max="1742" width="10.7109375" style="231"/>
    <col min="1743" max="1744" width="10.7109375" style="231" customWidth="1"/>
    <col min="1745" max="1745" width="10.7109375" style="231"/>
    <col min="1746" max="1746" width="10.7109375" style="231" customWidth="1"/>
    <col min="1747" max="1747" width="10.7109375" style="231"/>
    <col min="1748" max="1749" width="10.7109375" style="231" customWidth="1"/>
    <col min="1750" max="1750" width="10.7109375" style="231"/>
    <col min="1751" max="1753" width="10.7109375" style="231" customWidth="1"/>
    <col min="1754" max="1755" width="10.7109375" style="231"/>
    <col min="1756" max="1756" width="10.7109375" style="231" customWidth="1"/>
    <col min="1757" max="1757" width="10.7109375" style="231"/>
    <col min="1758" max="1768" width="10.7109375" style="231" customWidth="1"/>
    <col min="1769" max="1769" width="10.7109375" style="231"/>
    <col min="1770" max="1770" width="10.7109375" style="231" customWidth="1"/>
    <col min="1771" max="1771" width="10.7109375" style="231"/>
    <col min="1772" max="1773" width="10.7109375" style="231" customWidth="1"/>
    <col min="1774" max="1774" width="10.7109375" style="231"/>
    <col min="1775" max="1785" width="10.7109375" style="231" customWidth="1"/>
    <col min="1786" max="1786" width="10.7109375" style="231"/>
    <col min="1787" max="1788" width="10.7109375" style="231" customWidth="1"/>
    <col min="1789" max="1790" width="10.7109375" style="231"/>
    <col min="1791" max="1793" width="10.7109375" style="231" customWidth="1"/>
    <col min="1794" max="1794" width="10.7109375" style="231"/>
    <col min="1795" max="1796" width="10.7109375" style="231" customWidth="1"/>
    <col min="1797" max="1798" width="10.7109375" style="231"/>
    <col min="1799" max="1801" width="10.7109375" style="231" customWidth="1"/>
    <col min="1802" max="1802" width="10.7109375" style="231"/>
    <col min="1803" max="1806" width="10.7109375" style="231" customWidth="1"/>
    <col min="1807" max="1807" width="10.7109375" style="231"/>
    <col min="1808" max="1808" width="10.7109375" style="231" customWidth="1"/>
    <col min="1809" max="1810" width="10.7109375" style="231"/>
    <col min="1811" max="1818" width="10.7109375" style="231" customWidth="1"/>
    <col min="1819" max="1821" width="10.7109375" style="231"/>
    <col min="1822" max="1832" width="10.7109375" style="231" customWidth="1"/>
    <col min="1833" max="1833" width="10.7109375" style="231"/>
    <col min="1834" max="1835" width="10.7109375" style="231" customWidth="1"/>
    <col min="1836" max="1837" width="10.7109375" style="231"/>
    <col min="1838" max="1843" width="10.7109375" style="231" customWidth="1"/>
    <col min="1844" max="1844" width="10.7109375" style="231"/>
    <col min="1845" max="1849" width="10.7109375" style="231" customWidth="1"/>
    <col min="1850" max="1850" width="10.7109375" style="231"/>
    <col min="1851" max="1851" width="10.7109375" style="231" customWidth="1"/>
    <col min="1852" max="1852" width="10.7109375" style="231"/>
    <col min="1853" max="1865" width="10.7109375" style="231" customWidth="1"/>
    <col min="1866" max="1869" width="10.7109375" style="231"/>
    <col min="1870" max="1888" width="10.7109375" style="231" customWidth="1"/>
    <col min="1889" max="1889" width="10.7109375" style="231"/>
    <col min="1890" max="1891" width="10.7109375" style="231" customWidth="1"/>
    <col min="1892" max="1893" width="10.7109375" style="231"/>
    <col min="1894" max="1899" width="10.7109375" style="231" customWidth="1"/>
    <col min="1900" max="1900" width="10.7109375" style="231"/>
    <col min="1901" max="1904" width="10.7109375" style="231" customWidth="1"/>
    <col min="1905" max="1906" width="10.7109375" style="231"/>
    <col min="1907" max="1921" width="10.7109375" style="231" customWidth="1"/>
    <col min="1922" max="1922" width="10.7109375" style="231"/>
    <col min="1923" max="1925" width="10.7109375" style="231" customWidth="1"/>
    <col min="1926" max="1926" width="10.7109375" style="231"/>
    <col min="1927" max="1928" width="10.7109375" style="231" customWidth="1"/>
    <col min="1929" max="1930" width="10.7109375" style="231"/>
    <col min="1931" max="1936" width="10.7109375" style="231" customWidth="1"/>
    <col min="1937" max="1937" width="10.7109375" style="231"/>
    <col min="1938" max="1952" width="10.7109375" style="231" customWidth="1"/>
    <col min="1953" max="1953" width="10.7109375" style="231"/>
    <col min="1954" max="1955" width="10.7109375" style="231" customWidth="1"/>
    <col min="1956" max="1957" width="10.7109375" style="231"/>
    <col min="1958" max="1963" width="10.7109375" style="231" customWidth="1"/>
    <col min="1964" max="1964" width="10.7109375" style="231"/>
    <col min="1965" max="1968" width="10.7109375" style="231" customWidth="1"/>
    <col min="1969" max="1970" width="10.7109375" style="231"/>
    <col min="1971" max="1985" width="10.7109375" style="231" customWidth="1"/>
    <col min="1986" max="1986" width="10.7109375" style="231"/>
    <col min="1987" max="1989" width="10.7109375" style="231" customWidth="1"/>
    <col min="1990" max="1990" width="10.7109375" style="231"/>
    <col min="1991" max="1992" width="10.7109375" style="231" customWidth="1"/>
    <col min="1993" max="1994" width="10.7109375" style="231"/>
    <col min="1995" max="2000" width="10.7109375" style="231" customWidth="1"/>
    <col min="2001" max="2001" width="10.7109375" style="231"/>
    <col min="2002" max="2016" width="10.7109375" style="231" customWidth="1"/>
    <col min="2017" max="2017" width="10.7109375" style="231"/>
    <col min="2018" max="2019" width="10.7109375" style="231" customWidth="1"/>
    <col min="2020" max="2021" width="10.7109375" style="231"/>
    <col min="2022" max="2027" width="10.7109375" style="231" customWidth="1"/>
    <col min="2028" max="2028" width="10.7109375" style="231"/>
    <col min="2029" max="2032" width="10.7109375" style="231" customWidth="1"/>
    <col min="2033" max="2034" width="10.7109375" style="231"/>
    <col min="2035" max="2049" width="10.7109375" style="231" customWidth="1"/>
    <col min="2050" max="2050" width="10.7109375" style="231"/>
    <col min="2051" max="2053" width="10.7109375" style="231" customWidth="1"/>
    <col min="2054" max="2054" width="10.7109375" style="231"/>
    <col min="2055" max="2056" width="10.7109375" style="231" customWidth="1"/>
    <col min="2057" max="2058" width="10.7109375" style="231"/>
    <col min="2059" max="2064" width="10.7109375" style="231" customWidth="1"/>
    <col min="2065" max="2065" width="10.7109375" style="231"/>
    <col min="2066" max="2080" width="10.7109375" style="231" customWidth="1"/>
    <col min="2081" max="2081" width="10.7109375" style="231"/>
    <col min="2082" max="2083" width="10.7109375" style="231" customWidth="1"/>
    <col min="2084" max="2085" width="10.7109375" style="231"/>
    <col min="2086" max="2091" width="10.7109375" style="231" customWidth="1"/>
    <col min="2092" max="2092" width="10.7109375" style="231"/>
    <col min="2093" max="2096" width="10.7109375" style="231" customWidth="1"/>
    <col min="2097" max="2098" width="10.7109375" style="231"/>
    <col min="2099" max="2113" width="10.7109375" style="231" customWidth="1"/>
    <col min="2114" max="2114" width="10.7109375" style="231"/>
    <col min="2115" max="2117" width="10.7109375" style="231" customWidth="1"/>
    <col min="2118" max="2118" width="10.7109375" style="231"/>
    <col min="2119" max="2120" width="10.7109375" style="231" customWidth="1"/>
    <col min="2121" max="2122" width="10.7109375" style="231"/>
    <col min="2123" max="2128" width="10.7109375" style="231" customWidth="1"/>
    <col min="2129" max="2129" width="10.7109375" style="231"/>
    <col min="2130" max="2144" width="10.7109375" style="231" customWidth="1"/>
    <col min="2145" max="2145" width="10.7109375" style="231"/>
    <col min="2146" max="2147" width="10.7109375" style="231" customWidth="1"/>
    <col min="2148" max="2149" width="10.7109375" style="231"/>
    <col min="2150" max="2155" width="10.7109375" style="231" customWidth="1"/>
    <col min="2156" max="2156" width="10.7109375" style="231"/>
    <col min="2157" max="2160" width="10.7109375" style="231" customWidth="1"/>
    <col min="2161" max="2162" width="10.7109375" style="231"/>
    <col min="2163" max="2177" width="10.7109375" style="231" customWidth="1"/>
    <col min="2178" max="2178" width="10.7109375" style="231"/>
    <col min="2179" max="2181" width="10.7109375" style="231" customWidth="1"/>
    <col min="2182" max="2182" width="10.7109375" style="231"/>
    <col min="2183" max="2184" width="10.7109375" style="231" customWidth="1"/>
    <col min="2185" max="2186" width="10.7109375" style="231"/>
    <col min="2187" max="2192" width="10.7109375" style="231" customWidth="1"/>
    <col min="2193" max="2193" width="10.7109375" style="231"/>
    <col min="2194" max="2208" width="10.7109375" style="231" customWidth="1"/>
    <col min="2209" max="2209" width="10.7109375" style="231"/>
    <col min="2210" max="2211" width="10.7109375" style="231" customWidth="1"/>
    <col min="2212" max="2213" width="10.7109375" style="231"/>
    <col min="2214" max="2219" width="10.7109375" style="231" customWidth="1"/>
    <col min="2220" max="2220" width="10.7109375" style="231"/>
    <col min="2221" max="2224" width="10.7109375" style="231" customWidth="1"/>
    <col min="2225" max="2226" width="10.7109375" style="231"/>
    <col min="2227" max="2241" width="10.7109375" style="231" customWidth="1"/>
    <col min="2242" max="2242" width="10.7109375" style="231"/>
    <col min="2243" max="2246" width="10.7109375" style="231" customWidth="1"/>
    <col min="2247" max="2247" width="10.7109375" style="231"/>
    <col min="2248" max="2248" width="10.7109375" style="231" customWidth="1"/>
    <col min="2249" max="2250" width="10.7109375" style="231"/>
    <col min="2251" max="2256" width="10.7109375" style="231" customWidth="1"/>
    <col min="2257" max="2257" width="10.7109375" style="231"/>
    <col min="2258" max="2291" width="10.7109375" style="231" customWidth="1"/>
    <col min="2292" max="2294" width="10.7109375" style="231"/>
    <col min="2295" max="2300" width="10.7109375" style="231" customWidth="1"/>
    <col min="2301" max="2301" width="10.7109375" style="231"/>
    <col min="2302" max="2302" width="10.7109375" style="231" customWidth="1"/>
    <col min="2303" max="2305" width="10.7109375" style="231"/>
    <col min="2306" max="2306" width="10.7109375" style="231" customWidth="1"/>
    <col min="2307" max="2307" width="10.7109375" style="231"/>
    <col min="2308" max="2308" width="10.7109375" style="231" customWidth="1"/>
    <col min="2309" max="2309" width="10.7109375" style="231"/>
    <col min="2310" max="2310" width="10.7109375" style="231" customWidth="1"/>
    <col min="2311" max="2311" width="10.7109375" style="231"/>
    <col min="2312" max="2317" width="10.7109375" style="231" customWidth="1"/>
    <col min="2318" max="2318" width="10.7109375" style="231"/>
    <col min="2319" max="2319" width="10.7109375" style="231" customWidth="1"/>
    <col min="2320" max="2320" width="10.7109375" style="231"/>
    <col min="2321" max="2363" width="10.7109375" style="231" customWidth="1"/>
    <col min="2364" max="2364" width="10.7109375" style="231"/>
    <col min="2365" max="2387" width="10.7109375" style="231" customWidth="1"/>
    <col min="2388" max="2390" width="10.7109375" style="231"/>
    <col min="2391" max="2396" width="10.7109375" style="231" customWidth="1"/>
    <col min="2397" max="2397" width="10.7109375" style="231"/>
    <col min="2398" max="2398" width="10.7109375" style="231" customWidth="1"/>
    <col min="2399" max="2401" width="10.7109375" style="231"/>
    <col min="2402" max="2402" width="10.7109375" style="231" customWidth="1"/>
    <col min="2403" max="2403" width="10.7109375" style="231"/>
    <col min="2404" max="2404" width="10.7109375" style="231" customWidth="1"/>
    <col min="2405" max="2405" width="10.7109375" style="231"/>
    <col min="2406" max="2406" width="10.7109375" style="231" customWidth="1"/>
    <col min="2407" max="2407" width="10.7109375" style="231"/>
    <col min="2408" max="2449" width="10.7109375" style="231" customWidth="1"/>
    <col min="2450" max="2450" width="10.7109375" style="231"/>
    <col min="2451" max="2477" width="10.7109375" style="231" customWidth="1"/>
    <col min="2478" max="2478" width="10.7109375" style="231"/>
    <col min="2479" max="2483" width="10.7109375" style="231" customWidth="1"/>
    <col min="2484" max="2484" width="10.7109375" style="231"/>
    <col min="2485" max="2488" width="10.7109375" style="231" customWidth="1"/>
    <col min="2489" max="2489" width="10.7109375" style="231"/>
    <col min="2490" max="2491" width="10.7109375" style="231" customWidth="1"/>
    <col min="2492" max="2492" width="10.7109375" style="231"/>
    <col min="2493" max="2493" width="10.7109375" style="231" customWidth="1"/>
    <col min="2494" max="2494" width="10.7109375" style="231"/>
    <col min="2495" max="2495" width="10.7109375" style="231" customWidth="1"/>
    <col min="2496" max="2510" width="10.7109375" style="231"/>
    <col min="2511" max="2511" width="10.7109375" style="231" customWidth="1"/>
    <col min="2512" max="2513" width="10.7109375" style="231"/>
    <col min="2514" max="2516" width="10.7109375" style="231" customWidth="1"/>
    <col min="2517" max="2525" width="10.7109375" style="231"/>
    <col min="2526" max="2526" width="10.7109375" style="231" customWidth="1"/>
    <col min="2527" max="2527" width="10.7109375" style="231"/>
    <col min="2528" max="2528" width="10.7109375" style="231" customWidth="1"/>
    <col min="2529" max="2529" width="10.7109375" style="231"/>
    <col min="2530" max="2531" width="10.7109375" style="231" customWidth="1"/>
    <col min="2532" max="2534" width="10.7109375" style="231"/>
    <col min="2535" max="2538" width="10.7109375" style="231" customWidth="1"/>
    <col min="2539" max="2539" width="10.7109375" style="231"/>
    <col min="2540" max="2540" width="10.7109375" style="231" customWidth="1"/>
    <col min="2541" max="2541" width="10.7109375" style="231"/>
    <col min="2542" max="2543" width="10.7109375" style="231" customWidth="1"/>
    <col min="2544" max="2544" width="10.7109375" style="231"/>
    <col min="2545" max="2547" width="10.7109375" style="231" customWidth="1"/>
    <col min="2548" max="2548" width="10.7109375" style="231"/>
    <col min="2549" max="2550" width="10.7109375" style="231" customWidth="1"/>
    <col min="2551" max="2551" width="10.7109375" style="231"/>
    <col min="2552" max="2577" width="10.7109375" style="231" customWidth="1"/>
    <col min="2578" max="2578" width="10.7109375" style="231"/>
    <col min="2579" max="2605" width="10.7109375" style="231" customWidth="1"/>
    <col min="2606" max="2606" width="10.7109375" style="231"/>
    <col min="2607" max="2673" width="10.7109375" style="231" customWidth="1"/>
    <col min="2674" max="2675" width="10.7109375" style="231"/>
    <col min="2676" max="2676" width="10.7109375" style="231" customWidth="1"/>
    <col min="2677" max="2677" width="10.7109375" style="231"/>
    <col min="2678" max="2678" width="10.7109375" style="231" customWidth="1"/>
    <col min="2679" max="2679" width="10.7109375" style="231"/>
    <col min="2680" max="2736" width="10.7109375" style="231" customWidth="1"/>
    <col min="2737" max="2737" width="10.7109375" style="231"/>
    <col min="2738" max="2739" width="10.7109375" style="231" customWidth="1"/>
    <col min="2740" max="2744" width="10.7109375" style="231"/>
    <col min="2745" max="2745" width="10.7109375" style="231" customWidth="1"/>
    <col min="2746" max="2747" width="10.7109375" style="231"/>
    <col min="2748" max="2748" width="10.7109375" style="231" customWidth="1"/>
    <col min="2749" max="2749" width="10.7109375" style="231"/>
    <col min="2750" max="2751" width="10.7109375" style="231" customWidth="1"/>
    <col min="2752" max="2754" width="10.7109375" style="231"/>
    <col min="2755" max="2755" width="10.7109375" style="231" customWidth="1"/>
    <col min="2756" max="2756" width="10.7109375" style="231"/>
    <col min="2757" max="2838" width="10.7109375" style="231" customWidth="1"/>
    <col min="2839" max="2839" width="10.7109375" style="231"/>
    <col min="2840" max="2841" width="10.7109375" style="231" customWidth="1"/>
    <col min="2842" max="2842" width="10.7109375" style="231"/>
    <col min="2843" max="2844" width="10.7109375" style="231" customWidth="1"/>
    <col min="2845" max="2848" width="10.7109375" style="231"/>
    <col min="2849" max="2850" width="10.7109375" style="231" customWidth="1"/>
    <col min="2851" max="2851" width="10.7109375" style="231"/>
    <col min="2852" max="2852" width="10.7109375" style="231" customWidth="1"/>
    <col min="2853" max="2853" width="10.7109375" style="231"/>
    <col min="2854" max="2859" width="10.7109375" style="231" customWidth="1"/>
    <col min="2860" max="2860" width="10.7109375" style="231"/>
    <col min="2861" max="2900" width="10.7109375" style="231" customWidth="1"/>
    <col min="2901" max="2901" width="10.7109375" style="231"/>
    <col min="2902" max="2902" width="10.7109375" style="231" customWidth="1"/>
    <col min="2903" max="2903" width="10.7109375" style="231"/>
    <col min="2904" max="2905" width="10.7109375" style="231" customWidth="1"/>
    <col min="2906" max="2906" width="10.7109375" style="231"/>
    <col min="2907" max="2908" width="10.7109375" style="231" customWidth="1"/>
    <col min="2909" max="2912" width="10.7109375" style="231"/>
    <col min="2913" max="2914" width="10.7109375" style="231" customWidth="1"/>
    <col min="2915" max="2915" width="10.7109375" style="231"/>
    <col min="2916" max="2916" width="10.7109375" style="231" customWidth="1"/>
    <col min="2917" max="2917" width="10.7109375" style="231"/>
    <col min="2918" max="2923" width="10.7109375" style="231" customWidth="1"/>
    <col min="2924" max="2924" width="10.7109375" style="231"/>
    <col min="2925" max="2928" width="10.7109375" style="231" customWidth="1"/>
    <col min="2929" max="2929" width="10.7109375" style="231"/>
    <col min="2930" max="2930" width="10.7109375" style="231" customWidth="1"/>
    <col min="2931" max="2931" width="10.7109375" style="231"/>
    <col min="2932" max="2961" width="10.7109375" style="231" customWidth="1"/>
    <col min="2962" max="2962" width="10.7109375" style="231"/>
    <col min="2963" max="2963" width="10.7109375" style="231" customWidth="1"/>
    <col min="2964" max="2964" width="10.7109375" style="231"/>
    <col min="2965" max="2965" width="10.7109375" style="231" customWidth="1"/>
    <col min="2966" max="2966" width="10.7109375" style="231"/>
    <col min="2967" max="2967" width="10.7109375" style="231" customWidth="1"/>
    <col min="2968" max="2968" width="10.7109375" style="231"/>
    <col min="2969" max="2974" width="10.7109375" style="231" customWidth="1"/>
    <col min="2975" max="2975" width="10.7109375" style="231"/>
    <col min="2976" max="2977" width="10.7109375" style="231" customWidth="1"/>
    <col min="2978" max="2979" width="10.7109375" style="231"/>
    <col min="2980" max="3026" width="10.7109375" style="231" customWidth="1"/>
    <col min="3027" max="3027" width="10.7109375" style="231"/>
    <col min="3028" max="3121" width="10.7109375" style="231" customWidth="1"/>
    <col min="3122" max="3122" width="10.7109375" style="231"/>
    <col min="3123" max="3164" width="10.7109375" style="231" customWidth="1"/>
    <col min="3165" max="3165" width="10.7109375" style="231"/>
    <col min="3166" max="3166" width="10.7109375" style="231" customWidth="1"/>
    <col min="3167" max="3168" width="10.7109375" style="231"/>
    <col min="3169" max="3170" width="10.7109375" style="231" customWidth="1"/>
    <col min="3171" max="3173" width="10.7109375" style="231"/>
    <col min="3174" max="3178" width="10.7109375" style="231" customWidth="1"/>
    <col min="3179" max="3179" width="10.7109375" style="231"/>
    <col min="3180" max="3188" width="10.7109375" style="231" customWidth="1"/>
    <col min="3189" max="3189" width="10.7109375" style="231"/>
    <col min="3190" max="3190" width="10.7109375" style="231" customWidth="1"/>
    <col min="3191" max="3191" width="10.7109375" style="231"/>
    <col min="3192" max="3193" width="10.7109375" style="231" customWidth="1"/>
    <col min="3194" max="3194" width="10.7109375" style="231"/>
    <col min="3195" max="3197" width="10.7109375" style="231" customWidth="1"/>
    <col min="3198" max="3200" width="10.7109375" style="231"/>
    <col min="3201" max="3201" width="10.7109375" style="231" customWidth="1"/>
    <col min="3202" max="3206" width="10.7109375" style="231"/>
    <col min="3207" max="3208" width="10.7109375" style="231" customWidth="1"/>
    <col min="3209" max="3209" width="10.7109375" style="231"/>
    <col min="3210" max="3212" width="10.7109375" style="231" customWidth="1"/>
    <col min="3213" max="3213" width="10.7109375" style="231"/>
    <col min="3214" max="3224" width="10.7109375" style="231" customWidth="1"/>
    <col min="3225" max="3225" width="10.7109375" style="231"/>
    <col min="3226" max="3227" width="10.7109375" style="231" customWidth="1"/>
    <col min="3228" max="3228" width="10.7109375" style="231"/>
    <col min="3229" max="3230" width="10.7109375" style="231" customWidth="1"/>
    <col min="3231" max="3231" width="10.7109375" style="231"/>
    <col min="3232" max="3232" width="10.7109375" style="231" customWidth="1"/>
    <col min="3233" max="3233" width="10.7109375" style="231"/>
    <col min="3234" max="3235" width="10.7109375" style="231" customWidth="1"/>
    <col min="3236" max="3237" width="10.7109375" style="231"/>
    <col min="3238" max="3239" width="10.7109375" style="231" customWidth="1"/>
    <col min="3240" max="3241" width="10.7109375" style="231"/>
    <col min="3242" max="3242" width="10.7109375" style="231" customWidth="1"/>
    <col min="3243" max="3244" width="10.7109375" style="231"/>
    <col min="3245" max="3256" width="10.7109375" style="231" customWidth="1"/>
    <col min="3257" max="3257" width="10.7109375" style="231"/>
    <col min="3258" max="3259" width="10.7109375" style="231" customWidth="1"/>
    <col min="3260" max="3260" width="10.7109375" style="231"/>
    <col min="3261" max="3262" width="10.7109375" style="231" customWidth="1"/>
    <col min="3263" max="3263" width="10.7109375" style="231"/>
    <col min="3264" max="3264" width="10.7109375" style="231" customWidth="1"/>
    <col min="3265" max="3265" width="10.7109375" style="231"/>
    <col min="3266" max="3267" width="10.7109375" style="231" customWidth="1"/>
    <col min="3268" max="3269" width="10.7109375" style="231"/>
    <col min="3270" max="3271" width="10.7109375" style="231" customWidth="1"/>
    <col min="3272" max="3273" width="10.7109375" style="231"/>
    <col min="3274" max="3274" width="10.7109375" style="231" customWidth="1"/>
    <col min="3275" max="3276" width="10.7109375" style="231"/>
    <col min="3277" max="3282" width="10.7109375" style="231" customWidth="1"/>
    <col min="3283" max="3283" width="10.7109375" style="231"/>
    <col min="3284" max="3286" width="10.7109375" style="231" customWidth="1"/>
    <col min="3287" max="3291" width="10.7109375" style="231"/>
    <col min="3292" max="3293" width="10.7109375" style="231" customWidth="1"/>
    <col min="3294" max="3295" width="10.7109375" style="231"/>
    <col min="3296" max="3297" width="10.7109375" style="231" customWidth="1"/>
    <col min="3298" max="3300" width="10.7109375" style="231"/>
    <col min="3301" max="3301" width="10.7109375" style="231" customWidth="1"/>
    <col min="3302" max="3302" width="10.7109375" style="231"/>
    <col min="3303" max="3303" width="10.7109375" style="231" customWidth="1"/>
    <col min="3304" max="3306" width="10.7109375" style="231"/>
    <col min="3307" max="3308" width="10.7109375" style="231" customWidth="1"/>
    <col min="3309" max="3309" width="10.7109375" style="231"/>
    <col min="3310" max="3311" width="10.7109375" style="231" customWidth="1"/>
    <col min="3312" max="3314" width="10.7109375" style="231"/>
    <col min="3315" max="3320" width="10.7109375" style="231" customWidth="1"/>
    <col min="3321" max="3321" width="10.7109375" style="231"/>
    <col min="3322" max="3323" width="10.7109375" style="231" customWidth="1"/>
    <col min="3324" max="3324" width="10.7109375" style="231"/>
    <col min="3325" max="3326" width="10.7109375" style="231" customWidth="1"/>
    <col min="3327" max="3327" width="10.7109375" style="231"/>
    <col min="3328" max="3328" width="10.7109375" style="231" customWidth="1"/>
    <col min="3329" max="3329" width="10.7109375" style="231"/>
    <col min="3330" max="3331" width="10.7109375" style="231" customWidth="1"/>
    <col min="3332" max="3333" width="10.7109375" style="231"/>
    <col min="3334" max="3335" width="10.7109375" style="231" customWidth="1"/>
    <col min="3336" max="3337" width="10.7109375" style="231"/>
    <col min="3338" max="3338" width="10.7109375" style="231" customWidth="1"/>
    <col min="3339" max="3340" width="10.7109375" style="231"/>
    <col min="3341" max="3355" width="10.7109375" style="231" customWidth="1"/>
    <col min="3356" max="3356" width="10.7109375" style="231"/>
    <col min="3357" max="3358" width="10.7109375" style="231" customWidth="1"/>
    <col min="3359" max="3359" width="10.7109375" style="231"/>
    <col min="3360" max="3360" width="10.7109375" style="231" customWidth="1"/>
    <col min="3361" max="3361" width="10.7109375" style="231"/>
    <col min="3362" max="3363" width="10.7109375" style="231" customWidth="1"/>
    <col min="3364" max="3365" width="10.7109375" style="231"/>
    <col min="3366" max="3367" width="10.7109375" style="231" customWidth="1"/>
    <col min="3368" max="3369" width="10.7109375" style="231"/>
    <col min="3370" max="3370" width="10.7109375" style="231" customWidth="1"/>
    <col min="3371" max="3372" width="10.7109375" style="231"/>
    <col min="3373" max="3384" width="10.7109375" style="231" customWidth="1"/>
    <col min="3385" max="3385" width="10.7109375" style="231"/>
    <col min="3386" max="3387" width="10.7109375" style="231" customWidth="1"/>
    <col min="3388" max="3388" width="10.7109375" style="231"/>
    <col min="3389" max="3390" width="10.7109375" style="231" customWidth="1"/>
    <col min="3391" max="3391" width="10.7109375" style="231"/>
    <col min="3392" max="3392" width="10.7109375" style="231" customWidth="1"/>
    <col min="3393" max="3393" width="10.7109375" style="231"/>
    <col min="3394" max="3395" width="10.7109375" style="231" customWidth="1"/>
    <col min="3396" max="3397" width="10.7109375" style="231"/>
    <col min="3398" max="3399" width="10.7109375" style="231" customWidth="1"/>
    <col min="3400" max="3401" width="10.7109375" style="231"/>
    <col min="3402" max="3402" width="10.7109375" style="231" customWidth="1"/>
    <col min="3403" max="3404" width="10.7109375" style="231"/>
    <col min="3405" max="3412" width="10.7109375" style="231" customWidth="1"/>
    <col min="3413" max="3415" width="10.7109375" style="231"/>
    <col min="3416" max="3416" width="10.7109375" style="231" customWidth="1"/>
    <col min="3417" max="3418" width="10.7109375" style="231"/>
    <col min="3419" max="3419" width="10.7109375" style="231" customWidth="1"/>
    <col min="3420" max="3421" width="10.7109375" style="231"/>
    <col min="3422" max="3424" width="10.7109375" style="231" customWidth="1"/>
    <col min="3425" max="3425" width="10.7109375" style="231"/>
    <col min="3426" max="3426" width="10.7109375" style="231" customWidth="1"/>
    <col min="3427" max="3427" width="10.7109375" style="231"/>
    <col min="3428" max="3428" width="10.7109375" style="231" customWidth="1"/>
    <col min="3429" max="3430" width="10.7109375" style="231"/>
    <col min="3431" max="3432" width="10.7109375" style="231" customWidth="1"/>
    <col min="3433" max="3433" width="10.7109375" style="231"/>
    <col min="3434" max="3436" width="10.7109375" style="231" customWidth="1"/>
    <col min="3437" max="3437" width="10.7109375" style="231"/>
    <col min="3438" max="3441" width="10.7109375" style="231" customWidth="1"/>
    <col min="3442" max="3442" width="10.7109375" style="231"/>
    <col min="3443" max="3484" width="10.7109375" style="231" customWidth="1"/>
    <col min="3485" max="3485" width="10.7109375" style="231"/>
    <col min="3486" max="3486" width="10.7109375" style="231" customWidth="1"/>
    <col min="3487" max="3488" width="10.7109375" style="231"/>
    <col min="3489" max="3490" width="10.7109375" style="231" customWidth="1"/>
    <col min="3491" max="3493" width="10.7109375" style="231"/>
    <col min="3494" max="3498" width="10.7109375" style="231" customWidth="1"/>
    <col min="3499" max="3499" width="10.7109375" style="231"/>
    <col min="3500" max="3512" width="10.7109375" style="231" customWidth="1"/>
    <col min="3513" max="3513" width="10.7109375" style="231"/>
    <col min="3514" max="3514" width="10.7109375" style="231" customWidth="1"/>
    <col min="3515" max="3515" width="10.7109375" style="231"/>
    <col min="3516" max="3520" width="10.7109375" style="231" customWidth="1"/>
    <col min="3521" max="3521" width="10.7109375" style="231"/>
    <col min="3522" max="3522" width="10.7109375" style="231" customWidth="1"/>
    <col min="3523" max="3525" width="10.7109375" style="231"/>
    <col min="3526" max="3530" width="10.7109375" style="231" customWidth="1"/>
    <col min="3531" max="3531" width="10.7109375" style="231"/>
    <col min="3532" max="3536" width="10.7109375" style="231" customWidth="1"/>
    <col min="3537" max="3541" width="10.7109375" style="231"/>
    <col min="3542" max="3542" width="10.7109375" style="231" customWidth="1"/>
    <col min="3543" max="3543" width="10.7109375" style="231"/>
    <col min="3544" max="3544" width="10.7109375" style="231" customWidth="1"/>
    <col min="3545" max="3546" width="10.7109375" style="231"/>
    <col min="3547" max="3547" width="10.7109375" style="231" customWidth="1"/>
    <col min="3548" max="3548" width="10.7109375" style="231"/>
    <col min="3549" max="3549" width="10.7109375" style="231" customWidth="1"/>
    <col min="3550" max="3551" width="10.7109375" style="231"/>
    <col min="3552" max="3552" width="10.7109375" style="231" customWidth="1"/>
    <col min="3553" max="3553" width="10.7109375" style="231"/>
    <col min="3554" max="3555" width="10.7109375" style="231" customWidth="1"/>
    <col min="3556" max="3558" width="10.7109375" style="231"/>
    <col min="3559" max="3562" width="10.7109375" style="231" customWidth="1"/>
    <col min="3563" max="3563" width="10.7109375" style="231"/>
    <col min="3564" max="3564" width="10.7109375" style="231" customWidth="1"/>
    <col min="3565" max="3565" width="10.7109375" style="231"/>
    <col min="3566" max="3567" width="10.7109375" style="231" customWidth="1"/>
    <col min="3568" max="3568" width="10.7109375" style="231"/>
    <col min="3569" max="3576" width="10.7109375" style="231" customWidth="1"/>
    <col min="3577" max="3577" width="10.7109375" style="231"/>
    <col min="3578" max="3578" width="10.7109375" style="231" customWidth="1"/>
    <col min="3579" max="3579" width="10.7109375" style="231"/>
    <col min="3580" max="3584" width="10.7109375" style="231" customWidth="1"/>
    <col min="3585" max="3585" width="10.7109375" style="231"/>
    <col min="3586" max="3586" width="10.7109375" style="231" customWidth="1"/>
    <col min="3587" max="3589" width="10.7109375" style="231"/>
    <col min="3590" max="3594" width="10.7109375" style="231" customWidth="1"/>
    <col min="3595" max="3595" width="10.7109375" style="231"/>
    <col min="3596" max="3612" width="10.7109375" style="231" customWidth="1"/>
    <col min="3613" max="3613" width="10.7109375" style="231"/>
    <col min="3614" max="3614" width="10.7109375" style="231" customWidth="1"/>
    <col min="3615" max="3616" width="10.7109375" style="231"/>
    <col min="3617" max="3618" width="10.7109375" style="231" customWidth="1"/>
    <col min="3619" max="3621" width="10.7109375" style="231"/>
    <col min="3622" max="3626" width="10.7109375" style="231" customWidth="1"/>
    <col min="3627" max="3627" width="10.7109375" style="231"/>
    <col min="3628" max="3635" width="10.7109375" style="231" customWidth="1"/>
    <col min="3636" max="3636" width="10.7109375" style="231"/>
    <col min="3637" max="3640" width="10.7109375" style="231" customWidth="1"/>
    <col min="3641" max="3641" width="10.7109375" style="231"/>
    <col min="3642" max="3643" width="10.7109375" style="231" customWidth="1"/>
    <col min="3644" max="3644" width="10.7109375" style="231"/>
    <col min="3645" max="3645" width="10.7109375" style="231" customWidth="1"/>
    <col min="3646" max="3646" width="10.7109375" style="231"/>
    <col min="3647" max="3647" width="10.7109375" style="231" customWidth="1"/>
    <col min="3648" max="3662" width="10.7109375" style="231"/>
    <col min="3663" max="3663" width="10.7109375" style="231" customWidth="1"/>
    <col min="3664" max="3669" width="10.7109375" style="231"/>
    <col min="3670" max="3671" width="10.7109375" style="231" customWidth="1"/>
    <col min="3672" max="3675" width="10.7109375" style="231"/>
    <col min="3676" max="3676" width="10.7109375" style="231" customWidth="1"/>
    <col min="3677" max="3678" width="10.7109375" style="231"/>
    <col min="3679" max="3679" width="10.7109375" style="231" customWidth="1"/>
    <col min="3680" max="3682" width="10.7109375" style="231"/>
    <col min="3683" max="3683" width="10.7109375" style="231" customWidth="1"/>
    <col min="3684" max="3686" width="10.7109375" style="231"/>
    <col min="3687" max="3687" width="10.7109375" style="231" customWidth="1"/>
    <col min="3688" max="3688" width="10.7109375" style="231"/>
    <col min="3689" max="3690" width="10.7109375" style="231" customWidth="1"/>
    <col min="3691" max="3692" width="10.7109375" style="231"/>
    <col min="3693" max="3697" width="10.7109375" style="231" customWidth="1"/>
    <col min="3698" max="3698" width="10.7109375" style="231"/>
    <col min="3699" max="3740" width="10.7109375" style="231" customWidth="1"/>
    <col min="3741" max="3741" width="10.7109375" style="231"/>
    <col min="3742" max="3742" width="10.7109375" style="231" customWidth="1"/>
    <col min="3743" max="3744" width="10.7109375" style="231"/>
    <col min="3745" max="3746" width="10.7109375" style="231" customWidth="1"/>
    <col min="3747" max="3749" width="10.7109375" style="231"/>
    <col min="3750" max="3754" width="10.7109375" style="231" customWidth="1"/>
    <col min="3755" max="3755" width="10.7109375" style="231"/>
    <col min="3756" max="3768" width="10.7109375" style="231" customWidth="1"/>
    <col min="3769" max="3769" width="10.7109375" style="231"/>
    <col min="3770" max="3770" width="10.7109375" style="231" customWidth="1"/>
    <col min="3771" max="3771" width="10.7109375" style="231"/>
    <col min="3772" max="3776" width="10.7109375" style="231" customWidth="1"/>
    <col min="3777" max="3777" width="10.7109375" style="231"/>
    <col min="3778" max="3778" width="10.7109375" style="231" customWidth="1"/>
    <col min="3779" max="3781" width="10.7109375" style="231"/>
    <col min="3782" max="3786" width="10.7109375" style="231" customWidth="1"/>
    <col min="3787" max="3787" width="10.7109375" style="231"/>
    <col min="3788" max="3800" width="10.7109375" style="231" customWidth="1"/>
    <col min="3801" max="3801" width="10.7109375" style="231"/>
    <col min="3802" max="3802" width="10.7109375" style="231" customWidth="1"/>
    <col min="3803" max="3803" width="10.7109375" style="231"/>
    <col min="3804" max="3808" width="10.7109375" style="231" customWidth="1"/>
    <col min="3809" max="3809" width="10.7109375" style="231"/>
    <col min="3810" max="3810" width="10.7109375" style="231" customWidth="1"/>
    <col min="3811" max="3813" width="10.7109375" style="231"/>
    <col min="3814" max="3818" width="10.7109375" style="231" customWidth="1"/>
    <col min="3819" max="3819" width="10.7109375" style="231"/>
    <col min="3820" max="3832" width="10.7109375" style="231" customWidth="1"/>
    <col min="3833" max="3833" width="10.7109375" style="231"/>
    <col min="3834" max="3834" width="10.7109375" style="231" customWidth="1"/>
    <col min="3835" max="3835" width="10.7109375" style="231"/>
    <col min="3836" max="3840" width="10.7109375" style="231" customWidth="1"/>
    <col min="3841" max="3841" width="10.7109375" style="231"/>
    <col min="3842" max="3842" width="10.7109375" style="231" customWidth="1"/>
    <col min="3843" max="3845" width="10.7109375" style="231"/>
    <col min="3846" max="3850" width="10.7109375" style="231" customWidth="1"/>
    <col min="3851" max="3851" width="10.7109375" style="231"/>
    <col min="3852" max="3868" width="10.7109375" style="231" customWidth="1"/>
    <col min="3869" max="3869" width="10.7109375" style="231"/>
    <col min="3870" max="3870" width="10.7109375" style="231" customWidth="1"/>
    <col min="3871" max="3872" width="10.7109375" style="231"/>
    <col min="3873" max="3874" width="10.7109375" style="231" customWidth="1"/>
    <col min="3875" max="3877" width="10.7109375" style="231"/>
    <col min="3878" max="3882" width="10.7109375" style="231" customWidth="1"/>
    <col min="3883" max="3883" width="10.7109375" style="231"/>
    <col min="3884" max="3891" width="10.7109375" style="231" customWidth="1"/>
    <col min="3892" max="3892" width="10.7109375" style="231"/>
    <col min="3893" max="3893" width="10.7109375" style="231" customWidth="1"/>
    <col min="3894" max="3894" width="10.7109375" style="231"/>
    <col min="3895" max="3896" width="10.7109375" style="231" customWidth="1"/>
    <col min="3897" max="3897" width="10.7109375" style="231"/>
    <col min="3898" max="3899" width="10.7109375" style="231" customWidth="1"/>
    <col min="3900" max="3900" width="10.7109375" style="231"/>
    <col min="3901" max="3901" width="10.7109375" style="231" customWidth="1"/>
    <col min="3902" max="3902" width="10.7109375" style="231"/>
    <col min="3903" max="3903" width="10.7109375" style="231" customWidth="1"/>
    <col min="3904" max="3918" width="10.7109375" style="231"/>
    <col min="3919" max="3919" width="10.7109375" style="231" customWidth="1"/>
    <col min="3920" max="3920" width="10.7109375" style="231"/>
    <col min="3921" max="3923" width="10.7109375" style="231" customWidth="1"/>
    <col min="3924" max="3924" width="10.7109375" style="231"/>
    <col min="3925" max="3927" width="10.7109375" style="231" customWidth="1"/>
    <col min="3928" max="3928" width="10.7109375" style="231"/>
    <col min="3929" max="3932" width="10.7109375" style="231" customWidth="1"/>
    <col min="3933" max="3935" width="10.7109375" style="231"/>
    <col min="3936" max="3936" width="10.7109375" style="231" customWidth="1"/>
    <col min="3937" max="3939" width="10.7109375" style="231"/>
    <col min="3940" max="3941" width="10.7109375" style="231" customWidth="1"/>
    <col min="3942" max="3942" width="10.7109375" style="231"/>
    <col min="3943" max="3945" width="10.7109375" style="231" customWidth="1"/>
    <col min="3946" max="3946" width="10.7109375" style="231"/>
    <col min="3947" max="3947" width="10.7109375" style="231" customWidth="1"/>
    <col min="3948" max="3949" width="10.7109375" style="231"/>
    <col min="3950" max="3951" width="10.7109375" style="231" customWidth="1"/>
    <col min="3952" max="3952" width="10.7109375" style="231"/>
    <col min="3953" max="3960" width="10.7109375" style="231" customWidth="1"/>
    <col min="3961" max="3961" width="10.7109375" style="231"/>
    <col min="3962" max="3962" width="10.7109375" style="231" customWidth="1"/>
    <col min="3963" max="3963" width="10.7109375" style="231"/>
    <col min="3964" max="3968" width="10.7109375" style="231" customWidth="1"/>
    <col min="3969" max="3969" width="10.7109375" style="231"/>
    <col min="3970" max="3970" width="10.7109375" style="231" customWidth="1"/>
    <col min="3971" max="3973" width="10.7109375" style="231"/>
    <col min="3974" max="3978" width="10.7109375" style="231" customWidth="1"/>
    <col min="3979" max="3979" width="10.7109375" style="231"/>
    <col min="3980" max="3984" width="10.7109375" style="231" customWidth="1"/>
    <col min="3985" max="3986" width="10.7109375" style="231"/>
    <col min="3987" max="4025" width="10.7109375" style="231" customWidth="1"/>
    <col min="4026" max="4026" width="10.7109375" style="231"/>
    <col min="4027" max="4027" width="10.7109375" style="231" customWidth="1"/>
    <col min="4028" max="4028" width="10.7109375" style="231"/>
    <col min="4029" max="4030" width="10.7109375" style="231" customWidth="1"/>
    <col min="4031" max="4031" width="10.7109375" style="231"/>
    <col min="4032" max="4032" width="10.7109375" style="231" customWidth="1"/>
    <col min="4033" max="4033" width="10.7109375" style="231"/>
    <col min="4034" max="4035" width="10.7109375" style="231" customWidth="1"/>
    <col min="4036" max="4037" width="10.7109375" style="231"/>
    <col min="4038" max="4039" width="10.7109375" style="231" customWidth="1"/>
    <col min="4040" max="4041" width="10.7109375" style="231"/>
    <col min="4042" max="4042" width="10.7109375" style="231" customWidth="1"/>
    <col min="4043" max="4044" width="10.7109375" style="231"/>
    <col min="4045" max="4053" width="10.7109375" style="231" customWidth="1"/>
    <col min="4054" max="4054" width="10.7109375" style="231"/>
    <col min="4055" max="4055" width="10.7109375" style="231" customWidth="1"/>
    <col min="4056" max="4059" width="10.7109375" style="231"/>
    <col min="4060" max="4061" width="10.7109375" style="231" customWidth="1"/>
    <col min="4062" max="4062" width="10.7109375" style="231"/>
    <col min="4063" max="4064" width="10.7109375" style="231" customWidth="1"/>
    <col min="4065" max="4065" width="10.7109375" style="231"/>
    <col min="4066" max="4067" width="10.7109375" style="231" customWidth="1"/>
    <col min="4068" max="4070" width="10.7109375" style="231"/>
    <col min="4071" max="4072" width="10.7109375" style="231" customWidth="1"/>
    <col min="4073" max="4073" width="10.7109375" style="231"/>
    <col min="4074" max="4076" width="10.7109375" style="231" customWidth="1"/>
    <col min="4077" max="4077" width="10.7109375" style="231"/>
    <col min="4078" max="4080" width="10.7109375" style="231" customWidth="1"/>
    <col min="4081" max="4083" width="10.7109375" style="231"/>
    <col min="4084" max="4084" width="10.7109375" style="231" customWidth="1"/>
    <col min="4085" max="4086" width="10.7109375" style="231"/>
    <col min="4087" max="4087" width="10.7109375" style="231" customWidth="1"/>
    <col min="4088" max="4088" width="10.7109375" style="231"/>
    <col min="4089" max="4091" width="10.7109375" style="231" customWidth="1"/>
    <col min="4092" max="4092" width="10.7109375" style="231"/>
    <col min="4093" max="4121" width="10.7109375" style="231" customWidth="1"/>
    <col min="4122" max="4122" width="10.7109375" style="231"/>
    <col min="4123" max="4145" width="10.7109375" style="231" customWidth="1"/>
    <col min="4146" max="4147" width="10.7109375" style="231"/>
    <col min="4148" max="4148" width="10.7109375" style="231" customWidth="1"/>
    <col min="4149" max="4150" width="10.7109375" style="231"/>
    <col min="4151" max="4151" width="10.7109375" style="231" customWidth="1"/>
    <col min="4152" max="4152" width="10.7109375" style="231"/>
    <col min="4153" max="4155" width="10.7109375" style="231" customWidth="1"/>
    <col min="4156" max="4156" width="10.7109375" style="231"/>
    <col min="4157" max="4196" width="10.7109375" style="231" customWidth="1"/>
    <col min="4197" max="4198" width="10.7109375" style="231"/>
    <col min="4199" max="4200" width="10.7109375" style="231" customWidth="1"/>
    <col min="4201" max="4201" width="10.7109375" style="231"/>
    <col min="4202" max="4204" width="10.7109375" style="231" customWidth="1"/>
    <col min="4205" max="4205" width="10.7109375" style="231"/>
    <col min="4206" max="4212" width="10.7109375" style="231" customWidth="1"/>
    <col min="4213" max="4213" width="10.7109375" style="231"/>
    <col min="4214" max="4215" width="10.7109375" style="231" customWidth="1"/>
    <col min="4216" max="4216" width="10.7109375" style="231"/>
    <col min="4217" max="4217" width="10.7109375" style="231" customWidth="1"/>
    <col min="4218" max="4219" width="10.7109375" style="231"/>
    <col min="4220" max="4220" width="10.7109375" style="231" customWidth="1"/>
    <col min="4221" max="4222" width="10.7109375" style="231"/>
    <col min="4223" max="4223" width="10.7109375" style="231" customWidth="1"/>
    <col min="4224" max="4224" width="10.7109375" style="231"/>
    <col min="4225" max="4227" width="10.7109375" style="231" customWidth="1"/>
    <col min="4228" max="4230" width="10.7109375" style="231"/>
    <col min="4231" max="4232" width="10.7109375" style="231" customWidth="1"/>
    <col min="4233" max="4233" width="10.7109375" style="231"/>
    <col min="4234" max="4236" width="10.7109375" style="231" customWidth="1"/>
    <col min="4237" max="4237" width="10.7109375" style="231"/>
    <col min="4238" max="4247" width="10.7109375" style="231" customWidth="1"/>
    <col min="4248" max="4248" width="10.7109375" style="231"/>
    <col min="4249" max="4254" width="10.7109375" style="231" customWidth="1"/>
    <col min="4255" max="4262" width="10.7109375" style="231"/>
    <col min="4263" max="4264" width="10.7109375" style="231" customWidth="1"/>
    <col min="4265" max="4265" width="10.7109375" style="231"/>
    <col min="4266" max="4268" width="10.7109375" style="231" customWidth="1"/>
    <col min="4269" max="4269" width="10.7109375" style="231"/>
    <col min="4270" max="4277" width="10.7109375" style="231" customWidth="1"/>
    <col min="4278" max="4278" width="10.7109375" style="231"/>
    <col min="4279" max="4308" width="10.7109375" style="231" customWidth="1"/>
    <col min="4309" max="4311" width="10.7109375" style="231"/>
    <col min="4312" max="4313" width="10.7109375" style="231" customWidth="1"/>
    <col min="4314" max="4315" width="10.7109375" style="231"/>
    <col min="4316" max="4316" width="10.7109375" style="231" customWidth="1"/>
    <col min="4317" max="4318" width="10.7109375" style="231"/>
    <col min="4319" max="4319" width="10.7109375" style="231" customWidth="1"/>
    <col min="4320" max="4320" width="10.7109375" style="231"/>
    <col min="4321" max="4323" width="10.7109375" style="231" customWidth="1"/>
    <col min="4324" max="4326" width="10.7109375" style="231"/>
    <col min="4327" max="4328" width="10.7109375" style="231" customWidth="1"/>
    <col min="4329" max="4329" width="10.7109375" style="231"/>
    <col min="4330" max="4332" width="10.7109375" style="231" customWidth="1"/>
    <col min="4333" max="4333" width="10.7109375" style="231"/>
    <col min="4334" max="4336" width="10.7109375" style="231" customWidth="1"/>
    <col min="4337" max="4338" width="10.7109375" style="231"/>
    <col min="4339" max="4340" width="10.7109375" style="231" customWidth="1"/>
    <col min="4341" max="4341" width="10.7109375" style="231"/>
    <col min="4342" max="4342" width="10.7109375" style="231" customWidth="1"/>
    <col min="4343" max="4343" width="10.7109375" style="231"/>
    <col min="4344" max="4344" width="10.7109375" style="231" customWidth="1"/>
    <col min="4345" max="4348" width="10.7109375" style="231"/>
    <col min="4349" max="4395" width="10.7109375" style="231" customWidth="1"/>
    <col min="4396" max="4396" width="10.7109375" style="231"/>
    <col min="4397" max="4401" width="10.7109375" style="231" customWidth="1"/>
    <col min="4402" max="4402" width="10.7109375" style="231"/>
    <col min="4403" max="4404" width="10.7109375" style="231" customWidth="1"/>
    <col min="4405" max="4405" width="10.7109375" style="231"/>
    <col min="4406" max="4406" width="10.7109375" style="231" customWidth="1"/>
    <col min="4407" max="4407" width="10.7109375" style="231"/>
    <col min="4408" max="4408" width="10.7109375" style="231" customWidth="1"/>
    <col min="4409" max="4412" width="10.7109375" style="231"/>
    <col min="4413" max="4454" width="10.7109375" style="231" customWidth="1"/>
    <col min="4455" max="4457" width="10.7109375" style="231"/>
    <col min="4458" max="4460" width="10.7109375" style="231" customWidth="1"/>
    <col min="4461" max="4461" width="10.7109375" style="231"/>
    <col min="4462" max="4468" width="10.7109375" style="231" customWidth="1"/>
    <col min="4469" max="4470" width="10.7109375" style="231"/>
    <col min="4471" max="4471" width="10.7109375" style="231" customWidth="1"/>
    <col min="4472" max="4474" width="10.7109375" style="231"/>
    <col min="4475" max="4476" width="10.7109375" style="231" customWidth="1"/>
    <col min="4477" max="4477" width="10.7109375" style="231"/>
    <col min="4478" max="4478" width="10.7109375" style="231" customWidth="1"/>
    <col min="4479" max="4479" width="10.7109375" style="231"/>
    <col min="4480" max="4480" width="10.7109375" style="231" customWidth="1"/>
    <col min="4481" max="4484" width="10.7109375" style="231"/>
    <col min="4485" max="4486" width="10.7109375" style="231" customWidth="1"/>
    <col min="4487" max="4489" width="10.7109375" style="231"/>
    <col min="4490" max="4492" width="10.7109375" style="231" customWidth="1"/>
    <col min="4493" max="4493" width="10.7109375" style="231"/>
    <col min="4494" max="4503" width="10.7109375" style="231" customWidth="1"/>
    <col min="4504" max="4504" width="10.7109375" style="231"/>
    <col min="4505" max="4510" width="10.7109375" style="231" customWidth="1"/>
    <col min="4511" max="4516" width="10.7109375" style="231"/>
    <col min="4517" max="4518" width="10.7109375" style="231" customWidth="1"/>
    <col min="4519" max="4521" width="10.7109375" style="231"/>
    <col min="4522" max="4524" width="10.7109375" style="231" customWidth="1"/>
    <col min="4525" max="4525" width="10.7109375" style="231"/>
    <col min="4526" max="4533" width="10.7109375" style="231" customWidth="1"/>
    <col min="4534" max="4534" width="10.7109375" style="231"/>
    <col min="4535" max="4564" width="10.7109375" style="231" customWidth="1"/>
    <col min="4565" max="4565" width="10.7109375" style="231"/>
    <col min="4566" max="4567" width="10.7109375" style="231" customWidth="1"/>
    <col min="4568" max="4570" width="10.7109375" style="231"/>
    <col min="4571" max="4572" width="10.7109375" style="231" customWidth="1"/>
    <col min="4573" max="4573" width="10.7109375" style="231"/>
    <col min="4574" max="4574" width="10.7109375" style="231" customWidth="1"/>
    <col min="4575" max="4575" width="10.7109375" style="231"/>
    <col min="4576" max="4576" width="10.7109375" style="231" customWidth="1"/>
    <col min="4577" max="4580" width="10.7109375" style="231"/>
    <col min="4581" max="4582" width="10.7109375" style="231" customWidth="1"/>
    <col min="4583" max="4585" width="10.7109375" style="231"/>
    <col min="4586" max="4588" width="10.7109375" style="231" customWidth="1"/>
    <col min="4589" max="4589" width="10.7109375" style="231"/>
    <col min="4590" max="4596" width="10.7109375" style="231" customWidth="1"/>
    <col min="4597" max="4598" width="10.7109375" style="231"/>
    <col min="4599" max="4601" width="10.7109375" style="231" customWidth="1"/>
    <col min="4602" max="4603" width="10.7109375" style="231"/>
    <col min="4604" max="4605" width="10.7109375" style="231" customWidth="1"/>
    <col min="4606" max="4607" width="10.7109375" style="231"/>
    <col min="4608" max="4608" width="10.7109375" style="231" customWidth="1"/>
    <col min="4609" max="4612" width="10.7109375" style="231"/>
    <col min="4613" max="4628" width="10.7109375" style="231" customWidth="1"/>
    <col min="4629" max="4629" width="10.7109375" style="231"/>
    <col min="4630" max="4631" width="10.7109375" style="231" customWidth="1"/>
    <col min="4632" max="4634" width="10.7109375" style="231"/>
    <col min="4635" max="4636" width="10.7109375" style="231" customWidth="1"/>
    <col min="4637" max="4637" width="10.7109375" style="231"/>
    <col min="4638" max="4638" width="10.7109375" style="231" customWidth="1"/>
    <col min="4639" max="4639" width="10.7109375" style="231"/>
    <col min="4640" max="4640" width="10.7109375" style="231" customWidth="1"/>
    <col min="4641" max="4644" width="10.7109375" style="231"/>
    <col min="4645" max="4646" width="10.7109375" style="231" customWidth="1"/>
    <col min="4647" max="4649" width="10.7109375" style="231"/>
    <col min="4650" max="4652" width="10.7109375" style="231" customWidth="1"/>
    <col min="4653" max="4653" width="10.7109375" style="231"/>
    <col min="4654" max="4678" width="10.7109375" style="231" customWidth="1"/>
    <col min="4679" max="4681" width="10.7109375" style="231"/>
    <col min="4682" max="4684" width="10.7109375" style="231" customWidth="1"/>
    <col min="4685" max="4685" width="10.7109375" style="231"/>
    <col min="4686" max="4692" width="10.7109375" style="231" customWidth="1"/>
    <col min="4693" max="4693" width="10.7109375" style="231"/>
    <col min="4694" max="4695" width="10.7109375" style="231" customWidth="1"/>
    <col min="4696" max="4698" width="10.7109375" style="231"/>
    <col min="4699" max="4700" width="10.7109375" style="231" customWidth="1"/>
    <col min="4701" max="4701" width="10.7109375" style="231"/>
    <col min="4702" max="4702" width="10.7109375" style="231" customWidth="1"/>
    <col min="4703" max="4703" width="10.7109375" style="231"/>
    <col min="4704" max="4704" width="10.7109375" style="231" customWidth="1"/>
    <col min="4705" max="4708" width="10.7109375" style="231"/>
    <col min="4709" max="4710" width="10.7109375" style="231" customWidth="1"/>
    <col min="4711" max="4713" width="10.7109375" style="231"/>
    <col min="4714" max="4716" width="10.7109375" style="231" customWidth="1"/>
    <col min="4717" max="4717" width="10.7109375" style="231"/>
    <col min="4718" max="4721" width="10.7109375" style="231" customWidth="1"/>
    <col min="4722" max="4722" width="10.7109375" style="231"/>
    <col min="4723" max="4764" width="10.7109375" style="231" customWidth="1"/>
    <col min="4765" max="4765" width="10.7109375" style="231"/>
    <col min="4766" max="4766" width="10.7109375" style="231" customWidth="1"/>
    <col min="4767" max="4768" width="10.7109375" style="231"/>
    <col min="4769" max="4770" width="10.7109375" style="231" customWidth="1"/>
    <col min="4771" max="4773" width="10.7109375" style="231"/>
    <col min="4774" max="4778" width="10.7109375" style="231" customWidth="1"/>
    <col min="4779" max="4779" width="10.7109375" style="231"/>
    <col min="4780" max="4792" width="10.7109375" style="231" customWidth="1"/>
    <col min="4793" max="4793" width="10.7109375" style="231"/>
    <col min="4794" max="4794" width="10.7109375" style="231" customWidth="1"/>
    <col min="4795" max="4795" width="10.7109375" style="231"/>
    <col min="4796" max="4800" width="10.7109375" style="231" customWidth="1"/>
    <col min="4801" max="4801" width="10.7109375" style="231"/>
    <col min="4802" max="4802" width="10.7109375" style="231" customWidth="1"/>
    <col min="4803" max="4805" width="10.7109375" style="231"/>
    <col min="4806" max="4810" width="10.7109375" style="231" customWidth="1"/>
    <col min="4811" max="4811" width="10.7109375" style="231"/>
    <col min="4812" max="4824" width="10.7109375" style="231" customWidth="1"/>
    <col min="4825" max="4825" width="10.7109375" style="231"/>
    <col min="4826" max="4826" width="10.7109375" style="231" customWidth="1"/>
    <col min="4827" max="4827" width="10.7109375" style="231"/>
    <col min="4828" max="4832" width="10.7109375" style="231" customWidth="1"/>
    <col min="4833" max="4833" width="10.7109375" style="231"/>
    <col min="4834" max="4834" width="10.7109375" style="231" customWidth="1"/>
    <col min="4835" max="4837" width="10.7109375" style="231"/>
    <col min="4838" max="4842" width="10.7109375" style="231" customWidth="1"/>
    <col min="4843" max="4843" width="10.7109375" style="231"/>
    <col min="4844" max="4856" width="10.7109375" style="231" customWidth="1"/>
    <col min="4857" max="4857" width="10.7109375" style="231"/>
    <col min="4858" max="4858" width="10.7109375" style="231" customWidth="1"/>
    <col min="4859" max="4859" width="10.7109375" style="231"/>
    <col min="4860" max="4864" width="10.7109375" style="231" customWidth="1"/>
    <col min="4865" max="4865" width="10.7109375" style="231"/>
    <col min="4866" max="4866" width="10.7109375" style="231" customWidth="1"/>
    <col min="4867" max="4869" width="10.7109375" style="231"/>
    <col min="4870" max="4874" width="10.7109375" style="231" customWidth="1"/>
    <col min="4875" max="4875" width="10.7109375" style="231"/>
    <col min="4876" max="4892" width="10.7109375" style="231" customWidth="1"/>
    <col min="4893" max="4893" width="10.7109375" style="231"/>
    <col min="4894" max="4894" width="10.7109375" style="231" customWidth="1"/>
    <col min="4895" max="4896" width="10.7109375" style="231"/>
    <col min="4897" max="4898" width="10.7109375" style="231" customWidth="1"/>
    <col min="4899" max="4901" width="10.7109375" style="231"/>
    <col min="4902" max="4906" width="10.7109375" style="231" customWidth="1"/>
    <col min="4907" max="4907" width="10.7109375" style="231"/>
    <col min="4908" max="4915" width="10.7109375" style="231" customWidth="1"/>
    <col min="4916" max="4916" width="10.7109375" style="231"/>
    <col min="4917" max="4917" width="10.7109375" style="231" customWidth="1"/>
    <col min="4918" max="4918" width="10.7109375" style="231"/>
    <col min="4919" max="4919" width="10.7109375" style="231" customWidth="1"/>
    <col min="4920" max="4921" width="10.7109375" style="231"/>
    <col min="4922" max="4923" width="10.7109375" style="231" customWidth="1"/>
    <col min="4924" max="4924" width="10.7109375" style="231"/>
    <col min="4925" max="4925" width="10.7109375" style="231" customWidth="1"/>
    <col min="4926" max="4926" width="10.7109375" style="231"/>
    <col min="4927" max="4927" width="10.7109375" style="231" customWidth="1"/>
    <col min="4928" max="4942" width="10.7109375" style="231"/>
    <col min="4943" max="4943" width="10.7109375" style="231" customWidth="1"/>
    <col min="4944" max="4944" width="10.7109375" style="231"/>
    <col min="4945" max="4949" width="10.7109375" style="231" customWidth="1"/>
    <col min="4950" max="4950" width="10.7109375" style="231"/>
    <col min="4951" max="4951" width="10.7109375" style="231" customWidth="1"/>
    <col min="4952" max="4955" width="10.7109375" style="231"/>
    <col min="4956" max="4957" width="10.7109375" style="231" customWidth="1"/>
    <col min="4958" max="4958" width="10.7109375" style="231"/>
    <col min="4959" max="4960" width="10.7109375" style="231" customWidth="1"/>
    <col min="4961" max="4961" width="10.7109375" style="231"/>
    <col min="4962" max="4963" width="10.7109375" style="231" customWidth="1"/>
    <col min="4964" max="4966" width="10.7109375" style="231"/>
    <col min="4967" max="4968" width="10.7109375" style="231" customWidth="1"/>
    <col min="4969" max="4969" width="10.7109375" style="231"/>
    <col min="4970" max="4972" width="10.7109375" style="231" customWidth="1"/>
    <col min="4973" max="4973" width="10.7109375" style="231"/>
    <col min="4974" max="4988" width="10.7109375" style="231" customWidth="1"/>
    <col min="4989" max="4989" width="10.7109375" style="231"/>
    <col min="4990" max="4990" width="10.7109375" style="231" customWidth="1"/>
    <col min="4991" max="4992" width="10.7109375" style="231"/>
    <col min="4993" max="4994" width="10.7109375" style="231" customWidth="1"/>
    <col min="4995" max="4997" width="10.7109375" style="231"/>
    <col min="4998" max="5002" width="10.7109375" style="231" customWidth="1"/>
    <col min="5003" max="5003" width="10.7109375" style="231"/>
    <col min="5004" max="5008" width="10.7109375" style="231" customWidth="1"/>
    <col min="5009" max="5010" width="10.7109375" style="231"/>
    <col min="5011" max="5024" width="10.7109375" style="231" customWidth="1"/>
    <col min="5025" max="5025" width="10.7109375" style="231"/>
    <col min="5026" max="5028" width="10.7109375" style="231" customWidth="1"/>
    <col min="5029" max="5029" width="10.7109375" style="231"/>
    <col min="5030" max="5040" width="10.7109375" style="231" customWidth="1"/>
    <col min="5041" max="5042" width="10.7109375" style="231"/>
    <col min="5043" max="5084" width="10.7109375" style="231" customWidth="1"/>
    <col min="5085" max="5085" width="10.7109375" style="231"/>
    <col min="5086" max="5086" width="10.7109375" style="231" customWidth="1"/>
    <col min="5087" max="5088" width="10.7109375" style="231"/>
    <col min="5089" max="5090" width="10.7109375" style="231" customWidth="1"/>
    <col min="5091" max="5093" width="10.7109375" style="231"/>
    <col min="5094" max="5098" width="10.7109375" style="231" customWidth="1"/>
    <col min="5099" max="5099" width="10.7109375" style="231"/>
    <col min="5100" max="5144" width="10.7109375" style="231" customWidth="1"/>
    <col min="5145" max="5145" width="10.7109375" style="231"/>
    <col min="5146" max="5146" width="10.7109375" style="231" customWidth="1"/>
    <col min="5147" max="5147" width="10.7109375" style="231"/>
    <col min="5148" max="5152" width="10.7109375" style="231" customWidth="1"/>
    <col min="5153" max="5153" width="10.7109375" style="231"/>
    <col min="5154" max="5154" width="10.7109375" style="231" customWidth="1"/>
    <col min="5155" max="5157" width="10.7109375" style="231"/>
    <col min="5158" max="5162" width="10.7109375" style="231" customWidth="1"/>
    <col min="5163" max="5163" width="10.7109375" style="231"/>
    <col min="5164" max="5171" width="10.7109375" style="231" customWidth="1"/>
    <col min="5172" max="5173" width="10.7109375" style="231"/>
    <col min="5174" max="5174" width="10.7109375" style="231" customWidth="1"/>
    <col min="5175" max="5177" width="10.7109375" style="231"/>
    <col min="5178" max="5179" width="10.7109375" style="231" customWidth="1"/>
    <col min="5180" max="5180" width="10.7109375" style="231"/>
    <col min="5181" max="5181" width="10.7109375" style="231" customWidth="1"/>
    <col min="5182" max="5182" width="10.7109375" style="231"/>
    <col min="5183" max="5183" width="10.7109375" style="231" customWidth="1"/>
    <col min="5184" max="5198" width="10.7109375" style="231"/>
    <col min="5199" max="5199" width="10.7109375" style="231" customWidth="1"/>
    <col min="5200" max="5202" width="10.7109375" style="231"/>
    <col min="5203" max="5203" width="10.7109375" style="231" customWidth="1"/>
    <col min="5204" max="5204" width="10.7109375" style="231"/>
    <col min="5205" max="5206" width="10.7109375" style="231" customWidth="1"/>
    <col min="5207" max="5211" width="10.7109375" style="231"/>
    <col min="5212" max="5214" width="10.7109375" style="231" customWidth="1"/>
    <col min="5215" max="5215" width="10.7109375" style="231"/>
    <col min="5216" max="5216" width="10.7109375" style="231" customWidth="1"/>
    <col min="5217" max="5219" width="10.7109375" style="231"/>
    <col min="5220" max="5221" width="10.7109375" style="231" customWidth="1"/>
    <col min="5222" max="5222" width="10.7109375" style="231"/>
    <col min="5223" max="5225" width="10.7109375" style="231" customWidth="1"/>
    <col min="5226" max="5226" width="10.7109375" style="231"/>
    <col min="5227" max="5227" width="10.7109375" style="231" customWidth="1"/>
    <col min="5228" max="5229" width="10.7109375" style="231"/>
    <col min="5230" max="5231" width="10.7109375" style="231" customWidth="1"/>
    <col min="5232" max="5232" width="10.7109375" style="231"/>
    <col min="5233" max="5240" width="10.7109375" style="231" customWidth="1"/>
    <col min="5241" max="5241" width="10.7109375" style="231"/>
    <col min="5242" max="5242" width="10.7109375" style="231" customWidth="1"/>
    <col min="5243" max="5243" width="10.7109375" style="231"/>
    <col min="5244" max="5248" width="10.7109375" style="231" customWidth="1"/>
    <col min="5249" max="5249" width="10.7109375" style="231"/>
    <col min="5250" max="5250" width="10.7109375" style="231" customWidth="1"/>
    <col min="5251" max="5253" width="10.7109375" style="231"/>
    <col min="5254" max="5258" width="10.7109375" style="231" customWidth="1"/>
    <col min="5259" max="5259" width="10.7109375" style="231"/>
    <col min="5260" max="5269" width="10.7109375" style="231" customWidth="1"/>
    <col min="5270" max="5270" width="10.7109375" style="231"/>
    <col min="5271" max="5271" width="10.7109375" style="231" customWidth="1"/>
    <col min="5272" max="5275" width="10.7109375" style="231"/>
    <col min="5276" max="5278" width="10.7109375" style="231" customWidth="1"/>
    <col min="5279" max="5280" width="10.7109375" style="231"/>
    <col min="5281" max="5281" width="10.7109375" style="231" customWidth="1"/>
    <col min="5282" max="5286" width="10.7109375" style="231"/>
    <col min="5287" max="5288" width="10.7109375" style="231" customWidth="1"/>
    <col min="5289" max="5289" width="10.7109375" style="231"/>
    <col min="5290" max="5292" width="10.7109375" style="231" customWidth="1"/>
    <col min="5293" max="5293" width="10.7109375" style="231"/>
    <col min="5294" max="5299" width="10.7109375" style="231" customWidth="1"/>
    <col min="5300" max="5303" width="10.7109375" style="231"/>
    <col min="5304" max="5304" width="10.7109375" style="231" customWidth="1"/>
    <col min="5305" max="5305" width="10.7109375" style="231"/>
    <col min="5306" max="5307" width="10.7109375" style="231" customWidth="1"/>
    <col min="5308" max="5308" width="10.7109375" style="231"/>
    <col min="5309" max="5309" width="10.7109375" style="231" customWidth="1"/>
    <col min="5310" max="5310" width="10.7109375" style="231"/>
    <col min="5311" max="5311" width="10.7109375" style="231" customWidth="1"/>
    <col min="5312" max="5326" width="10.7109375" style="231"/>
    <col min="5327" max="5327" width="10.7109375" style="231" customWidth="1"/>
    <col min="5328" max="5328" width="10.7109375" style="231"/>
    <col min="5329" max="5332" width="10.7109375" style="231" customWidth="1"/>
    <col min="5333" max="5333" width="10.7109375" style="231"/>
    <col min="5334" max="5334" width="10.7109375" style="231" customWidth="1"/>
    <col min="5335" max="5335" width="10.7109375" style="231"/>
    <col min="5336" max="5336" width="10.7109375" style="231" customWidth="1"/>
    <col min="5337" max="5337" width="10.7109375" style="231"/>
    <col min="5338" max="5340" width="10.7109375" style="231" customWidth="1"/>
    <col min="5341" max="5342" width="10.7109375" style="231"/>
    <col min="5343" max="5344" width="10.7109375" style="231" customWidth="1"/>
    <col min="5345" max="5345" width="10.7109375" style="231"/>
    <col min="5346" max="5347" width="10.7109375" style="231" customWidth="1"/>
    <col min="5348" max="5350" width="10.7109375" style="231"/>
    <col min="5351" max="5352" width="10.7109375" style="231" customWidth="1"/>
    <col min="5353" max="5353" width="10.7109375" style="231"/>
    <col min="5354" max="5356" width="10.7109375" style="231" customWidth="1"/>
    <col min="5357" max="5357" width="10.7109375" style="231"/>
    <col min="5358" max="5362" width="10.7109375" style="231" customWidth="1"/>
    <col min="5363" max="5363" width="10.7109375" style="231"/>
    <col min="5364" max="5404" width="10.7109375" style="231" customWidth="1"/>
    <col min="5405" max="5405" width="10.7109375" style="231"/>
    <col min="5406" max="5406" width="10.7109375" style="231" customWidth="1"/>
    <col min="5407" max="5408" width="10.7109375" style="231"/>
    <col min="5409" max="5410" width="10.7109375" style="231" customWidth="1"/>
    <col min="5411" max="5413" width="10.7109375" style="231"/>
    <col min="5414" max="5418" width="10.7109375" style="231" customWidth="1"/>
    <col min="5419" max="5419" width="10.7109375" style="231"/>
    <col min="5420" max="5432" width="10.7109375" style="231" customWidth="1"/>
    <col min="5433" max="5433" width="10.7109375" style="231"/>
    <col min="5434" max="5434" width="10.7109375" style="231" customWidth="1"/>
    <col min="5435" max="5435" width="10.7109375" style="231"/>
    <col min="5436" max="5440" width="10.7109375" style="231" customWidth="1"/>
    <col min="5441" max="5441" width="10.7109375" style="231"/>
    <col min="5442" max="5442" width="10.7109375" style="231" customWidth="1"/>
    <col min="5443" max="5445" width="10.7109375" style="231"/>
    <col min="5446" max="5450" width="10.7109375" style="231" customWidth="1"/>
    <col min="5451" max="5451" width="10.7109375" style="231"/>
    <col min="5452" max="5464" width="10.7109375" style="231" customWidth="1"/>
    <col min="5465" max="5465" width="10.7109375" style="231"/>
    <col min="5466" max="5466" width="10.7109375" style="231" customWidth="1"/>
    <col min="5467" max="5467" width="10.7109375" style="231"/>
    <col min="5468" max="5472" width="10.7109375" style="231" customWidth="1"/>
    <col min="5473" max="5473" width="10.7109375" style="231"/>
    <col min="5474" max="5474" width="10.7109375" style="231" customWidth="1"/>
    <col min="5475" max="5477" width="10.7109375" style="231"/>
    <col min="5478" max="5482" width="10.7109375" style="231" customWidth="1"/>
    <col min="5483" max="5483" width="10.7109375" style="231"/>
    <col min="5484" max="5499" width="10.7109375" style="231" customWidth="1"/>
    <col min="5500" max="5500" width="10.7109375" style="231"/>
    <col min="5501" max="5532" width="10.7109375" style="231" customWidth="1"/>
    <col min="5533" max="5533" width="10.7109375" style="231"/>
    <col min="5534" max="5534" width="10.7109375" style="231" customWidth="1"/>
    <col min="5535" max="5536" width="10.7109375" style="231"/>
    <col min="5537" max="5538" width="10.7109375" style="231" customWidth="1"/>
    <col min="5539" max="5541" width="10.7109375" style="231"/>
    <col min="5542" max="5546" width="10.7109375" style="231" customWidth="1"/>
    <col min="5547" max="5547" width="10.7109375" style="231"/>
    <col min="5548" max="5555" width="10.7109375" style="231" customWidth="1"/>
    <col min="5556" max="5561" width="10.7109375" style="231"/>
    <col min="5562" max="5563" width="10.7109375" style="231" customWidth="1"/>
    <col min="5564" max="5564" width="10.7109375" style="231"/>
    <col min="5565" max="5565" width="10.7109375" style="231" customWidth="1"/>
    <col min="5566" max="5566" width="10.7109375" style="231"/>
    <col min="5567" max="5567" width="10.7109375" style="231" customWidth="1"/>
    <col min="5568" max="5582" width="10.7109375" style="231"/>
    <col min="5583" max="5583" width="10.7109375" style="231" customWidth="1"/>
    <col min="5584" max="5584" width="10.7109375" style="231"/>
    <col min="5585" max="5587" width="10.7109375" style="231" customWidth="1"/>
    <col min="5588" max="5588" width="10.7109375" style="231"/>
    <col min="5589" max="5591" width="10.7109375" style="231" customWidth="1"/>
    <col min="5592" max="5592" width="10.7109375" style="231"/>
    <col min="5593" max="5596" width="10.7109375" style="231" customWidth="1"/>
    <col min="5597" max="5599" width="10.7109375" style="231"/>
    <col min="5600" max="5600" width="10.7109375" style="231" customWidth="1"/>
    <col min="5601" max="5603" width="10.7109375" style="231"/>
    <col min="5604" max="5605" width="10.7109375" style="231" customWidth="1"/>
    <col min="5606" max="5606" width="10.7109375" style="231"/>
    <col min="5607" max="5609" width="10.7109375" style="231" customWidth="1"/>
    <col min="5610" max="5610" width="10.7109375" style="231"/>
    <col min="5611" max="5611" width="10.7109375" style="231" customWidth="1"/>
    <col min="5612" max="5613" width="10.7109375" style="231"/>
    <col min="5614" max="5615" width="10.7109375" style="231" customWidth="1"/>
    <col min="5616" max="5616" width="10.7109375" style="231"/>
    <col min="5617" max="5624" width="10.7109375" style="231" customWidth="1"/>
    <col min="5625" max="5625" width="10.7109375" style="231"/>
    <col min="5626" max="5626" width="10.7109375" style="231" customWidth="1"/>
    <col min="5627" max="5627" width="10.7109375" style="231"/>
    <col min="5628" max="5632" width="10.7109375" style="231" customWidth="1"/>
    <col min="5633" max="5633" width="10.7109375" style="231"/>
    <col min="5634" max="5634" width="10.7109375" style="231" customWidth="1"/>
    <col min="5635" max="5637" width="10.7109375" style="231"/>
    <col min="5638" max="5642" width="10.7109375" style="231" customWidth="1"/>
    <col min="5643" max="5643" width="10.7109375" style="231"/>
    <col min="5644" max="5648" width="10.7109375" style="231" customWidth="1"/>
    <col min="5649" max="5649" width="10.7109375" style="231"/>
    <col min="5650" max="5650" width="10.7109375" style="231" customWidth="1"/>
    <col min="5651" max="5651" width="10.7109375" style="231"/>
    <col min="5652" max="5688" width="10.7109375" style="231" customWidth="1"/>
    <col min="5689" max="5689" width="10.7109375" style="231"/>
    <col min="5690" max="5690" width="10.7109375" style="231" customWidth="1"/>
    <col min="5691" max="5691" width="10.7109375" style="231"/>
    <col min="5692" max="5696" width="10.7109375" style="231" customWidth="1"/>
    <col min="5697" max="5697" width="10.7109375" style="231"/>
    <col min="5698" max="5698" width="10.7109375" style="231" customWidth="1"/>
    <col min="5699" max="5701" width="10.7109375" style="231"/>
    <col min="5702" max="5706" width="10.7109375" style="231" customWidth="1"/>
    <col min="5707" max="5707" width="10.7109375" style="231"/>
    <col min="5708" max="5744" width="10.7109375" style="231" customWidth="1"/>
    <col min="5745" max="5746" width="10.7109375" style="231"/>
    <col min="5747" max="5784" width="10.7109375" style="231" customWidth="1"/>
    <col min="5785" max="5785" width="10.7109375" style="231"/>
    <col min="5786" max="5786" width="10.7109375" style="231" customWidth="1"/>
    <col min="5787" max="5787" width="10.7109375" style="231"/>
    <col min="5788" max="5792" width="10.7109375" style="231" customWidth="1"/>
    <col min="5793" max="5793" width="10.7109375" style="231"/>
    <col min="5794" max="5794" width="10.7109375" style="231" customWidth="1"/>
    <col min="5795" max="5797" width="10.7109375" style="231"/>
    <col min="5798" max="5802" width="10.7109375" style="231" customWidth="1"/>
    <col min="5803" max="5803" width="10.7109375" style="231"/>
    <col min="5804" max="5808" width="10.7109375" style="231" customWidth="1"/>
    <col min="5809" max="5809" width="10.7109375" style="231"/>
    <col min="5810" max="5811" width="10.7109375" style="231" customWidth="1"/>
    <col min="5812" max="5818" width="10.7109375" style="231"/>
    <col min="5819" max="5822" width="10.7109375" style="231" customWidth="1"/>
    <col min="5823" max="5823" width="10.7109375" style="231"/>
    <col min="5824" max="5824" width="10.7109375" style="231" customWidth="1"/>
    <col min="5825" max="5827" width="10.7109375" style="231"/>
    <col min="5828" max="5829" width="10.7109375" style="231" customWidth="1"/>
    <col min="5830" max="5830" width="10.7109375" style="231"/>
    <col min="5831" max="5833" width="10.7109375" style="231" customWidth="1"/>
    <col min="5834" max="5834" width="10.7109375" style="231"/>
    <col min="5835" max="5835" width="10.7109375" style="231" customWidth="1"/>
    <col min="5836" max="5837" width="10.7109375" style="231"/>
    <col min="5838" max="5839" width="10.7109375" style="231" customWidth="1"/>
    <col min="5840" max="5840" width="10.7109375" style="231"/>
    <col min="5841" max="5844" width="10.7109375" style="231" customWidth="1"/>
    <col min="5845" max="5845" width="10.7109375" style="231"/>
    <col min="5846" max="5846" width="10.7109375" style="231" customWidth="1"/>
    <col min="5847" max="5847" width="10.7109375" style="231"/>
    <col min="5848" max="5910" width="10.7109375" style="231" customWidth="1"/>
    <col min="5911" max="5911" width="10.7109375" style="231"/>
    <col min="5912" max="5944" width="10.7109375" style="231" customWidth="1"/>
    <col min="5945" max="5945" width="10.7109375" style="231"/>
    <col min="5946" max="5946" width="10.7109375" style="231" customWidth="1"/>
    <col min="5947" max="5947" width="10.7109375" style="231"/>
    <col min="5948" max="5952" width="10.7109375" style="231" customWidth="1"/>
    <col min="5953" max="5953" width="10.7109375" style="231"/>
    <col min="5954" max="5954" width="10.7109375" style="231" customWidth="1"/>
    <col min="5955" max="5957" width="10.7109375" style="231"/>
    <col min="5958" max="5962" width="10.7109375" style="231" customWidth="1"/>
    <col min="5963" max="5963" width="10.7109375" style="231"/>
    <col min="5964" max="5980" width="10.7109375" style="231" customWidth="1"/>
    <col min="5981" max="5981" width="10.7109375" style="231"/>
    <col min="5982" max="5982" width="10.7109375" style="231" customWidth="1"/>
    <col min="5983" max="5984" width="10.7109375" style="231"/>
    <col min="5985" max="5986" width="10.7109375" style="231" customWidth="1"/>
    <col min="5987" max="5989" width="10.7109375" style="231"/>
    <col min="5990" max="5994" width="10.7109375" style="231" customWidth="1"/>
    <col min="5995" max="5995" width="10.7109375" style="231"/>
    <col min="5996" max="6012" width="10.7109375" style="231" customWidth="1"/>
    <col min="6013" max="6013" width="10.7109375" style="231"/>
    <col min="6014" max="6014" width="10.7109375" style="231" customWidth="1"/>
    <col min="6015" max="6016" width="10.7109375" style="231"/>
    <col min="6017" max="6018" width="10.7109375" style="231" customWidth="1"/>
    <col min="6019" max="6021" width="10.7109375" style="231"/>
    <col min="6022" max="6026" width="10.7109375" style="231" customWidth="1"/>
    <col min="6027" max="6027" width="10.7109375" style="231"/>
    <col min="6028" max="6034" width="10.7109375" style="231" customWidth="1"/>
    <col min="6035" max="6035" width="10.7109375" style="231"/>
    <col min="6036" max="6076" width="10.7109375" style="231" customWidth="1"/>
    <col min="6077" max="6080" width="10.7109375" style="231"/>
    <col min="6081" max="6082" width="10.7109375" style="231" customWidth="1"/>
    <col min="6083" max="6083" width="10.7109375" style="231"/>
    <col min="6084" max="6084" width="10.7109375" style="231" customWidth="1"/>
    <col min="6085" max="6085" width="10.7109375" style="231"/>
    <col min="6086" max="6091" width="10.7109375" style="231" customWidth="1"/>
    <col min="6092" max="6092" width="10.7109375" style="231"/>
    <col min="6093" max="6099" width="10.7109375" style="231" customWidth="1"/>
    <col min="6100" max="6102" width="10.7109375" style="231"/>
    <col min="6103" max="6108" width="10.7109375" style="231" customWidth="1"/>
    <col min="6109" max="6109" width="10.7109375" style="231"/>
    <col min="6110" max="6110" width="10.7109375" style="231" customWidth="1"/>
    <col min="6111" max="6113" width="10.7109375" style="231"/>
    <col min="6114" max="6114" width="10.7109375" style="231" customWidth="1"/>
    <col min="6115" max="6115" width="10.7109375" style="231"/>
    <col min="6116" max="6116" width="10.7109375" style="231" customWidth="1"/>
    <col min="6117" max="6117" width="10.7109375" style="231"/>
    <col min="6118" max="6118" width="10.7109375" style="231" customWidth="1"/>
    <col min="6119" max="6119" width="10.7109375" style="231"/>
    <col min="6120" max="6125" width="10.7109375" style="231" customWidth="1"/>
    <col min="6126" max="6126" width="10.7109375" style="231"/>
    <col min="6127" max="6127" width="10.7109375" style="231" customWidth="1"/>
    <col min="6128" max="6128" width="10.7109375" style="231"/>
    <col min="6129" max="6130" width="10.7109375" style="231" customWidth="1"/>
    <col min="6131" max="6131" width="10.7109375" style="231"/>
    <col min="6132" max="6161" width="10.7109375" style="231" customWidth="1"/>
    <col min="6162" max="6162" width="10.7109375" style="231"/>
    <col min="6163" max="6189" width="10.7109375" style="231" customWidth="1"/>
    <col min="6190" max="6190" width="10.7109375" style="231"/>
    <col min="6191" max="6195" width="10.7109375" style="231" customWidth="1"/>
    <col min="6196" max="6197" width="10.7109375" style="231"/>
    <col min="6198" max="6198" width="10.7109375" style="231" customWidth="1"/>
    <col min="6199" max="6200" width="10.7109375" style="231"/>
    <col min="6201" max="6201" width="10.7109375" style="231" customWidth="1"/>
    <col min="6202" max="6202" width="10.7109375" style="231"/>
    <col min="6203" max="6203" width="10.7109375" style="231" customWidth="1"/>
    <col min="6204" max="6204" width="10.7109375" style="231"/>
    <col min="6205" max="6205" width="10.7109375" style="231" customWidth="1"/>
    <col min="6206" max="6206" width="10.7109375" style="231"/>
    <col min="6207" max="6207" width="10.7109375" style="231" customWidth="1"/>
    <col min="6208" max="6222" width="10.7109375" style="231"/>
    <col min="6223" max="6223" width="10.7109375" style="231" customWidth="1"/>
    <col min="6224" max="6225" width="10.7109375" style="231"/>
    <col min="6226" max="6228" width="10.7109375" style="231" customWidth="1"/>
    <col min="6229" max="6237" width="10.7109375" style="231"/>
    <col min="6238" max="6238" width="10.7109375" style="231" customWidth="1"/>
    <col min="6239" max="6239" width="10.7109375" style="231"/>
    <col min="6240" max="6240" width="10.7109375" style="231" customWidth="1"/>
    <col min="6241" max="6241" width="10.7109375" style="231"/>
    <col min="6242" max="6243" width="10.7109375" style="231" customWidth="1"/>
    <col min="6244" max="6246" width="10.7109375" style="231"/>
    <col min="6247" max="6250" width="10.7109375" style="231" customWidth="1"/>
    <col min="6251" max="6251" width="10.7109375" style="231"/>
    <col min="6252" max="6252" width="10.7109375" style="231" customWidth="1"/>
    <col min="6253" max="6253" width="10.7109375" style="231"/>
    <col min="6254" max="6255" width="10.7109375" style="231" customWidth="1"/>
    <col min="6256" max="6256" width="10.7109375" style="231"/>
    <col min="6257" max="6268" width="10.7109375" style="231" customWidth="1"/>
    <col min="6269" max="6270" width="10.7109375" style="231"/>
    <col min="6271" max="6271" width="10.7109375" style="231" customWidth="1"/>
    <col min="6272" max="6274" width="10.7109375" style="231"/>
    <col min="6275" max="6275" width="10.7109375" style="231" customWidth="1"/>
    <col min="6276" max="6278" width="10.7109375" style="231"/>
    <col min="6279" max="6282" width="10.7109375" style="231" customWidth="1"/>
    <col min="6283" max="6283" width="10.7109375" style="231"/>
    <col min="6284" max="6289" width="10.7109375" style="231" customWidth="1"/>
    <col min="6290" max="6290" width="10.7109375" style="231"/>
    <col min="6291" max="6317" width="10.7109375" style="231" customWidth="1"/>
    <col min="6318" max="6318" width="10.7109375" style="231"/>
    <col min="6319" max="6324" width="10.7109375" style="231" customWidth="1"/>
    <col min="6325" max="6325" width="10.7109375" style="231"/>
    <col min="6326" max="6326" width="10.7109375" style="231" customWidth="1"/>
    <col min="6327" max="6327" width="10.7109375" style="231"/>
    <col min="6328" max="6481" width="10.7109375" style="231" customWidth="1"/>
    <col min="6482" max="6482" width="10.7109375" style="231"/>
    <col min="6483" max="6509" width="10.7109375" style="231" customWidth="1"/>
    <col min="6510" max="6510" width="10.7109375" style="231"/>
    <col min="6511" max="6519" width="10.7109375" style="231" customWidth="1"/>
    <col min="6520" max="6520" width="10.7109375" style="231"/>
    <col min="6521" max="6524" width="10.7109375" style="231" customWidth="1"/>
    <col min="6525" max="6528" width="10.7109375" style="231"/>
    <col min="6529" max="6530" width="10.7109375" style="231" customWidth="1"/>
    <col min="6531" max="6531" width="10.7109375" style="231"/>
    <col min="6532" max="6532" width="10.7109375" style="231" customWidth="1"/>
    <col min="6533" max="6533" width="10.7109375" style="231"/>
    <col min="6534" max="6539" width="10.7109375" style="231" customWidth="1"/>
    <col min="6540" max="6540" width="10.7109375" style="231"/>
    <col min="6541" max="6550" width="10.7109375" style="231" customWidth="1"/>
    <col min="6551" max="6551" width="10.7109375" style="231"/>
    <col min="6552" max="6553" width="10.7109375" style="231" customWidth="1"/>
    <col min="6554" max="6554" width="10.7109375" style="231"/>
    <col min="6555" max="6556" width="10.7109375" style="231" customWidth="1"/>
    <col min="6557" max="6560" width="10.7109375" style="231"/>
    <col min="6561" max="6562" width="10.7109375" style="231" customWidth="1"/>
    <col min="6563" max="6563" width="10.7109375" style="231"/>
    <col min="6564" max="6564" width="10.7109375" style="231" customWidth="1"/>
    <col min="6565" max="6565" width="10.7109375" style="231"/>
    <col min="6566" max="6571" width="10.7109375" style="231" customWidth="1"/>
    <col min="6572" max="6572" width="10.7109375" style="231"/>
    <col min="6573" max="6576" width="10.7109375" style="231" customWidth="1"/>
    <col min="6577" max="6579" width="10.7109375" style="231"/>
    <col min="6580" max="6612" width="10.7109375" style="231" customWidth="1"/>
    <col min="6613" max="6613" width="10.7109375" style="231"/>
    <col min="6614" max="6614" width="10.7109375" style="231" customWidth="1"/>
    <col min="6615" max="6615" width="10.7109375" style="231"/>
    <col min="6616" max="6617" width="10.7109375" style="231" customWidth="1"/>
    <col min="6618" max="6618" width="10.7109375" style="231"/>
    <col min="6619" max="6620" width="10.7109375" style="231" customWidth="1"/>
    <col min="6621" max="6624" width="10.7109375" style="231"/>
    <col min="6625" max="6626" width="10.7109375" style="231" customWidth="1"/>
    <col min="6627" max="6627" width="10.7109375" style="231"/>
    <col min="6628" max="6628" width="10.7109375" style="231" customWidth="1"/>
    <col min="6629" max="6629" width="10.7109375" style="231"/>
    <col min="6630" max="6635" width="10.7109375" style="231" customWidth="1"/>
    <col min="6636" max="6636" width="10.7109375" style="231"/>
    <col min="6637" max="6640" width="10.7109375" style="231" customWidth="1"/>
    <col min="6641" max="6641" width="10.7109375" style="231"/>
    <col min="6642" max="6642" width="10.7109375" style="231" customWidth="1"/>
    <col min="6643" max="6643" width="10.7109375" style="231"/>
    <col min="6644" max="6648" width="10.7109375" style="231" customWidth="1"/>
    <col min="6649" max="6653" width="10.7109375" style="231"/>
    <col min="6654" max="6654" width="10.7109375" style="231" customWidth="1"/>
    <col min="6655" max="6655" width="10.7109375" style="231"/>
    <col min="6656" max="6656" width="10.7109375" style="231" customWidth="1"/>
    <col min="6657" max="6657" width="10.7109375" style="231"/>
    <col min="6658" max="6659" width="10.7109375" style="231" customWidth="1"/>
    <col min="6660" max="6662" width="10.7109375" style="231"/>
    <col min="6663" max="6666" width="10.7109375" style="231" customWidth="1"/>
    <col min="6667" max="6667" width="10.7109375" style="231"/>
    <col min="6668" max="6668" width="10.7109375" style="231" customWidth="1"/>
    <col min="6669" max="6669" width="10.7109375" style="231"/>
    <col min="6670" max="6671" width="10.7109375" style="231" customWidth="1"/>
    <col min="6672" max="6672" width="10.7109375" style="231"/>
    <col min="6673" max="6673" width="10.7109375" style="231" customWidth="1"/>
    <col min="6674" max="6675" width="10.7109375" style="231"/>
    <col min="6676" max="6707" width="10.7109375" style="231" customWidth="1"/>
    <col min="6708" max="6710" width="10.7109375" style="231"/>
    <col min="6711" max="6716" width="10.7109375" style="231" customWidth="1"/>
    <col min="6717" max="6717" width="10.7109375" style="231"/>
    <col min="6718" max="6718" width="10.7109375" style="231" customWidth="1"/>
    <col min="6719" max="6721" width="10.7109375" style="231"/>
    <col min="6722" max="6722" width="10.7109375" style="231" customWidth="1"/>
    <col min="6723" max="6723" width="10.7109375" style="231"/>
    <col min="6724" max="6724" width="10.7109375" style="231" customWidth="1"/>
    <col min="6725" max="6725" width="10.7109375" style="231"/>
    <col min="6726" max="6726" width="10.7109375" style="231" customWidth="1"/>
    <col min="6727" max="6727" width="10.7109375" style="231"/>
    <col min="6728" max="6733" width="10.7109375" style="231" customWidth="1"/>
    <col min="6734" max="6734" width="10.7109375" style="231"/>
    <col min="6735" max="6735" width="10.7109375" style="231" customWidth="1"/>
    <col min="6736" max="6736" width="10.7109375" style="231"/>
    <col min="6737" max="6743" width="10.7109375" style="231" customWidth="1"/>
    <col min="6744" max="6744" width="10.7109375" style="231"/>
    <col min="6745" max="6748" width="10.7109375" style="231" customWidth="1"/>
    <col min="6749" max="6752" width="10.7109375" style="231"/>
    <col min="6753" max="6754" width="10.7109375" style="231" customWidth="1"/>
    <col min="6755" max="6755" width="10.7109375" style="231"/>
    <col min="6756" max="6756" width="10.7109375" style="231" customWidth="1"/>
    <col min="6757" max="6757" width="10.7109375" style="231"/>
    <col min="6758" max="6763" width="10.7109375" style="231" customWidth="1"/>
    <col min="6764" max="6764" width="10.7109375" style="231"/>
    <col min="6765" max="6771" width="10.7109375" style="231" customWidth="1"/>
    <col min="6772" max="6775" width="10.7109375" style="231"/>
    <col min="6776" max="6776" width="10.7109375" style="231" customWidth="1"/>
    <col min="6777" max="6781" width="10.7109375" style="231"/>
    <col min="6782" max="6782" width="10.7109375" style="231" customWidth="1"/>
    <col min="6783" max="6783" width="10.7109375" style="231"/>
    <col min="6784" max="6788" width="10.7109375" style="231" customWidth="1"/>
    <col min="6789" max="6789" width="10.7109375" style="231"/>
    <col min="6790" max="6791" width="10.7109375" style="231" customWidth="1"/>
    <col min="6792" max="6792" width="10.7109375" style="231"/>
    <col min="6793" max="6797" width="10.7109375" style="231" customWidth="1"/>
    <col min="6798" max="6798" width="10.7109375" style="231"/>
    <col min="6799" max="6799" width="10.7109375" style="231" customWidth="1"/>
    <col min="6800" max="6800" width="10.7109375" style="231"/>
    <col min="6801" max="6805" width="10.7109375" style="231" customWidth="1"/>
    <col min="6806" max="6806" width="10.7109375" style="231"/>
    <col min="6807" max="6835" width="10.7109375" style="231" customWidth="1"/>
    <col min="6836" max="6837" width="10.7109375" style="231"/>
    <col min="6838" max="6839" width="10.7109375" style="231" customWidth="1"/>
    <col min="6840" max="6840" width="10.7109375" style="231"/>
    <col min="6841" max="6841" width="10.7109375" style="231" customWidth="1"/>
    <col min="6842" max="6844" width="10.7109375" style="231"/>
    <col min="6845" max="6845" width="10.7109375" style="231" customWidth="1"/>
    <col min="6846" max="6846" width="10.7109375" style="231"/>
    <col min="6847" max="6847" width="10.7109375" style="231" customWidth="1"/>
    <col min="6848" max="6862" width="10.7109375" style="231"/>
    <col min="6863" max="6863" width="10.7109375" style="231" customWidth="1"/>
    <col min="6864" max="6864" width="10.7109375" style="231"/>
    <col min="6865" max="6865" width="10.7109375" style="231" customWidth="1"/>
    <col min="6866" max="6866" width="10.7109375" style="231"/>
    <col min="6867" max="6867" width="10.7109375" style="231" customWidth="1"/>
    <col min="6868" max="6868" width="10.7109375" style="231"/>
    <col min="6869" max="6869" width="10.7109375" style="231" customWidth="1"/>
    <col min="6870" max="6871" width="10.7109375" style="231"/>
    <col min="6872" max="6872" width="10.7109375" style="231" customWidth="1"/>
    <col min="6873" max="6873" width="10.7109375" style="231"/>
    <col min="6874" max="6874" width="10.7109375" style="231" customWidth="1"/>
    <col min="6875" max="6875" width="10.7109375" style="231"/>
    <col min="6876" max="6876" width="10.7109375" style="231" customWidth="1"/>
    <col min="6877" max="6878" width="10.7109375" style="231"/>
    <col min="6879" max="6881" width="10.7109375" style="231" customWidth="1"/>
    <col min="6882" max="6882" width="10.7109375" style="231"/>
    <col min="6883" max="6886" width="10.7109375" style="231" customWidth="1"/>
    <col min="6887" max="6890" width="10.7109375" style="231"/>
    <col min="6891" max="6891" width="10.7109375" style="231" customWidth="1"/>
    <col min="6892" max="6893" width="10.7109375" style="231"/>
    <col min="6894" max="6895" width="10.7109375" style="231" customWidth="1"/>
    <col min="6896" max="6896" width="10.7109375" style="231"/>
    <col min="6897" max="6903" width="10.7109375" style="231" customWidth="1"/>
    <col min="6904" max="6907" width="10.7109375" style="231"/>
    <col min="6908" max="6908" width="10.7109375" style="231" customWidth="1"/>
    <col min="6909" max="6911" width="10.7109375" style="231"/>
    <col min="6912" max="6912" width="10.7109375" style="231" customWidth="1"/>
    <col min="6913" max="6913" width="10.7109375" style="231"/>
    <col min="6914" max="6916" width="10.7109375" style="231" customWidth="1"/>
    <col min="6917" max="6917" width="10.7109375" style="231"/>
    <col min="6918" max="6918" width="10.7109375" style="231" customWidth="1"/>
    <col min="6919" max="6919" width="10.7109375" style="231"/>
    <col min="6920" max="6922" width="10.7109375" style="231" customWidth="1"/>
    <col min="6923" max="6923" width="10.7109375" style="231"/>
    <col min="6924" max="6936" width="10.7109375" style="231" customWidth="1"/>
    <col min="6937" max="6940" width="10.7109375" style="231"/>
    <col min="6941" max="6942" width="10.7109375" style="231" customWidth="1"/>
    <col min="6943" max="6943" width="10.7109375" style="231"/>
    <col min="6944" max="6944" width="10.7109375" style="231" customWidth="1"/>
    <col min="6945" max="6945" width="10.7109375" style="231"/>
    <col min="6946" max="6947" width="10.7109375" style="231" customWidth="1"/>
    <col min="6948" max="6949" width="10.7109375" style="231"/>
    <col min="6950" max="6951" width="10.7109375" style="231" customWidth="1"/>
    <col min="6952" max="6953" width="10.7109375" style="231"/>
    <col min="6954" max="6954" width="10.7109375" style="231" customWidth="1"/>
    <col min="6955" max="6956" width="10.7109375" style="231"/>
    <col min="6957" max="6968" width="10.7109375" style="231" customWidth="1"/>
    <col min="6969" max="6972" width="10.7109375" style="231"/>
    <col min="6973" max="6974" width="10.7109375" style="231" customWidth="1"/>
    <col min="6975" max="6975" width="10.7109375" style="231"/>
    <col min="6976" max="6976" width="10.7109375" style="231" customWidth="1"/>
    <col min="6977" max="6977" width="10.7109375" style="231"/>
    <col min="6978" max="6979" width="10.7109375" style="231" customWidth="1"/>
    <col min="6980" max="6981" width="10.7109375" style="231"/>
    <col min="6982" max="6983" width="10.7109375" style="231" customWidth="1"/>
    <col min="6984" max="6985" width="10.7109375" style="231"/>
    <col min="6986" max="6986" width="10.7109375" style="231" customWidth="1"/>
    <col min="6987" max="6988" width="10.7109375" style="231"/>
    <col min="6989" max="6994" width="10.7109375" style="231" customWidth="1"/>
    <col min="6995" max="6995" width="10.7109375" style="231"/>
    <col min="6996" max="6998" width="10.7109375" style="231" customWidth="1"/>
    <col min="6999" max="7003" width="10.7109375" style="231"/>
    <col min="7004" max="7005" width="10.7109375" style="231" customWidth="1"/>
    <col min="7006" max="7007" width="10.7109375" style="231"/>
    <col min="7008" max="7009" width="10.7109375" style="231" customWidth="1"/>
    <col min="7010" max="7012" width="10.7109375" style="231"/>
    <col min="7013" max="7013" width="10.7109375" style="231" customWidth="1"/>
    <col min="7014" max="7014" width="10.7109375" style="231"/>
    <col min="7015" max="7015" width="10.7109375" style="231" customWidth="1"/>
    <col min="7016" max="7018" width="10.7109375" style="231"/>
    <col min="7019" max="7020" width="10.7109375" style="231" customWidth="1"/>
    <col min="7021" max="7021" width="10.7109375" style="231"/>
    <col min="7022" max="7023" width="10.7109375" style="231" customWidth="1"/>
    <col min="7024" max="7026" width="10.7109375" style="231"/>
    <col min="7027" max="7032" width="10.7109375" style="231" customWidth="1"/>
    <col min="7033" max="7036" width="10.7109375" style="231"/>
    <col min="7037" max="7038" width="10.7109375" style="231" customWidth="1"/>
    <col min="7039" max="7039" width="10.7109375" style="231"/>
    <col min="7040" max="7040" width="10.7109375" style="231" customWidth="1"/>
    <col min="7041" max="7041" width="10.7109375" style="231"/>
    <col min="7042" max="7043" width="10.7109375" style="231" customWidth="1"/>
    <col min="7044" max="7045" width="10.7109375" style="231"/>
    <col min="7046" max="7047" width="10.7109375" style="231" customWidth="1"/>
    <col min="7048" max="7049" width="10.7109375" style="231"/>
    <col min="7050" max="7050" width="10.7109375" style="231" customWidth="1"/>
    <col min="7051" max="7052" width="10.7109375" style="231"/>
    <col min="7053" max="7065" width="10.7109375" style="231" customWidth="1"/>
    <col min="7066" max="7068" width="10.7109375" style="231"/>
    <col min="7069" max="7070" width="10.7109375" style="231" customWidth="1"/>
    <col min="7071" max="7071" width="10.7109375" style="231"/>
    <col min="7072" max="7072" width="10.7109375" style="231" customWidth="1"/>
    <col min="7073" max="7073" width="10.7109375" style="231"/>
    <col min="7074" max="7075" width="10.7109375" style="231" customWidth="1"/>
    <col min="7076" max="7077" width="10.7109375" style="231"/>
    <col min="7078" max="7079" width="10.7109375" style="231" customWidth="1"/>
    <col min="7080" max="7081" width="10.7109375" style="231"/>
    <col min="7082" max="7082" width="10.7109375" style="231" customWidth="1"/>
    <col min="7083" max="7084" width="10.7109375" style="231"/>
    <col min="7085" max="7096" width="10.7109375" style="231" customWidth="1"/>
    <col min="7097" max="7100" width="10.7109375" style="231"/>
    <col min="7101" max="7102" width="10.7109375" style="231" customWidth="1"/>
    <col min="7103" max="7103" width="10.7109375" style="231"/>
    <col min="7104" max="7104" width="10.7109375" style="231" customWidth="1"/>
    <col min="7105" max="7105" width="10.7109375" style="231"/>
    <col min="7106" max="7107" width="10.7109375" style="231" customWidth="1"/>
    <col min="7108" max="7109" width="10.7109375" style="231"/>
    <col min="7110" max="7111" width="10.7109375" style="231" customWidth="1"/>
    <col min="7112" max="7113" width="10.7109375" style="231"/>
    <col min="7114" max="7114" width="10.7109375" style="231" customWidth="1"/>
    <col min="7115" max="7116" width="10.7109375" style="231"/>
    <col min="7117" max="7128" width="10.7109375" style="231" customWidth="1"/>
    <col min="7129" max="7132" width="10.7109375" style="231"/>
    <col min="7133" max="7134" width="10.7109375" style="231" customWidth="1"/>
    <col min="7135" max="7135" width="10.7109375" style="231"/>
    <col min="7136" max="7136" width="10.7109375" style="231" customWidth="1"/>
    <col min="7137" max="7137" width="10.7109375" style="231"/>
    <col min="7138" max="7139" width="10.7109375" style="231" customWidth="1"/>
    <col min="7140" max="7141" width="10.7109375" style="231"/>
    <col min="7142" max="7143" width="10.7109375" style="231" customWidth="1"/>
    <col min="7144" max="7145" width="10.7109375" style="231"/>
    <col min="7146" max="7146" width="10.7109375" style="231" customWidth="1"/>
    <col min="7147" max="7148" width="10.7109375" style="231"/>
    <col min="7149" max="7159" width="10.7109375" style="231" customWidth="1"/>
    <col min="7160" max="7160" width="10.7109375" style="231"/>
    <col min="7161" max="7164" width="10.7109375" style="231" customWidth="1"/>
    <col min="7165" max="7166" width="10.7109375" style="231"/>
    <col min="7167" max="7167" width="10.7109375" style="231" customWidth="1"/>
    <col min="7168" max="7170" width="10.7109375" style="231"/>
    <col min="7171" max="7171" width="10.7109375" style="231" customWidth="1"/>
    <col min="7172" max="7174" width="10.7109375" style="231"/>
    <col min="7175" max="7178" width="10.7109375" style="231" customWidth="1"/>
    <col min="7179" max="7179" width="10.7109375" style="231"/>
    <col min="7180" max="7192" width="10.7109375" style="231" customWidth="1"/>
    <col min="7193" max="7194" width="10.7109375" style="231"/>
    <col min="7195" max="7198" width="10.7109375" style="231" customWidth="1"/>
    <col min="7199" max="7201" width="10.7109375" style="231"/>
    <col min="7202" max="7202" width="10.7109375" style="231" customWidth="1"/>
    <col min="7203" max="7204" width="10.7109375" style="231"/>
    <col min="7205" max="7205" width="10.7109375" style="231" customWidth="1"/>
    <col min="7206" max="7208" width="10.7109375" style="231"/>
    <col min="7209" max="7209" width="10.7109375" style="231" customWidth="1"/>
    <col min="7210" max="7211" width="10.7109375" style="231"/>
    <col min="7212" max="7226" width="10.7109375" style="231" customWidth="1"/>
    <col min="7227" max="7227" width="10.7109375" style="231"/>
    <col min="7228" max="7230" width="10.7109375" style="231" customWidth="1"/>
    <col min="7231" max="7233" width="10.7109375" style="231"/>
    <col min="7234" max="7234" width="10.7109375" style="231" customWidth="1"/>
    <col min="7235" max="7236" width="10.7109375" style="231"/>
    <col min="7237" max="7237" width="10.7109375" style="231" customWidth="1"/>
    <col min="7238" max="7240" width="10.7109375" style="231"/>
    <col min="7241" max="7241" width="10.7109375" style="231" customWidth="1"/>
    <col min="7242" max="7243" width="10.7109375" style="231"/>
    <col min="7244" max="7257" width="10.7109375" style="231" customWidth="1"/>
    <col min="7258" max="7258" width="10.7109375" style="231"/>
    <col min="7259" max="7260" width="10.7109375" style="231" customWidth="1"/>
    <col min="7261" max="7264" width="10.7109375" style="231"/>
    <col min="7265" max="7266" width="10.7109375" style="231" customWidth="1"/>
    <col min="7267" max="7267" width="10.7109375" style="231"/>
    <col min="7268" max="7268" width="10.7109375" style="231" customWidth="1"/>
    <col min="7269" max="7269" width="10.7109375" style="231"/>
    <col min="7270" max="7275" width="10.7109375" style="231" customWidth="1"/>
    <col min="7276" max="7276" width="10.7109375" style="231"/>
    <col min="7277" max="7283" width="10.7109375" style="231" customWidth="1"/>
    <col min="7284" max="7284" width="10.7109375" style="231"/>
    <col min="7285" max="7298" width="10.7109375" style="231" customWidth="1"/>
    <col min="7299" max="7301" width="10.7109375" style="231"/>
    <col min="7302" max="7306" width="10.7109375" style="231" customWidth="1"/>
    <col min="7307" max="7307" width="10.7109375" style="231"/>
    <col min="7308" max="7320" width="10.7109375" style="231" customWidth="1"/>
    <col min="7321" max="7321" width="10.7109375" style="231"/>
    <col min="7322" max="7322" width="10.7109375" style="231" customWidth="1"/>
    <col min="7323" max="7323" width="10.7109375" style="231"/>
    <col min="7324" max="7328" width="10.7109375" style="231" customWidth="1"/>
    <col min="7329" max="7329" width="10.7109375" style="231"/>
    <col min="7330" max="7330" width="10.7109375" style="231" customWidth="1"/>
    <col min="7331" max="7333" width="10.7109375" style="231"/>
    <col min="7334" max="7338" width="10.7109375" style="231" customWidth="1"/>
    <col min="7339" max="7339" width="10.7109375" style="231"/>
    <col min="7340" max="7347" width="10.7109375" style="231" customWidth="1"/>
    <col min="7348" max="7349" width="10.7109375" style="231"/>
    <col min="7350" max="7351" width="10.7109375" style="231" customWidth="1"/>
    <col min="7352" max="7352" width="10.7109375" style="231"/>
    <col min="7353" max="7353" width="10.7109375" style="231" customWidth="1"/>
    <col min="7354" max="7354" width="10.7109375" style="231"/>
    <col min="7355" max="7355" width="10.7109375" style="231" customWidth="1"/>
    <col min="7356" max="7356" width="10.7109375" style="231"/>
    <col min="7357" max="7357" width="10.7109375" style="231" customWidth="1"/>
    <col min="7358" max="7358" width="10.7109375" style="231"/>
    <col min="7359" max="7359" width="10.7109375" style="231" customWidth="1"/>
    <col min="7360" max="7374" width="10.7109375" style="231"/>
    <col min="7375" max="7375" width="10.7109375" style="231" customWidth="1"/>
    <col min="7376" max="7377" width="10.7109375" style="231"/>
    <col min="7378" max="7378" width="10.7109375" style="231" customWidth="1"/>
    <col min="7379" max="7379" width="10.7109375" style="231"/>
    <col min="7380" max="7380" width="10.7109375" style="231" customWidth="1"/>
    <col min="7381" max="7381" width="10.7109375" style="231"/>
    <col min="7382" max="7382" width="10.7109375" style="231" customWidth="1"/>
    <col min="7383" max="7385" width="10.7109375" style="231"/>
    <col min="7386" max="7386" width="10.7109375" style="231" customWidth="1"/>
    <col min="7387" max="7387" width="10.7109375" style="231"/>
    <col min="7388" max="7388" width="10.7109375" style="231" customWidth="1"/>
    <col min="7389" max="7389" width="10.7109375" style="231"/>
    <col min="7390" max="7390" width="10.7109375" style="231" customWidth="1"/>
    <col min="7391" max="7391" width="10.7109375" style="231"/>
    <col min="7392" max="7392" width="10.7109375" style="231" customWidth="1"/>
    <col min="7393" max="7395" width="10.7109375" style="231"/>
    <col min="7396" max="7397" width="10.7109375" style="231" customWidth="1"/>
    <col min="7398" max="7398" width="10.7109375" style="231"/>
    <col min="7399" max="7401" width="10.7109375" style="231" customWidth="1"/>
    <col min="7402" max="7402" width="10.7109375" style="231"/>
    <col min="7403" max="7403" width="10.7109375" style="231" customWidth="1"/>
    <col min="7404" max="7405" width="10.7109375" style="231"/>
    <col min="7406" max="7407" width="10.7109375" style="231" customWidth="1"/>
    <col min="7408" max="7409" width="10.7109375" style="231"/>
    <col min="7410" max="7452" width="10.7109375" style="231" customWidth="1"/>
    <col min="7453" max="7453" width="10.7109375" style="231"/>
    <col min="7454" max="7454" width="10.7109375" style="231" customWidth="1"/>
    <col min="7455" max="7456" width="10.7109375" style="231"/>
    <col min="7457" max="7458" width="10.7109375" style="231" customWidth="1"/>
    <col min="7459" max="7461" width="10.7109375" style="231"/>
    <col min="7462" max="7466" width="10.7109375" style="231" customWidth="1"/>
    <col min="7467" max="7467" width="10.7109375" style="231"/>
    <col min="7468" max="7480" width="10.7109375" style="231" customWidth="1"/>
    <col min="7481" max="7481" width="10.7109375" style="231"/>
    <col min="7482" max="7482" width="10.7109375" style="231" customWidth="1"/>
    <col min="7483" max="7483" width="10.7109375" style="231"/>
    <col min="7484" max="7488" width="10.7109375" style="231" customWidth="1"/>
    <col min="7489" max="7489" width="10.7109375" style="231"/>
    <col min="7490" max="7490" width="10.7109375" style="231" customWidth="1"/>
    <col min="7491" max="7493" width="10.7109375" style="231"/>
    <col min="7494" max="7498" width="10.7109375" style="231" customWidth="1"/>
    <col min="7499" max="7499" width="10.7109375" style="231"/>
    <col min="7500" max="7508" width="10.7109375" style="231" customWidth="1"/>
    <col min="7509" max="7510" width="10.7109375" style="231"/>
    <col min="7511" max="7514" width="10.7109375" style="231" customWidth="1"/>
    <col min="7515" max="7516" width="10.7109375" style="231"/>
    <col min="7517" max="7517" width="10.7109375" style="231" customWidth="1"/>
    <col min="7518" max="7519" width="10.7109375" style="231"/>
    <col min="7520" max="7521" width="10.7109375" style="231" customWidth="1"/>
    <col min="7522" max="7522" width="10.7109375" style="231"/>
    <col min="7523" max="7524" width="10.7109375" style="231" customWidth="1"/>
    <col min="7525" max="7525" width="10.7109375" style="231"/>
    <col min="7526" max="7529" width="10.7109375" style="231" customWidth="1"/>
    <col min="7530" max="7530" width="10.7109375" style="231"/>
    <col min="7531" max="7532" width="10.7109375" style="231" customWidth="1"/>
    <col min="7533" max="7533" width="10.7109375" style="231"/>
    <col min="7534" max="7544" width="10.7109375" style="231" customWidth="1"/>
    <col min="7545" max="7545" width="10.7109375" style="231"/>
    <col min="7546" max="7546" width="10.7109375" style="231" customWidth="1"/>
    <col min="7547" max="7547" width="10.7109375" style="231"/>
    <col min="7548" max="7552" width="10.7109375" style="231" customWidth="1"/>
    <col min="7553" max="7553" width="10.7109375" style="231"/>
    <col min="7554" max="7554" width="10.7109375" style="231" customWidth="1"/>
    <col min="7555" max="7557" width="10.7109375" style="231"/>
    <col min="7558" max="7562" width="10.7109375" style="231" customWidth="1"/>
    <col min="7563" max="7563" width="10.7109375" style="231"/>
    <col min="7564" max="7572" width="10.7109375" style="231" customWidth="1"/>
    <col min="7573" max="7573" width="10.7109375" style="231"/>
    <col min="7574" max="7605" width="10.7109375" style="231" customWidth="1"/>
    <col min="7606" max="7606" width="10.7109375" style="231"/>
    <col min="7607" max="7608" width="10.7109375" style="231" customWidth="1"/>
    <col min="7609" max="7611" width="10.7109375" style="231"/>
    <col min="7612" max="7612" width="10.7109375" style="231" customWidth="1"/>
    <col min="7613" max="7615" width="10.7109375" style="231"/>
    <col min="7616" max="7624" width="10.7109375" style="231" customWidth="1"/>
    <col min="7625" max="7625" width="10.7109375" style="231"/>
    <col min="7626" max="7626" width="10.7109375" style="231" customWidth="1"/>
    <col min="7627" max="7627" width="10.7109375" style="231"/>
    <col min="7628" max="7628" width="10.7109375" style="231" customWidth="1"/>
    <col min="7629" max="7629" width="10.7109375" style="231"/>
    <col min="7630" max="7636" width="10.7109375" style="231" customWidth="1"/>
    <col min="7637" max="7637" width="10.7109375" style="231"/>
    <col min="7638" max="7638" width="10.7109375" style="231" customWidth="1"/>
    <col min="7639" max="7640" width="10.7109375" style="231"/>
    <col min="7641" max="7641" width="10.7109375" style="231" customWidth="1"/>
    <col min="7642" max="7642" width="10.7109375" style="231"/>
    <col min="7643" max="7645" width="10.7109375" style="231" customWidth="1"/>
    <col min="7646" max="7648" width="10.7109375" style="231"/>
    <col min="7649" max="7649" width="10.7109375" style="231" customWidth="1"/>
    <col min="7650" max="7654" width="10.7109375" style="231"/>
    <col min="7655" max="7656" width="10.7109375" style="231" customWidth="1"/>
    <col min="7657" max="7657" width="10.7109375" style="231"/>
    <col min="7658" max="7660" width="10.7109375" style="231" customWidth="1"/>
    <col min="7661" max="7661" width="10.7109375" style="231"/>
    <col min="7662" max="7676" width="10.7109375" style="231" customWidth="1"/>
    <col min="7677" max="7677" width="10.7109375" style="231"/>
    <col min="7678" max="7678" width="10.7109375" style="231" customWidth="1"/>
    <col min="7679" max="7680" width="10.7109375" style="231"/>
    <col min="7681" max="7682" width="10.7109375" style="231" customWidth="1"/>
    <col min="7683" max="7685" width="10.7109375" style="231"/>
    <col min="7686" max="7690" width="10.7109375" style="231" customWidth="1"/>
    <col min="7691" max="7691" width="10.7109375" style="231"/>
    <col min="7692" max="7696" width="10.7109375" style="231" customWidth="1"/>
    <col min="7697" max="7699" width="10.7109375" style="231"/>
    <col min="7700" max="7728" width="10.7109375" style="231" customWidth="1"/>
    <col min="7729" max="7731" width="10.7109375" style="231"/>
    <col min="7732" max="7772" width="10.7109375" style="231" customWidth="1"/>
    <col min="7773" max="7773" width="10.7109375" style="231"/>
    <col min="7774" max="7774" width="10.7109375" style="231" customWidth="1"/>
    <col min="7775" max="7776" width="10.7109375" style="231"/>
    <col min="7777" max="7778" width="10.7109375" style="231" customWidth="1"/>
    <col min="7779" max="7781" width="10.7109375" style="231"/>
    <col min="7782" max="7786" width="10.7109375" style="231" customWidth="1"/>
    <col min="7787" max="7787" width="10.7109375" style="231"/>
    <col min="7788" max="7832" width="10.7109375" style="231" customWidth="1"/>
    <col min="7833" max="7833" width="10.7109375" style="231"/>
    <col min="7834" max="7834" width="10.7109375" style="231" customWidth="1"/>
    <col min="7835" max="7835" width="10.7109375" style="231"/>
    <col min="7836" max="7840" width="10.7109375" style="231" customWidth="1"/>
    <col min="7841" max="7841" width="10.7109375" style="231"/>
    <col min="7842" max="7842" width="10.7109375" style="231" customWidth="1"/>
    <col min="7843" max="7845" width="10.7109375" style="231"/>
    <col min="7846" max="7850" width="10.7109375" style="231" customWidth="1"/>
    <col min="7851" max="7851" width="10.7109375" style="231"/>
    <col min="7852" max="7859" width="10.7109375" style="231" customWidth="1"/>
    <col min="7860" max="7860" width="10.7109375" style="231"/>
    <col min="7861" max="7861" width="10.7109375" style="231" customWidth="1"/>
    <col min="7862" max="7862" width="10.7109375" style="231"/>
    <col min="7863" max="7864" width="10.7109375" style="231" customWidth="1"/>
    <col min="7865" max="7866" width="10.7109375" style="231"/>
    <col min="7867" max="7867" width="10.7109375" style="231" customWidth="1"/>
    <col min="7868" max="7868" width="10.7109375" style="231"/>
    <col min="7869" max="7869" width="10.7109375" style="231" customWidth="1"/>
    <col min="7870" max="7870" width="10.7109375" style="231"/>
    <col min="7871" max="7871" width="10.7109375" style="231" customWidth="1"/>
    <col min="7872" max="7886" width="10.7109375" style="231"/>
    <col min="7887" max="7887" width="10.7109375" style="231" customWidth="1"/>
    <col min="7888" max="7890" width="10.7109375" style="231"/>
    <col min="7891" max="7891" width="10.7109375" style="231" customWidth="1"/>
    <col min="7892" max="7892" width="10.7109375" style="231"/>
    <col min="7893" max="7894" width="10.7109375" style="231" customWidth="1"/>
    <col min="7895" max="7899" width="10.7109375" style="231"/>
    <col min="7900" max="7902" width="10.7109375" style="231" customWidth="1"/>
    <col min="7903" max="7903" width="10.7109375" style="231"/>
    <col min="7904" max="7904" width="10.7109375" style="231" customWidth="1"/>
    <col min="7905" max="7907" width="10.7109375" style="231"/>
    <col min="7908" max="7909" width="10.7109375" style="231" customWidth="1"/>
    <col min="7910" max="7910" width="10.7109375" style="231"/>
    <col min="7911" max="7913" width="10.7109375" style="231" customWidth="1"/>
    <col min="7914" max="7914" width="10.7109375" style="231"/>
    <col min="7915" max="7915" width="10.7109375" style="231" customWidth="1"/>
    <col min="7916" max="7917" width="10.7109375" style="231"/>
    <col min="7918" max="7919" width="10.7109375" style="231" customWidth="1"/>
    <col min="7920" max="7920" width="10.7109375" style="231"/>
    <col min="7921" max="7928" width="10.7109375" style="231" customWidth="1"/>
    <col min="7929" max="7929" width="10.7109375" style="231"/>
    <col min="7930" max="7930" width="10.7109375" style="231" customWidth="1"/>
    <col min="7931" max="7931" width="10.7109375" style="231"/>
    <col min="7932" max="7936" width="10.7109375" style="231" customWidth="1"/>
    <col min="7937" max="7937" width="10.7109375" style="231"/>
    <col min="7938" max="7938" width="10.7109375" style="231" customWidth="1"/>
    <col min="7939" max="7941" width="10.7109375" style="231"/>
    <col min="7942" max="7946" width="10.7109375" style="231" customWidth="1"/>
    <col min="7947" max="7947" width="10.7109375" style="231"/>
    <col min="7948" max="7952" width="10.7109375" style="231" customWidth="1"/>
    <col min="7953" max="7955" width="10.7109375" style="231"/>
    <col min="7956" max="7971" width="10.7109375" style="231" customWidth="1"/>
    <col min="7972" max="7973" width="10.7109375" style="231"/>
    <col min="7974" max="7974" width="10.7109375" style="231" customWidth="1"/>
    <col min="7975" max="7977" width="10.7109375" style="231"/>
    <col min="7978" max="7980" width="10.7109375" style="231" customWidth="1"/>
    <col min="7981" max="7981" width="10.7109375" style="231"/>
    <col min="7982" max="7984" width="10.7109375" style="231" customWidth="1"/>
    <col min="7985" max="7987" width="10.7109375" style="231"/>
    <col min="7988" max="8028" width="10.7109375" style="231" customWidth="1"/>
    <col min="8029" max="8029" width="10.7109375" style="231"/>
    <col min="8030" max="8030" width="10.7109375" style="231" customWidth="1"/>
    <col min="8031" max="8032" width="10.7109375" style="231"/>
    <col min="8033" max="8034" width="10.7109375" style="231" customWidth="1"/>
    <col min="8035" max="8037" width="10.7109375" style="231"/>
    <col min="8038" max="8042" width="10.7109375" style="231" customWidth="1"/>
    <col min="8043" max="8043" width="10.7109375" style="231"/>
    <col min="8044" max="8088" width="10.7109375" style="231" customWidth="1"/>
    <col min="8089" max="8089" width="10.7109375" style="231"/>
    <col min="8090" max="8090" width="10.7109375" style="231" customWidth="1"/>
    <col min="8091" max="8091" width="10.7109375" style="231"/>
    <col min="8092" max="8096" width="10.7109375" style="231" customWidth="1"/>
    <col min="8097" max="8097" width="10.7109375" style="231"/>
    <col min="8098" max="8098" width="10.7109375" style="231" customWidth="1"/>
    <col min="8099" max="8101" width="10.7109375" style="231"/>
    <col min="8102" max="8106" width="10.7109375" style="231" customWidth="1"/>
    <col min="8107" max="8107" width="10.7109375" style="231"/>
    <col min="8108" max="8115" width="10.7109375" style="231" customWidth="1"/>
    <col min="8116" max="8116" width="10.7109375" style="231"/>
    <col min="8117" max="8118" width="10.7109375" style="231" customWidth="1"/>
    <col min="8119" max="8119" width="10.7109375" style="231"/>
    <col min="8120" max="8120" width="10.7109375" style="231" customWidth="1"/>
    <col min="8121" max="8122" width="10.7109375" style="231"/>
    <col min="8123" max="8123" width="10.7109375" style="231" customWidth="1"/>
    <col min="8124" max="8124" width="10.7109375" style="231"/>
    <col min="8125" max="8125" width="10.7109375" style="231" customWidth="1"/>
    <col min="8126" max="8126" width="10.7109375" style="231"/>
    <col min="8127" max="8127" width="10.7109375" style="231" customWidth="1"/>
    <col min="8128" max="8142" width="10.7109375" style="231"/>
    <col min="8143" max="8143" width="10.7109375" style="231" customWidth="1"/>
    <col min="8144" max="8146" width="10.7109375" style="231"/>
    <col min="8147" max="8147" width="10.7109375" style="231" customWidth="1"/>
    <col min="8148" max="8148" width="10.7109375" style="231"/>
    <col min="8149" max="8150" width="10.7109375" style="231" customWidth="1"/>
    <col min="8151" max="8155" width="10.7109375" style="231"/>
    <col min="8156" max="8158" width="10.7109375" style="231" customWidth="1"/>
    <col min="8159" max="8159" width="10.7109375" style="231"/>
    <col min="8160" max="8160" width="10.7109375" style="231" customWidth="1"/>
    <col min="8161" max="8163" width="10.7109375" style="231"/>
    <col min="8164" max="8165" width="10.7109375" style="231" customWidth="1"/>
    <col min="8166" max="8166" width="10.7109375" style="231"/>
    <col min="8167" max="8169" width="10.7109375" style="231" customWidth="1"/>
    <col min="8170" max="8170" width="10.7109375" style="231"/>
    <col min="8171" max="8171" width="10.7109375" style="231" customWidth="1"/>
    <col min="8172" max="8173" width="10.7109375" style="231"/>
    <col min="8174" max="8175" width="10.7109375" style="231" customWidth="1"/>
    <col min="8176" max="8176" width="10.7109375" style="231"/>
    <col min="8177" max="8184" width="10.7109375" style="231" customWidth="1"/>
    <col min="8185" max="8185" width="10.7109375" style="231"/>
    <col min="8186" max="8186" width="10.7109375" style="231" customWidth="1"/>
    <col min="8187" max="8187" width="10.7109375" style="231"/>
    <col min="8188" max="8192" width="10.7109375" style="231" customWidth="1"/>
    <col min="8193" max="8193" width="10.7109375" style="231"/>
    <col min="8194" max="8194" width="10.7109375" style="231" customWidth="1"/>
    <col min="8195" max="8197" width="10.7109375" style="231"/>
    <col min="8198" max="8202" width="10.7109375" style="231" customWidth="1"/>
    <col min="8203" max="8203" width="10.7109375" style="231"/>
    <col min="8204" max="8212" width="10.7109375" style="231" customWidth="1"/>
    <col min="8213" max="8216" width="10.7109375" style="231"/>
    <col min="8217" max="8217" width="10.7109375" style="231" customWidth="1"/>
    <col min="8218" max="8218" width="10.7109375" style="231"/>
    <col min="8219" max="8219" width="10.7109375" style="231" customWidth="1"/>
    <col min="8220" max="8220" width="10.7109375" style="231"/>
    <col min="8221" max="8221" width="10.7109375" style="231" customWidth="1"/>
    <col min="8222" max="8222" width="10.7109375" style="231"/>
    <col min="8223" max="8223" width="10.7109375" style="231" customWidth="1"/>
    <col min="8224" max="8238" width="10.7109375" style="231"/>
    <col min="8239" max="8239" width="10.7109375" style="231" customWidth="1"/>
    <col min="8240" max="8240" width="10.7109375" style="231"/>
    <col min="8241" max="8275" width="10.7109375" style="231" customWidth="1"/>
    <col min="8276" max="8280" width="10.7109375" style="231"/>
    <col min="8281" max="8281" width="10.7109375" style="231" customWidth="1"/>
    <col min="8282" max="8282" width="10.7109375" style="231"/>
    <col min="8283" max="8283" width="10.7109375" style="231" customWidth="1"/>
    <col min="8284" max="8284" width="10.7109375" style="231"/>
    <col min="8285" max="8285" width="10.7109375" style="231" customWidth="1"/>
    <col min="8286" max="8286" width="10.7109375" style="231"/>
    <col min="8287" max="8287" width="10.7109375" style="231" customWidth="1"/>
    <col min="8288" max="8302" width="10.7109375" style="231"/>
    <col min="8303" max="8303" width="10.7109375" style="231" customWidth="1"/>
    <col min="8304" max="8304" width="10.7109375" style="231"/>
    <col min="8305" max="8306" width="10.7109375" style="231" customWidth="1"/>
    <col min="8307" max="8307" width="10.7109375" style="231"/>
    <col min="8308" max="8308" width="10.7109375" style="231" customWidth="1"/>
    <col min="8309" max="8312" width="10.7109375" style="231"/>
    <col min="8313" max="8313" width="10.7109375" style="231" customWidth="1"/>
    <col min="8314" max="8314" width="10.7109375" style="231"/>
    <col min="8315" max="8315" width="10.7109375" style="231" customWidth="1"/>
    <col min="8316" max="8316" width="10.7109375" style="231"/>
    <col min="8317" max="8317" width="10.7109375" style="231" customWidth="1"/>
    <col min="8318" max="8318" width="10.7109375" style="231"/>
    <col min="8319" max="8319" width="10.7109375" style="231" customWidth="1"/>
    <col min="8320" max="8334" width="10.7109375" style="231"/>
    <col min="8335" max="8335" width="10.7109375" style="231" customWidth="1"/>
    <col min="8336" max="8336" width="10.7109375" style="231"/>
    <col min="8337" max="8376" width="10.7109375" style="231" customWidth="1"/>
    <col min="8377" max="8377" width="10.7109375" style="231"/>
    <col min="8378" max="8378" width="10.7109375" style="231" customWidth="1"/>
    <col min="8379" max="8379" width="10.7109375" style="231"/>
    <col min="8380" max="8384" width="10.7109375" style="231" customWidth="1"/>
    <col min="8385" max="8385" width="10.7109375" style="231"/>
    <col min="8386" max="8386" width="10.7109375" style="231" customWidth="1"/>
    <col min="8387" max="8389" width="10.7109375" style="231"/>
    <col min="8390" max="8394" width="10.7109375" style="231" customWidth="1"/>
    <col min="8395" max="8395" width="10.7109375" style="231"/>
    <col min="8396" max="8435" width="10.7109375" style="231" customWidth="1"/>
    <col min="8436" max="8439" width="10.7109375" style="231"/>
    <col min="8440" max="8444" width="10.7109375" style="231" customWidth="1"/>
    <col min="8445" max="8446" width="10.7109375" style="231"/>
    <col min="8447" max="8447" width="10.7109375" style="231" customWidth="1"/>
    <col min="8448" max="8450" width="10.7109375" style="231"/>
    <col min="8451" max="8451" width="10.7109375" style="231" customWidth="1"/>
    <col min="8452" max="8454" width="10.7109375" style="231"/>
    <col min="8455" max="8458" width="10.7109375" style="231" customWidth="1"/>
    <col min="8459" max="8459" width="10.7109375" style="231"/>
    <col min="8460" max="8496" width="10.7109375" style="231" customWidth="1"/>
    <col min="8497" max="8497" width="10.7109375" style="231"/>
    <col min="8498" max="8499" width="10.7109375" style="231" customWidth="1"/>
    <col min="8500" max="8506" width="10.7109375" style="231"/>
    <col min="8507" max="8510" width="10.7109375" style="231" customWidth="1"/>
    <col min="8511" max="8511" width="10.7109375" style="231"/>
    <col min="8512" max="8512" width="10.7109375" style="231" customWidth="1"/>
    <col min="8513" max="8515" width="10.7109375" style="231"/>
    <col min="8516" max="8517" width="10.7109375" style="231" customWidth="1"/>
    <col min="8518" max="8518" width="10.7109375" style="231"/>
    <col min="8519" max="8521" width="10.7109375" style="231" customWidth="1"/>
    <col min="8522" max="8522" width="10.7109375" style="231"/>
    <col min="8523" max="8523" width="10.7109375" style="231" customWidth="1"/>
    <col min="8524" max="8525" width="10.7109375" style="231"/>
    <col min="8526" max="8527" width="10.7109375" style="231" customWidth="1"/>
    <col min="8528" max="8528" width="10.7109375" style="231"/>
    <col min="8529" max="8529" width="10.7109375" style="231" customWidth="1"/>
    <col min="8530" max="8530" width="10.7109375" style="231"/>
    <col min="8531" max="8538" width="10.7109375" style="231" customWidth="1"/>
    <col min="8539" max="8539" width="10.7109375" style="231"/>
    <col min="8540" max="8541" width="10.7109375" style="231" customWidth="1"/>
    <col min="8542" max="8543" width="10.7109375" style="231"/>
    <col min="8544" max="8544" width="10.7109375" style="231" customWidth="1"/>
    <col min="8545" max="8545" width="10.7109375" style="231"/>
    <col min="8546" max="8547" width="10.7109375" style="231" customWidth="1"/>
    <col min="8548" max="8550" width="10.7109375" style="231"/>
    <col min="8551" max="8554" width="10.7109375" style="231" customWidth="1"/>
    <col min="8555" max="8555" width="10.7109375" style="231"/>
    <col min="8556" max="8556" width="10.7109375" style="231" customWidth="1"/>
    <col min="8557" max="8557" width="10.7109375" style="231"/>
    <col min="8558" max="8559" width="10.7109375" style="231" customWidth="1"/>
    <col min="8560" max="8560" width="10.7109375" style="231"/>
    <col min="8561" max="8599" width="10.7109375" style="231" customWidth="1"/>
    <col min="8600" max="8600" width="10.7109375" style="231"/>
    <col min="8601" max="8632" width="10.7109375" style="231" customWidth="1"/>
    <col min="8633" max="8633" width="10.7109375" style="231"/>
    <col min="8634" max="8634" width="10.7109375" style="231" customWidth="1"/>
    <col min="8635" max="8635" width="10.7109375" style="231"/>
    <col min="8636" max="8640" width="10.7109375" style="231" customWidth="1"/>
    <col min="8641" max="8641" width="10.7109375" style="231"/>
    <col min="8642" max="8642" width="10.7109375" style="231" customWidth="1"/>
    <col min="8643" max="8645" width="10.7109375" style="231"/>
    <col min="8646" max="8650" width="10.7109375" style="231" customWidth="1"/>
    <col min="8651" max="8651" width="10.7109375" style="231"/>
    <col min="8652" max="8668" width="10.7109375" style="231" customWidth="1"/>
    <col min="8669" max="8669" width="10.7109375" style="231"/>
    <col min="8670" max="8670" width="10.7109375" style="231" customWidth="1"/>
    <col min="8671" max="8672" width="10.7109375" style="231"/>
    <col min="8673" max="8674" width="10.7109375" style="231" customWidth="1"/>
    <col min="8675" max="8677" width="10.7109375" style="231"/>
    <col min="8678" max="8682" width="10.7109375" style="231" customWidth="1"/>
    <col min="8683" max="8683" width="10.7109375" style="231"/>
    <col min="8684" max="8692" width="10.7109375" style="231" customWidth="1"/>
    <col min="8693" max="8693" width="10.7109375" style="231"/>
    <col min="8694" max="8694" width="10.7109375" style="231" customWidth="1"/>
    <col min="8695" max="8695" width="10.7109375" style="231"/>
    <col min="8696" max="8696" width="10.7109375" style="231" customWidth="1"/>
    <col min="8697" max="8697" width="10.7109375" style="231"/>
    <col min="8698" max="8700" width="10.7109375" style="231" customWidth="1"/>
    <col min="8701" max="8702" width="10.7109375" style="231"/>
    <col min="8703" max="8703" width="10.7109375" style="231" customWidth="1"/>
    <col min="8704" max="8718" width="10.7109375" style="231"/>
    <col min="8719" max="8719" width="10.7109375" style="231" customWidth="1"/>
    <col min="8720" max="8720" width="10.7109375" style="231"/>
    <col min="8721" max="8723" width="10.7109375" style="231" customWidth="1"/>
    <col min="8724" max="8724" width="10.7109375" style="231"/>
    <col min="8725" max="8760" width="10.7109375" style="231" customWidth="1"/>
    <col min="8761" max="8761" width="10.7109375" style="231"/>
    <col min="8762" max="8762" width="10.7109375" style="231" customWidth="1"/>
    <col min="8763" max="8763" width="10.7109375" style="231"/>
    <col min="8764" max="8768" width="10.7109375" style="231" customWidth="1"/>
    <col min="8769" max="8769" width="10.7109375" style="231"/>
    <col min="8770" max="8770" width="10.7109375" style="231" customWidth="1"/>
    <col min="8771" max="8773" width="10.7109375" style="231"/>
    <col min="8774" max="8778" width="10.7109375" style="231" customWidth="1"/>
    <col min="8779" max="8779" width="10.7109375" style="231"/>
    <col min="8780" max="8801" width="10.7109375" style="231" customWidth="1"/>
    <col min="8802" max="8803" width="10.7109375" style="231"/>
    <col min="8804" max="8804" width="10.7109375" style="231" customWidth="1"/>
    <col min="8805" max="8808" width="10.7109375" style="231"/>
    <col min="8809" max="8812" width="10.7109375" style="231" customWidth="1"/>
    <col min="8813" max="8813" width="10.7109375" style="231"/>
    <col min="8814" max="8815" width="10.7109375" style="231" customWidth="1"/>
    <col min="8816" max="8816" width="10.7109375" style="231"/>
    <col min="8817" max="8855" width="10.7109375" style="231" customWidth="1"/>
    <col min="8856" max="8856" width="10.7109375" style="231"/>
    <col min="8857" max="8888" width="10.7109375" style="231" customWidth="1"/>
    <col min="8889" max="8889" width="10.7109375" style="231"/>
    <col min="8890" max="8890" width="10.7109375" style="231" customWidth="1"/>
    <col min="8891" max="8891" width="10.7109375" style="231"/>
    <col min="8892" max="8896" width="10.7109375" style="231" customWidth="1"/>
    <col min="8897" max="8897" width="10.7109375" style="231"/>
    <col min="8898" max="8898" width="10.7109375" style="231" customWidth="1"/>
    <col min="8899" max="8901" width="10.7109375" style="231"/>
    <col min="8902" max="8906" width="10.7109375" style="231" customWidth="1"/>
    <col min="8907" max="8907" width="10.7109375" style="231"/>
    <col min="8908" max="8924" width="10.7109375" style="231" customWidth="1"/>
    <col min="8925" max="8925" width="10.7109375" style="231"/>
    <col min="8926" max="8926" width="10.7109375" style="231" customWidth="1"/>
    <col min="8927" max="8928" width="10.7109375" style="231"/>
    <col min="8929" max="8930" width="10.7109375" style="231" customWidth="1"/>
    <col min="8931" max="8933" width="10.7109375" style="231"/>
    <col min="8934" max="8938" width="10.7109375" style="231" customWidth="1"/>
    <col min="8939" max="8939" width="10.7109375" style="231"/>
    <col min="8940" max="8944" width="10.7109375" style="231" customWidth="1"/>
    <col min="8945" max="8948" width="10.7109375" style="231"/>
    <col min="8949" max="8950" width="10.7109375" style="231" customWidth="1"/>
    <col min="8951" max="8951" width="10.7109375" style="231"/>
    <col min="8952" max="8952" width="10.7109375" style="231" customWidth="1"/>
    <col min="8953" max="8954" width="10.7109375" style="231"/>
    <col min="8955" max="8958" width="10.7109375" style="231" customWidth="1"/>
    <col min="8959" max="8959" width="10.7109375" style="231"/>
    <col min="8960" max="8960" width="10.7109375" style="231" customWidth="1"/>
    <col min="8961" max="8963" width="10.7109375" style="231"/>
    <col min="8964" max="8965" width="10.7109375" style="231" customWidth="1"/>
    <col min="8966" max="8966" width="10.7109375" style="231"/>
    <col min="8967" max="8969" width="10.7109375" style="231" customWidth="1"/>
    <col min="8970" max="8970" width="10.7109375" style="231"/>
    <col min="8971" max="8971" width="10.7109375" style="231" customWidth="1"/>
    <col min="8972" max="8973" width="10.7109375" style="231"/>
    <col min="8974" max="8975" width="10.7109375" style="231" customWidth="1"/>
    <col min="8976" max="8976" width="10.7109375" style="231"/>
    <col min="8977" max="8983" width="10.7109375" style="231" customWidth="1"/>
    <col min="8984" max="8984" width="10.7109375" style="231"/>
    <col min="8985" max="9011" width="10.7109375" style="231" customWidth="1"/>
    <col min="9012" max="9014" width="10.7109375" style="231"/>
    <col min="9015" max="9016" width="10.7109375" style="231" customWidth="1"/>
    <col min="9017" max="9018" width="10.7109375" style="231"/>
    <col min="9019" max="9019" width="10.7109375" style="231" customWidth="1"/>
    <col min="9020" max="9020" width="10.7109375" style="231"/>
    <col min="9021" max="9021" width="10.7109375" style="231" customWidth="1"/>
    <col min="9022" max="9022" width="10.7109375" style="231"/>
    <col min="9023" max="9023" width="10.7109375" style="231" customWidth="1"/>
    <col min="9024" max="9038" width="10.7109375" style="231"/>
    <col min="9039" max="9039" width="10.7109375" style="231" customWidth="1"/>
    <col min="9040" max="9041" width="10.7109375" style="231"/>
    <col min="9042" max="9045" width="10.7109375" style="231" customWidth="1"/>
    <col min="9046" max="9050" width="10.7109375" style="231"/>
    <col min="9051" max="9054" width="10.7109375" style="231" customWidth="1"/>
    <col min="9055" max="9055" width="10.7109375" style="231"/>
    <col min="9056" max="9056" width="10.7109375" style="231" customWidth="1"/>
    <col min="9057" max="9059" width="10.7109375" style="231"/>
    <col min="9060" max="9061" width="10.7109375" style="231" customWidth="1"/>
    <col min="9062" max="9062" width="10.7109375" style="231"/>
    <col min="9063" max="9065" width="10.7109375" style="231" customWidth="1"/>
    <col min="9066" max="9066" width="10.7109375" style="231"/>
    <col min="9067" max="9067" width="10.7109375" style="231" customWidth="1"/>
    <col min="9068" max="9069" width="10.7109375" style="231"/>
    <col min="9070" max="9071" width="10.7109375" style="231" customWidth="1"/>
    <col min="9072" max="9072" width="10.7109375" style="231"/>
    <col min="9073" max="9104" width="10.7109375" style="231" customWidth="1"/>
    <col min="9105" max="9105" width="10.7109375" style="231"/>
    <col min="9106" max="9106" width="10.7109375" style="231" customWidth="1"/>
    <col min="9107" max="9136" width="10.7109375" style="231"/>
    <col min="9137" max="9139" width="10.7109375" style="231" customWidth="1"/>
    <col min="9140" max="9140" width="10.7109375" style="231"/>
    <col min="9141" max="9141" width="10.7109375" style="231" customWidth="1"/>
    <col min="9142" max="9143" width="10.7109375" style="231"/>
    <col min="9144" max="9144" width="10.7109375" style="231" customWidth="1"/>
    <col min="9145" max="9146" width="10.7109375" style="231"/>
    <col min="9147" max="9147" width="10.7109375" style="231" customWidth="1"/>
    <col min="9148" max="9148" width="10.7109375" style="231"/>
    <col min="9149" max="9149" width="10.7109375" style="231" customWidth="1"/>
    <col min="9150" max="9150" width="10.7109375" style="231"/>
    <col min="9151" max="9151" width="10.7109375" style="231" customWidth="1"/>
    <col min="9152" max="9166" width="10.7109375" style="231"/>
    <col min="9167" max="9167" width="10.7109375" style="231" customWidth="1"/>
    <col min="9168" max="9168" width="10.7109375" style="231"/>
    <col min="9169" max="9170" width="10.7109375" style="231" customWidth="1"/>
    <col min="9171" max="9172" width="10.7109375" style="231"/>
    <col min="9173" max="9175" width="10.7109375" style="231" customWidth="1"/>
    <col min="9176" max="9178" width="10.7109375" style="231"/>
    <col min="9179" max="9182" width="10.7109375" style="231" customWidth="1"/>
    <col min="9183" max="9183" width="10.7109375" style="231"/>
    <col min="9184" max="9184" width="10.7109375" style="231" customWidth="1"/>
    <col min="9185" max="9187" width="10.7109375" style="231"/>
    <col min="9188" max="9189" width="10.7109375" style="231" customWidth="1"/>
    <col min="9190" max="9190" width="10.7109375" style="231"/>
    <col min="9191" max="9193" width="10.7109375" style="231" customWidth="1"/>
    <col min="9194" max="9194" width="10.7109375" style="231"/>
    <col min="9195" max="9195" width="10.7109375" style="231" customWidth="1"/>
    <col min="9196" max="9197" width="10.7109375" style="231"/>
    <col min="9198" max="9199" width="10.7109375" style="231" customWidth="1"/>
    <col min="9200" max="9200" width="10.7109375" style="231"/>
    <col min="9201" max="9212" width="10.7109375" style="231" customWidth="1"/>
    <col min="9213" max="9213" width="10.7109375" style="231"/>
    <col min="9214" max="9214" width="10.7109375" style="231" customWidth="1"/>
    <col min="9215" max="9216" width="10.7109375" style="231"/>
    <col min="9217" max="9218" width="10.7109375" style="231" customWidth="1"/>
    <col min="9219" max="9221" width="10.7109375" style="231"/>
    <col min="9222" max="9226" width="10.7109375" style="231" customWidth="1"/>
    <col min="9227" max="9227" width="10.7109375" style="231"/>
    <col min="9228" max="9239" width="10.7109375" style="231" customWidth="1"/>
    <col min="9240" max="9240" width="10.7109375" style="231"/>
    <col min="9241" max="9265" width="10.7109375" style="231" customWidth="1"/>
    <col min="9266" max="9269" width="10.7109375" style="231"/>
    <col min="9270" max="9271" width="10.7109375" style="231" customWidth="1"/>
    <col min="9272" max="9273" width="10.7109375" style="231"/>
    <col min="9274" max="9274" width="10.7109375" style="231" customWidth="1"/>
    <col min="9275" max="9277" width="10.7109375" style="231"/>
    <col min="9278" max="9279" width="10.7109375" style="231" customWidth="1"/>
    <col min="9280" max="9280" width="10.7109375" style="231"/>
    <col min="9281" max="9281" width="10.7109375" style="231" customWidth="1"/>
    <col min="9282" max="9282" width="10.7109375" style="231"/>
    <col min="9283" max="9283" width="10.7109375" style="231" customWidth="1"/>
    <col min="9284" max="9288" width="10.7109375" style="231"/>
    <col min="9289" max="9292" width="10.7109375" style="231" customWidth="1"/>
    <col min="9293" max="9293" width="10.7109375" style="231"/>
    <col min="9294" max="9295" width="10.7109375" style="231" customWidth="1"/>
    <col min="9296" max="9297" width="10.7109375" style="231"/>
    <col min="9298" max="9301" width="10.7109375" style="231" customWidth="1"/>
    <col min="9302" max="9306" width="10.7109375" style="231"/>
    <col min="9307" max="9310" width="10.7109375" style="231" customWidth="1"/>
    <col min="9311" max="9311" width="10.7109375" style="231"/>
    <col min="9312" max="9312" width="10.7109375" style="231" customWidth="1"/>
    <col min="9313" max="9315" width="10.7109375" style="231"/>
    <col min="9316" max="9317" width="10.7109375" style="231" customWidth="1"/>
    <col min="9318" max="9318" width="10.7109375" style="231"/>
    <col min="9319" max="9321" width="10.7109375" style="231" customWidth="1"/>
    <col min="9322" max="9322" width="10.7109375" style="231"/>
    <col min="9323" max="9323" width="10.7109375" style="231" customWidth="1"/>
    <col min="9324" max="9325" width="10.7109375" style="231"/>
    <col min="9326" max="9327" width="10.7109375" style="231" customWidth="1"/>
    <col min="9328" max="9328" width="10.7109375" style="231"/>
    <col min="9329" max="9360" width="10.7109375" style="231" customWidth="1"/>
    <col min="9361" max="9361" width="10.7109375" style="231"/>
    <col min="9362" max="9362" width="10.7109375" style="231" customWidth="1"/>
    <col min="9363" max="9392" width="10.7109375" style="231"/>
    <col min="9393" max="9395" width="10.7109375" style="231" customWidth="1"/>
    <col min="9396" max="9396" width="10.7109375" style="231"/>
    <col min="9397" max="9399" width="10.7109375" style="231" customWidth="1"/>
    <col min="9400" max="9402" width="10.7109375" style="231"/>
    <col min="9403" max="9403" width="10.7109375" style="231" customWidth="1"/>
    <col min="9404" max="9404" width="10.7109375" style="231"/>
    <col min="9405" max="9405" width="10.7109375" style="231" customWidth="1"/>
    <col min="9406" max="9406" width="10.7109375" style="231"/>
    <col min="9407" max="9407" width="10.7109375" style="231" customWidth="1"/>
    <col min="9408" max="9422" width="10.7109375" style="231"/>
    <col min="9423" max="9423" width="10.7109375" style="231" customWidth="1"/>
    <col min="9424" max="9424" width="10.7109375" style="231"/>
    <col min="9425" max="9431" width="10.7109375" style="231" customWidth="1"/>
    <col min="9432" max="9432" width="10.7109375" style="231"/>
    <col min="9433" max="9457" width="10.7109375" style="231" customWidth="1"/>
    <col min="9458" max="9461" width="10.7109375" style="231"/>
    <col min="9462" max="9463" width="10.7109375" style="231" customWidth="1"/>
    <col min="9464" max="9464" width="10.7109375" style="231"/>
    <col min="9465" max="9465" width="10.7109375" style="231" customWidth="1"/>
    <col min="9466" max="9468" width="10.7109375" style="231"/>
    <col min="9469" max="9471" width="10.7109375" style="231" customWidth="1"/>
    <col min="9472" max="9472" width="10.7109375" style="231"/>
    <col min="9473" max="9478" width="10.7109375" style="231" customWidth="1"/>
    <col min="9479" max="9482" width="10.7109375" style="231"/>
    <col min="9483" max="9483" width="10.7109375" style="231" customWidth="1"/>
    <col min="9484" max="9485" width="10.7109375" style="231"/>
    <col min="9486" max="9487" width="10.7109375" style="231" customWidth="1"/>
    <col min="9488" max="9488" width="10.7109375" style="231"/>
    <col min="9489" max="9489" width="10.7109375" style="231" customWidth="1"/>
    <col min="9490" max="9490" width="10.7109375" style="231"/>
    <col min="9491" max="9523" width="10.7109375" style="231" customWidth="1"/>
    <col min="9524" max="9527" width="10.7109375" style="231"/>
    <col min="9528" max="9528" width="10.7109375" style="231" customWidth="1"/>
    <col min="9529" max="9530" width="10.7109375" style="231"/>
    <col min="9531" max="9531" width="10.7109375" style="231" customWidth="1"/>
    <col min="9532" max="9532" width="10.7109375" style="231"/>
    <col min="9533" max="9533" width="10.7109375" style="231" customWidth="1"/>
    <col min="9534" max="9534" width="10.7109375" style="231"/>
    <col min="9535" max="9535" width="10.7109375" style="231" customWidth="1"/>
    <col min="9536" max="9550" width="10.7109375" style="231"/>
    <col min="9551" max="9551" width="10.7109375" style="231" customWidth="1"/>
    <col min="9552" max="9552" width="10.7109375" style="231"/>
    <col min="9553" max="9555" width="10.7109375" style="231" customWidth="1"/>
    <col min="9556" max="9559" width="10.7109375" style="231"/>
    <col min="9560" max="9560" width="10.7109375" style="231" customWidth="1"/>
    <col min="9561" max="9564" width="10.7109375" style="231"/>
    <col min="9565" max="9567" width="10.7109375" style="231" customWidth="1"/>
    <col min="9568" max="9568" width="10.7109375" style="231"/>
    <col min="9569" max="9574" width="10.7109375" style="231" customWidth="1"/>
    <col min="9575" max="9578" width="10.7109375" style="231"/>
    <col min="9579" max="9579" width="10.7109375" style="231" customWidth="1"/>
    <col min="9580" max="9581" width="10.7109375" style="231"/>
    <col min="9582" max="9583" width="10.7109375" style="231" customWidth="1"/>
    <col min="9584" max="9584" width="10.7109375" style="231"/>
    <col min="9585" max="9596" width="10.7109375" style="231" customWidth="1"/>
    <col min="9597" max="9597" width="10.7109375" style="231"/>
    <col min="9598" max="9598" width="10.7109375" style="231" customWidth="1"/>
    <col min="9599" max="9600" width="10.7109375" style="231"/>
    <col min="9601" max="9602" width="10.7109375" style="231" customWidth="1"/>
    <col min="9603" max="9605" width="10.7109375" style="231"/>
    <col min="9606" max="9610" width="10.7109375" style="231" customWidth="1"/>
    <col min="9611" max="9611" width="10.7109375" style="231"/>
    <col min="9612" max="9623" width="10.7109375" style="231" customWidth="1"/>
    <col min="9624" max="9624" width="10.7109375" style="231"/>
    <col min="9625" max="9651" width="10.7109375" style="231" customWidth="1"/>
    <col min="9652" max="9652" width="10.7109375" style="231"/>
    <col min="9653" max="9653" width="10.7109375" style="231" customWidth="1"/>
    <col min="9654" max="9654" width="10.7109375" style="231"/>
    <col min="9655" max="9655" width="10.7109375" style="231" customWidth="1"/>
    <col min="9656" max="9658" width="10.7109375" style="231"/>
    <col min="9659" max="9659" width="10.7109375" style="231" customWidth="1"/>
    <col min="9660" max="9660" width="10.7109375" style="231"/>
    <col min="9661" max="9661" width="10.7109375" style="231" customWidth="1"/>
    <col min="9662" max="9662" width="10.7109375" style="231"/>
    <col min="9663" max="9663" width="10.7109375" style="231" customWidth="1"/>
    <col min="9664" max="9678" width="10.7109375" style="231"/>
    <col min="9679" max="9679" width="10.7109375" style="231" customWidth="1"/>
    <col min="9680" max="9680" width="10.7109375" style="231"/>
    <col min="9681" max="9681" width="10.7109375" style="231" customWidth="1"/>
    <col min="9682" max="9683" width="10.7109375" style="231"/>
    <col min="9684" max="9684" width="10.7109375" style="231" customWidth="1"/>
    <col min="9685" max="9685" width="10.7109375" style="231"/>
    <col min="9686" max="9688" width="10.7109375" style="231" customWidth="1"/>
    <col min="9689" max="9692" width="10.7109375" style="231"/>
    <col min="9693" max="9695" width="10.7109375" style="231" customWidth="1"/>
    <col min="9696" max="9696" width="10.7109375" style="231"/>
    <col min="9697" max="9702" width="10.7109375" style="231" customWidth="1"/>
    <col min="9703" max="9706" width="10.7109375" style="231"/>
    <col min="9707" max="9707" width="10.7109375" style="231" customWidth="1"/>
    <col min="9708" max="9709" width="10.7109375" style="231"/>
    <col min="9710" max="9711" width="10.7109375" style="231" customWidth="1"/>
    <col min="9712" max="9712" width="10.7109375" style="231"/>
    <col min="9713" max="9719" width="10.7109375" style="231" customWidth="1"/>
    <col min="9720" max="9720" width="10.7109375" style="231"/>
    <col min="9721" max="9788" width="10.7109375" style="231" customWidth="1"/>
    <col min="9789" max="9789" width="10.7109375" style="231"/>
    <col min="9790" max="9790" width="10.7109375" style="231" customWidth="1"/>
    <col min="9791" max="9792" width="10.7109375" style="231"/>
    <col min="9793" max="9794" width="10.7109375" style="231" customWidth="1"/>
    <col min="9795" max="9797" width="10.7109375" style="231"/>
    <col min="9798" max="9802" width="10.7109375" style="231" customWidth="1"/>
    <col min="9803" max="9803" width="10.7109375" style="231"/>
    <col min="9804" max="9808" width="10.7109375" style="231" customWidth="1"/>
    <col min="9809" max="9812" width="10.7109375" style="231"/>
    <col min="9813" max="9814" width="10.7109375" style="231" customWidth="1"/>
    <col min="9815" max="9815" width="10.7109375" style="231"/>
    <col min="9816" max="9819" width="10.7109375" style="231" customWidth="1"/>
    <col min="9820" max="9820" width="10.7109375" style="231"/>
    <col min="9821" max="9821" width="10.7109375" style="231" customWidth="1"/>
    <col min="9822" max="9822" width="10.7109375" style="231"/>
    <col min="9823" max="9823" width="10.7109375" style="231" customWidth="1"/>
    <col min="9824" max="9827" width="10.7109375" style="231"/>
    <col min="9828" max="9829" width="10.7109375" style="231" customWidth="1"/>
    <col min="9830" max="9830" width="10.7109375" style="231"/>
    <col min="9831" max="9833" width="10.7109375" style="231" customWidth="1"/>
    <col min="9834" max="9834" width="10.7109375" style="231"/>
    <col min="9835" max="9835" width="10.7109375" style="231" customWidth="1"/>
    <col min="9836" max="9837" width="10.7109375" style="231"/>
    <col min="9838" max="9839" width="10.7109375" style="231" customWidth="1"/>
    <col min="9840" max="9840" width="10.7109375" style="231"/>
    <col min="9841" max="9852" width="10.7109375" style="231" customWidth="1"/>
    <col min="9853" max="9853" width="10.7109375" style="231"/>
    <col min="9854" max="9854" width="10.7109375" style="231" customWidth="1"/>
    <col min="9855" max="9856" width="10.7109375" style="231"/>
    <col min="9857" max="9858" width="10.7109375" style="231" customWidth="1"/>
    <col min="9859" max="9861" width="10.7109375" style="231"/>
    <col min="9862" max="9866" width="10.7109375" style="231" customWidth="1"/>
    <col min="9867" max="9867" width="10.7109375" style="231"/>
    <col min="9868" max="9875" width="10.7109375" style="231" customWidth="1"/>
    <col min="9876" max="9879" width="10.7109375" style="231"/>
    <col min="9880" max="9906" width="10.7109375" style="231" customWidth="1"/>
    <col min="9907" max="9908" width="10.7109375" style="231"/>
    <col min="9909" max="9909" width="10.7109375" style="231" customWidth="1"/>
    <col min="9910" max="9912" width="10.7109375" style="231"/>
    <col min="9913" max="9914" width="10.7109375" style="231" customWidth="1"/>
    <col min="9915" max="9915" width="10.7109375" style="231"/>
    <col min="9916" max="9916" width="10.7109375" style="231" customWidth="1"/>
    <col min="9917" max="9918" width="10.7109375" style="231"/>
    <col min="9919" max="9919" width="10.7109375" style="231" customWidth="1"/>
    <col min="9920" max="9934" width="10.7109375" style="231"/>
    <col min="9935" max="9935" width="10.7109375" style="231" customWidth="1"/>
    <col min="9936" max="9936" width="10.7109375" style="231"/>
    <col min="9937" max="9943" width="10.7109375" style="231" customWidth="1"/>
    <col min="9944" max="9944" width="10.7109375" style="231"/>
    <col min="9945" max="9968" width="10.7109375" style="231" customWidth="1"/>
    <col min="9969" max="9970" width="10.7109375" style="231"/>
    <col min="9971" max="9972" width="10.7109375" style="231" customWidth="1"/>
    <col min="9973" max="9973" width="10.7109375" style="231"/>
    <col min="9974" max="9975" width="10.7109375" style="231" customWidth="1"/>
    <col min="9976" max="9976" width="10.7109375" style="231"/>
    <col min="9977" max="9977" width="10.7109375" style="231" customWidth="1"/>
    <col min="9978" max="9978" width="10.7109375" style="231"/>
    <col min="9979" max="9979" width="10.7109375" style="231" customWidth="1"/>
    <col min="9980" max="9983" width="10.7109375" style="231"/>
    <col min="9984" max="9984" width="10.7109375" style="231" customWidth="1"/>
    <col min="9985" max="9985" width="10.7109375" style="231"/>
    <col min="9986" max="9990" width="10.7109375" style="231" customWidth="1"/>
    <col min="9991" max="9994" width="10.7109375" style="231"/>
    <col min="9995" max="9995" width="10.7109375" style="231" customWidth="1"/>
    <col min="9996" max="9997" width="10.7109375" style="231"/>
    <col min="9998" max="9999" width="10.7109375" style="231" customWidth="1"/>
    <col min="10000" max="10000" width="10.7109375" style="231"/>
    <col min="10001" max="10007" width="10.7109375" style="231" customWidth="1"/>
    <col min="10008" max="10008" width="10.7109375" style="231"/>
    <col min="10009" max="10035" width="10.7109375" style="231" customWidth="1"/>
    <col min="10036" max="10036" width="10.7109375" style="231"/>
    <col min="10037" max="10038" width="10.7109375" style="231" customWidth="1"/>
    <col min="10039" max="10040" width="10.7109375" style="231"/>
    <col min="10041" max="10042" width="10.7109375" style="231" customWidth="1"/>
    <col min="10043" max="10044" width="10.7109375" style="231"/>
    <col min="10045" max="10045" width="10.7109375" style="231" customWidth="1"/>
    <col min="10046" max="10046" width="10.7109375" style="231"/>
    <col min="10047" max="10047" width="10.7109375" style="231" customWidth="1"/>
    <col min="10048" max="10062" width="10.7109375" style="231"/>
    <col min="10063" max="10063" width="10.7109375" style="231" customWidth="1"/>
    <col min="10064" max="10065" width="10.7109375" style="231"/>
    <col min="10066" max="10066" width="10.7109375" style="231" customWidth="1"/>
    <col min="10067" max="10067" width="10.7109375" style="231"/>
    <col min="10068" max="10068" width="10.7109375" style="231" customWidth="1"/>
    <col min="10069" max="10069" width="10.7109375" style="231"/>
    <col min="10070" max="10071" width="10.7109375" style="231" customWidth="1"/>
    <col min="10072" max="10079" width="10.7109375" style="231"/>
    <col min="10080" max="10080" width="10.7109375" style="231" customWidth="1"/>
    <col min="10081" max="10081" width="10.7109375" style="231"/>
    <col min="10082" max="10086" width="10.7109375" style="231" customWidth="1"/>
    <col min="10087" max="10090" width="10.7109375" style="231"/>
    <col min="10091" max="10091" width="10.7109375" style="231" customWidth="1"/>
    <col min="10092" max="10093" width="10.7109375" style="231"/>
    <col min="10094" max="10095" width="10.7109375" style="231" customWidth="1"/>
    <col min="10096" max="10096" width="10.7109375" style="231"/>
    <col min="10097" max="10102" width="10.7109375" style="231" customWidth="1"/>
    <col min="10103" max="10104" width="10.7109375" style="231"/>
    <col min="10105" max="10106" width="10.7109375" style="231" customWidth="1"/>
    <col min="10107" max="10109" width="10.7109375" style="231"/>
    <col min="10110" max="10110" width="10.7109375" style="231" customWidth="1"/>
    <col min="10111" max="10111" width="10.7109375" style="231"/>
    <col min="10112" max="10113" width="10.7109375" style="231" customWidth="1"/>
    <col min="10114" max="10115" width="10.7109375" style="231"/>
    <col min="10116" max="10116" width="10.7109375" style="231" customWidth="1"/>
    <col min="10117" max="10117" width="10.7109375" style="231"/>
    <col min="10118" max="10120" width="10.7109375" style="231" customWidth="1"/>
    <col min="10121" max="10121" width="10.7109375" style="231"/>
    <col min="10122" max="10125" width="10.7109375" style="231" customWidth="1"/>
    <col min="10126" max="10126" width="10.7109375" style="231"/>
    <col min="10127" max="10127" width="10.7109375" style="231" customWidth="1"/>
    <col min="10128" max="10128" width="10.7109375" style="231"/>
    <col min="10129" max="10135" width="10.7109375" style="231" customWidth="1"/>
    <col min="10136" max="10136" width="10.7109375" style="231"/>
    <col min="10137" max="10193" width="10.7109375" style="231" customWidth="1"/>
    <col min="10194" max="10198" width="10.7109375" style="231"/>
    <col min="10199" max="10199" width="10.7109375" style="231" customWidth="1"/>
    <col min="10200" max="10201" width="10.7109375" style="231"/>
    <col min="10202" max="10202" width="10.7109375" style="231" customWidth="1"/>
    <col min="10203" max="10205" width="10.7109375" style="231"/>
    <col min="10206" max="10207" width="10.7109375" style="231" customWidth="1"/>
    <col min="10208" max="10208" width="10.7109375" style="231"/>
    <col min="10209" max="10209" width="10.7109375" style="231" customWidth="1"/>
    <col min="10210" max="10210" width="10.7109375" style="231"/>
    <col min="10211" max="10211" width="10.7109375" style="231" customWidth="1"/>
    <col min="10212" max="10216" width="10.7109375" style="231"/>
    <col min="10217" max="10220" width="10.7109375" style="231" customWidth="1"/>
    <col min="10221" max="10221" width="10.7109375" style="231"/>
    <col min="10222" max="10223" width="10.7109375" style="231" customWidth="1"/>
    <col min="10224" max="10224" width="10.7109375" style="231"/>
    <col min="10225" max="10225" width="10.7109375" style="231" customWidth="1"/>
    <col min="10226" max="10229" width="10.7109375" style="231"/>
    <col min="10230" max="10231" width="10.7109375" style="231" customWidth="1"/>
    <col min="10232" max="10233" width="10.7109375" style="231"/>
    <col min="10234" max="10234" width="10.7109375" style="231" customWidth="1"/>
    <col min="10235" max="10237" width="10.7109375" style="231"/>
    <col min="10238" max="10239" width="10.7109375" style="231" customWidth="1"/>
    <col min="10240" max="10240" width="10.7109375" style="231"/>
    <col min="10241" max="10241" width="10.7109375" style="231" customWidth="1"/>
    <col min="10242" max="10242" width="10.7109375" style="231"/>
    <col min="10243" max="10243" width="10.7109375" style="231" customWidth="1"/>
    <col min="10244" max="10248" width="10.7109375" style="231"/>
    <col min="10249" max="10252" width="10.7109375" style="231" customWidth="1"/>
    <col min="10253" max="10253" width="10.7109375" style="231"/>
    <col min="10254" max="10255" width="10.7109375" style="231" customWidth="1"/>
    <col min="10256" max="10288" width="10.7109375" style="231"/>
    <col min="10289" max="10289" width="10.7109375" style="231" customWidth="1"/>
    <col min="10290" max="10292" width="10.7109375" style="231"/>
    <col min="10293" max="10294" width="10.7109375" style="231" customWidth="1"/>
    <col min="10295" max="10297" width="10.7109375" style="231"/>
    <col min="10298" max="10298" width="10.7109375" style="231" customWidth="1"/>
    <col min="10299" max="10301" width="10.7109375" style="231"/>
    <col min="10302" max="10303" width="10.7109375" style="231" customWidth="1"/>
    <col min="10304" max="10304" width="10.7109375" style="231"/>
    <col min="10305" max="10305" width="10.7109375" style="231" customWidth="1"/>
    <col min="10306" max="10306" width="10.7109375" style="231"/>
    <col min="10307" max="10307" width="10.7109375" style="231" customWidth="1"/>
    <col min="10308" max="10312" width="10.7109375" style="231"/>
    <col min="10313" max="10316" width="10.7109375" style="231" customWidth="1"/>
    <col min="10317" max="10317" width="10.7109375" style="231"/>
    <col min="10318" max="10319" width="10.7109375" style="231" customWidth="1"/>
    <col min="10320" max="10321" width="10.7109375" style="231"/>
    <col min="10322" max="10322" width="10.7109375" style="231" customWidth="1"/>
    <col min="10323" max="10352" width="10.7109375" style="231"/>
    <col min="10353" max="10384" width="10.7109375" style="231" customWidth="1"/>
    <col min="10385" max="10387" width="10.7109375" style="231"/>
    <col min="10388" max="10388" width="10.7109375" style="231" customWidth="1"/>
    <col min="10389" max="10392" width="10.7109375" style="231"/>
    <col min="10393" max="10394" width="10.7109375" style="231" customWidth="1"/>
    <col min="10395" max="10396" width="10.7109375" style="231"/>
    <col min="10397" max="10397" width="10.7109375" style="231" customWidth="1"/>
    <col min="10398" max="10401" width="10.7109375" style="231"/>
    <col min="10402" max="10402" width="10.7109375" style="231" customWidth="1"/>
    <col min="10403" max="10403" width="10.7109375" style="231"/>
    <col min="10404" max="10404" width="10.7109375" style="231" customWidth="1"/>
    <col min="10405" max="10408" width="10.7109375" style="231"/>
    <col min="10409" max="10412" width="10.7109375" style="231" customWidth="1"/>
    <col min="10413" max="10413" width="10.7109375" style="231"/>
    <col min="10414" max="10415" width="10.7109375" style="231" customWidth="1"/>
    <col min="10416" max="10416" width="10.7109375" style="231"/>
    <col min="10417" max="10417" width="10.7109375" style="231" customWidth="1"/>
    <col min="10418" max="10420" width="10.7109375" style="231"/>
    <col min="10421" max="10421" width="10.7109375" style="231" customWidth="1"/>
    <col min="10422" max="10424" width="10.7109375" style="231"/>
    <col min="10425" max="10426" width="10.7109375" style="231" customWidth="1"/>
    <col min="10427" max="10427" width="10.7109375" style="231"/>
    <col min="10428" max="10428" width="10.7109375" style="231" customWidth="1"/>
    <col min="10429" max="10430" width="10.7109375" style="231"/>
    <col min="10431" max="10431" width="10.7109375" style="231" customWidth="1"/>
    <col min="10432" max="10446" width="10.7109375" style="231"/>
    <col min="10447" max="10447" width="10.7109375" style="231" customWidth="1"/>
    <col min="10448" max="10448" width="10.7109375" style="231"/>
    <col min="10449" max="10512" width="10.7109375" style="231" customWidth="1"/>
    <col min="10513" max="10544" width="10.7109375" style="231"/>
    <col min="10545" max="10548" width="10.7109375" style="231" customWidth="1"/>
    <col min="10549" max="10549" width="10.7109375" style="231"/>
    <col min="10550" max="10550" width="10.7109375" style="231" customWidth="1"/>
    <col min="10551" max="10552" width="10.7109375" style="231"/>
    <col min="10553" max="10553" width="10.7109375" style="231" customWidth="1"/>
    <col min="10554" max="10554" width="10.7109375" style="231"/>
    <col min="10555" max="10557" width="10.7109375" style="231" customWidth="1"/>
    <col min="10558" max="10560" width="10.7109375" style="231"/>
    <col min="10561" max="10561" width="10.7109375" style="231" customWidth="1"/>
    <col min="10562" max="10566" width="10.7109375" style="231"/>
    <col min="10567" max="10568" width="10.7109375" style="231" customWidth="1"/>
    <col min="10569" max="10569" width="10.7109375" style="231"/>
    <col min="10570" max="10572" width="10.7109375" style="231" customWidth="1"/>
    <col min="10573" max="10573" width="10.7109375" style="231"/>
    <col min="10574" max="10576" width="10.7109375" style="231" customWidth="1"/>
    <col min="10577" max="10577" width="10.7109375" style="231"/>
    <col min="10578" max="10578" width="10.7109375" style="231" customWidth="1"/>
    <col min="10579" max="10600" width="10.7109375" style="231"/>
    <col min="10601" max="10610" width="10.7109375" style="231" customWidth="1"/>
    <col min="10611" max="10612" width="10.7109375" style="231"/>
    <col min="10613" max="10613" width="10.7109375" style="231" customWidth="1"/>
    <col min="10614" max="10616" width="10.7109375" style="231"/>
    <col min="10617" max="10618" width="10.7109375" style="231" customWidth="1"/>
    <col min="10619" max="10619" width="10.7109375" style="231"/>
    <col min="10620" max="10620" width="10.7109375" style="231" customWidth="1"/>
    <col min="10621" max="10622" width="10.7109375" style="231"/>
    <col min="10623" max="10623" width="10.7109375" style="231" customWidth="1"/>
    <col min="10624" max="10638" width="10.7109375" style="231"/>
    <col min="10639" max="10639" width="10.7109375" style="231" customWidth="1"/>
    <col min="10640" max="10640" width="10.7109375" style="231"/>
    <col min="10641" max="10643" width="10.7109375" style="231" customWidth="1"/>
    <col min="10644" max="10644" width="10.7109375" style="231"/>
    <col min="10645" max="10645" width="10.7109375" style="231" customWidth="1"/>
    <col min="10646" max="10646" width="10.7109375" style="231"/>
    <col min="10647" max="10648" width="10.7109375" style="231" customWidth="1"/>
    <col min="10649" max="10650" width="10.7109375" style="231"/>
    <col min="10651" max="10651" width="10.7109375" style="231" customWidth="1"/>
    <col min="10652" max="10653" width="10.7109375" style="231"/>
    <col min="10654" max="10654" width="10.7109375" style="231" customWidth="1"/>
    <col min="10655" max="10656" width="10.7109375" style="231"/>
    <col min="10657" max="10657" width="10.7109375" style="231" customWidth="1"/>
    <col min="10658" max="10662" width="10.7109375" style="231"/>
    <col min="10663" max="10664" width="10.7109375" style="231" customWidth="1"/>
    <col min="10665" max="10665" width="10.7109375" style="231"/>
    <col min="10666" max="10668" width="10.7109375" style="231" customWidth="1"/>
    <col min="10669" max="10669" width="10.7109375" style="231"/>
    <col min="10670" max="10673" width="10.7109375" style="231" customWidth="1"/>
    <col min="10674" max="10676" width="10.7109375" style="231"/>
    <col min="10677" max="10680" width="10.7109375" style="231" customWidth="1"/>
    <col min="10681" max="10681" width="10.7109375" style="231"/>
    <col min="10682" max="10682" width="10.7109375" style="231" customWidth="1"/>
    <col min="10683" max="10683" width="10.7109375" style="231"/>
    <col min="10684" max="10684" width="10.7109375" style="231" customWidth="1"/>
    <col min="10685" max="10686" width="10.7109375" style="231"/>
    <col min="10687" max="10687" width="10.7109375" style="231" customWidth="1"/>
    <col min="10688" max="10702" width="10.7109375" style="231"/>
    <col min="10703" max="10703" width="10.7109375" style="231" customWidth="1"/>
    <col min="10704" max="10704" width="10.7109375" style="231"/>
    <col min="10705" max="10707" width="10.7109375" style="231" customWidth="1"/>
    <col min="10708" max="10708" width="10.7109375" style="231"/>
    <col min="10709" max="10711" width="10.7109375" style="231" customWidth="1"/>
    <col min="10712" max="10712" width="10.7109375" style="231"/>
    <col min="10713" max="10713" width="10.7109375" style="231" customWidth="1"/>
    <col min="10714" max="10714" width="10.7109375" style="231"/>
    <col min="10715" max="10717" width="10.7109375" style="231" customWidth="1"/>
    <col min="10718" max="10718" width="10.7109375" style="231"/>
    <col min="10719" max="10719" width="10.7109375" style="231" customWidth="1"/>
    <col min="10720" max="10720" width="10.7109375" style="231"/>
    <col min="10721" max="10721" width="10.7109375" style="231" customWidth="1"/>
    <col min="10722" max="10723" width="10.7109375" style="231"/>
    <col min="10724" max="10724" width="10.7109375" style="231" customWidth="1"/>
    <col min="10725" max="10725" width="10.7109375" style="231"/>
    <col min="10726" max="10728" width="10.7109375" style="231" customWidth="1"/>
    <col min="10729" max="10729" width="10.7109375" style="231"/>
    <col min="10730" max="10733" width="10.7109375" style="231" customWidth="1"/>
    <col min="10734" max="10734" width="10.7109375" style="231"/>
    <col min="10735" max="10735" width="10.7109375" style="231" customWidth="1"/>
    <col min="10736" max="10737" width="10.7109375" style="231"/>
    <col min="10738" max="10745" width="10.7109375" style="231" customWidth="1"/>
    <col min="10746" max="10746" width="10.7109375" style="231"/>
    <col min="10747" max="10747" width="10.7109375" style="231" customWidth="1"/>
    <col min="10748" max="10751" width="10.7109375" style="231"/>
    <col min="10752" max="10752" width="10.7109375" style="231" customWidth="1"/>
    <col min="10753" max="10753" width="10.7109375" style="231"/>
    <col min="10754" max="10758" width="10.7109375" style="231" customWidth="1"/>
    <col min="10759" max="10762" width="10.7109375" style="231"/>
    <col min="10763" max="10763" width="10.7109375" style="231" customWidth="1"/>
    <col min="10764" max="10765" width="10.7109375" style="231"/>
    <col min="10766" max="10767" width="10.7109375" style="231" customWidth="1"/>
    <col min="10768" max="10770" width="10.7109375" style="231"/>
    <col min="10771" max="10800" width="10.7109375" style="231" customWidth="1"/>
    <col min="10801" max="10801" width="10.7109375" style="231"/>
    <col min="10802" max="10832" width="10.7109375" style="231" customWidth="1"/>
    <col min="10833" max="10833" width="10.7109375" style="231"/>
    <col min="10834" max="10834" width="10.7109375" style="231" customWidth="1"/>
    <col min="10835" max="10835" width="10.7109375" style="231"/>
    <col min="10836" max="10864" width="10.7109375" style="231" customWidth="1"/>
    <col min="10865" max="10865" width="10.7109375" style="231"/>
    <col min="10866" max="10866" width="10.7109375" style="231" customWidth="1"/>
    <col min="10867" max="10867" width="10.7109375" style="231"/>
    <col min="10868" max="10899" width="10.7109375" style="231" customWidth="1"/>
    <col min="10900" max="10902" width="10.7109375" style="231"/>
    <col min="10903" max="10908" width="10.7109375" style="231" customWidth="1"/>
    <col min="10909" max="10909" width="10.7109375" style="231"/>
    <col min="10910" max="10910" width="10.7109375" style="231" customWidth="1"/>
    <col min="10911" max="10913" width="10.7109375" style="231"/>
    <col min="10914" max="10914" width="10.7109375" style="231" customWidth="1"/>
    <col min="10915" max="10915" width="10.7109375" style="231"/>
    <col min="10916" max="10916" width="10.7109375" style="231" customWidth="1"/>
    <col min="10917" max="10917" width="10.7109375" style="231"/>
    <col min="10918" max="10918" width="10.7109375" style="231" customWidth="1"/>
    <col min="10919" max="10919" width="10.7109375" style="231"/>
    <col min="10920" max="10925" width="10.7109375" style="231" customWidth="1"/>
    <col min="10926" max="10926" width="10.7109375" style="231"/>
    <col min="10927" max="10927" width="10.7109375" style="231" customWidth="1"/>
    <col min="10928" max="10928" width="10.7109375" style="231"/>
    <col min="10929" max="10960" width="10.7109375" style="231" customWidth="1"/>
    <col min="10961" max="10962" width="10.7109375" style="231"/>
    <col min="10963" max="10999" width="10.7109375" style="231" customWidth="1"/>
    <col min="11000" max="11000" width="10.7109375" style="231"/>
    <col min="11001" max="11061" width="10.7109375" style="231" customWidth="1"/>
    <col min="11062" max="11062" width="10.7109375" style="231"/>
    <col min="11063" max="11064" width="10.7109375" style="231" customWidth="1"/>
    <col min="11065" max="11065" width="10.7109375" style="231"/>
    <col min="11066" max="11066" width="10.7109375" style="231" customWidth="1"/>
    <col min="11067" max="11068" width="10.7109375" style="231"/>
    <col min="11069" max="11069" width="10.7109375" style="231" customWidth="1"/>
    <col min="11070" max="11070" width="10.7109375" style="231"/>
    <col min="11071" max="11071" width="10.7109375" style="231" customWidth="1"/>
    <col min="11072" max="11086" width="10.7109375" style="231"/>
    <col min="11087" max="11087" width="10.7109375" style="231" customWidth="1"/>
    <col min="11088" max="11088" width="10.7109375" style="231"/>
    <col min="11089" max="11152" width="10.7109375" style="231" customWidth="1"/>
    <col min="11153" max="11154" width="10.7109375" style="231"/>
    <col min="11155" max="11156" width="10.7109375" style="231" customWidth="1"/>
    <col min="11157" max="11157" width="10.7109375" style="231"/>
    <col min="11158" max="11159" width="10.7109375" style="231" customWidth="1"/>
    <col min="11160" max="11160" width="10.7109375" style="231"/>
    <col min="11161" max="11161" width="10.7109375" style="231" customWidth="1"/>
    <col min="11162" max="11162" width="10.7109375" style="231"/>
    <col min="11163" max="11163" width="10.7109375" style="231" customWidth="1"/>
    <col min="11164" max="11167" width="10.7109375" style="231"/>
    <col min="11168" max="11168" width="10.7109375" style="231" customWidth="1"/>
    <col min="11169" max="11169" width="10.7109375" style="231"/>
    <col min="11170" max="11174" width="10.7109375" style="231" customWidth="1"/>
    <col min="11175" max="11178" width="10.7109375" style="231"/>
    <col min="11179" max="11179" width="10.7109375" style="231" customWidth="1"/>
    <col min="11180" max="11181" width="10.7109375" style="231"/>
    <col min="11182" max="11183" width="10.7109375" style="231" customWidth="1"/>
    <col min="11184" max="11184" width="10.7109375" style="231"/>
    <col min="11185" max="11221" width="10.7109375" style="231" customWidth="1"/>
    <col min="11222" max="11222" width="10.7109375" style="231"/>
    <col min="11223" max="11224" width="10.7109375" style="231" customWidth="1"/>
    <col min="11225" max="11226" width="10.7109375" style="231"/>
    <col min="11227" max="11227" width="10.7109375" style="231" customWidth="1"/>
    <col min="11228" max="11229" width="10.7109375" style="231"/>
    <col min="11230" max="11230" width="10.7109375" style="231" customWidth="1"/>
    <col min="11231" max="11232" width="10.7109375" style="231"/>
    <col min="11233" max="11233" width="10.7109375" style="231" customWidth="1"/>
    <col min="11234" max="11238" width="10.7109375" style="231"/>
    <col min="11239" max="11240" width="10.7109375" style="231" customWidth="1"/>
    <col min="11241" max="11241" width="10.7109375" style="231"/>
    <col min="11242" max="11244" width="10.7109375" style="231" customWidth="1"/>
    <col min="11245" max="11245" width="10.7109375" style="231"/>
    <col min="11246" max="11255" width="10.7109375" style="231" customWidth="1"/>
    <col min="11256" max="11256" width="10.7109375" style="231"/>
    <col min="11257" max="11318" width="10.7109375" style="231" customWidth="1"/>
    <col min="11319" max="11319" width="10.7109375" style="231"/>
    <col min="11320" max="11320" width="10.7109375" style="231" customWidth="1"/>
    <col min="11321" max="11321" width="10.7109375" style="231"/>
    <col min="11322" max="11322" width="10.7109375" style="231" customWidth="1"/>
    <col min="11323" max="11324" width="10.7109375" style="231"/>
    <col min="11325" max="11325" width="10.7109375" style="231" customWidth="1"/>
    <col min="11326" max="11326" width="10.7109375" style="231"/>
    <col min="11327" max="11327" width="10.7109375" style="231" customWidth="1"/>
    <col min="11328" max="11342" width="10.7109375" style="231"/>
    <col min="11343" max="11343" width="10.7109375" style="231" customWidth="1"/>
    <col min="11344" max="11344" width="10.7109375" style="231"/>
    <col min="11345" max="11353" width="10.7109375" style="231" customWidth="1"/>
    <col min="11354" max="11356" width="10.7109375" style="231"/>
    <col min="11357" max="11358" width="10.7109375" style="231" customWidth="1"/>
    <col min="11359" max="11359" width="10.7109375" style="231"/>
    <col min="11360" max="11360" width="10.7109375" style="231" customWidth="1"/>
    <col min="11361" max="11362" width="10.7109375" style="231"/>
    <col min="11363" max="11363" width="10.7109375" style="231" customWidth="1"/>
    <col min="11364" max="11364" width="10.7109375" style="231"/>
    <col min="11365" max="11366" width="10.7109375" style="231" customWidth="1"/>
    <col min="11367" max="11367" width="10.7109375" style="231"/>
    <col min="11368" max="11368" width="10.7109375" style="231" customWidth="1"/>
    <col min="11369" max="11372" width="10.7109375" style="231"/>
    <col min="11373" max="11374" width="10.7109375" style="231" customWidth="1"/>
    <col min="11375" max="11375" width="10.7109375" style="231"/>
    <col min="11376" max="11408" width="10.7109375" style="231" customWidth="1"/>
    <col min="11409" max="11410" width="10.7109375" style="231"/>
    <col min="11411" max="11412" width="10.7109375" style="231" customWidth="1"/>
    <col min="11413" max="11413" width="10.7109375" style="231"/>
    <col min="11414" max="11415" width="10.7109375" style="231" customWidth="1"/>
    <col min="11416" max="11416" width="10.7109375" style="231"/>
    <col min="11417" max="11417" width="10.7109375" style="231" customWidth="1"/>
    <col min="11418" max="11418" width="10.7109375" style="231"/>
    <col min="11419" max="11419" width="10.7109375" style="231" customWidth="1"/>
    <col min="11420" max="11423" width="10.7109375" style="231"/>
    <col min="11424" max="11424" width="10.7109375" style="231" customWidth="1"/>
    <col min="11425" max="11425" width="10.7109375" style="231"/>
    <col min="11426" max="11430" width="10.7109375" style="231" customWidth="1"/>
    <col min="11431" max="11434" width="10.7109375" style="231"/>
    <col min="11435" max="11435" width="10.7109375" style="231" customWidth="1"/>
    <col min="11436" max="11437" width="10.7109375" style="231"/>
    <col min="11438" max="11439" width="10.7109375" style="231" customWidth="1"/>
    <col min="11440" max="11442" width="10.7109375" style="231"/>
    <col min="11443" max="11443" width="10.7109375" style="231" customWidth="1"/>
    <col min="11444" max="11444" width="10.7109375" style="231"/>
    <col min="11445" max="11445" width="10.7109375" style="231" customWidth="1"/>
    <col min="11446" max="11447" width="10.7109375" style="231"/>
    <col min="11448" max="11448" width="10.7109375" style="231" customWidth="1"/>
    <col min="11449" max="11450" width="10.7109375" style="231"/>
    <col min="11451" max="11451" width="10.7109375" style="231" customWidth="1"/>
    <col min="11452" max="11452" width="10.7109375" style="231"/>
    <col min="11453" max="11453" width="10.7109375" style="231" customWidth="1"/>
    <col min="11454" max="11455" width="10.7109375" style="231"/>
    <col min="11456" max="11456" width="10.7109375" style="231" customWidth="1"/>
    <col min="11457" max="11458" width="10.7109375" style="231"/>
    <col min="11459" max="11459" width="10.7109375" style="231" customWidth="1"/>
    <col min="11460" max="11460" width="10.7109375" style="231"/>
    <col min="11461" max="11461" width="10.7109375" style="231" customWidth="1"/>
    <col min="11462" max="11463" width="10.7109375" style="231"/>
    <col min="11464" max="11477" width="10.7109375" style="231" customWidth="1"/>
    <col min="11478" max="11478" width="10.7109375" style="231"/>
    <col min="11479" max="11480" width="10.7109375" style="231" customWidth="1"/>
    <col min="11481" max="11482" width="10.7109375" style="231"/>
    <col min="11483" max="11483" width="10.7109375" style="231" customWidth="1"/>
    <col min="11484" max="11485" width="10.7109375" style="231"/>
    <col min="11486" max="11486" width="10.7109375" style="231" customWidth="1"/>
    <col min="11487" max="11488" width="10.7109375" style="231"/>
    <col min="11489" max="11489" width="10.7109375" style="231" customWidth="1"/>
    <col min="11490" max="11494" width="10.7109375" style="231"/>
    <col min="11495" max="11499" width="10.7109375" style="231" customWidth="1"/>
    <col min="11500" max="11501" width="10.7109375" style="231"/>
    <col min="11502" max="11502" width="10.7109375" style="231" customWidth="1"/>
    <col min="11503" max="11503" width="10.7109375" style="231"/>
    <col min="11504" max="11504" width="10.7109375" style="231" customWidth="1"/>
    <col min="11505" max="11505" width="10.7109375" style="231"/>
    <col min="11506" max="11506" width="10.7109375" style="231" customWidth="1"/>
    <col min="11507" max="11508" width="10.7109375" style="231"/>
    <col min="11509" max="11509" width="10.7109375" style="231" customWidth="1"/>
    <col min="11510" max="11510" width="10.7109375" style="231"/>
    <col min="11511" max="11512" width="10.7109375" style="231" customWidth="1"/>
    <col min="11513" max="11513" width="10.7109375" style="231"/>
    <col min="11514" max="11514" width="10.7109375" style="231" customWidth="1"/>
    <col min="11515" max="11516" width="10.7109375" style="231"/>
    <col min="11517" max="11517" width="10.7109375" style="231" customWidth="1"/>
    <col min="11518" max="11518" width="10.7109375" style="231"/>
    <col min="11519" max="11520" width="10.7109375" style="231" customWidth="1"/>
    <col min="11521" max="11521" width="10.7109375" style="231"/>
    <col min="11522" max="11522" width="10.7109375" style="231" customWidth="1"/>
    <col min="11523" max="11524" width="10.7109375" style="231"/>
    <col min="11525" max="11525" width="10.7109375" style="231" customWidth="1"/>
    <col min="11526" max="11526" width="10.7109375" style="231"/>
    <col min="11527" max="11528" width="10.7109375" style="231" customWidth="1"/>
    <col min="11529" max="11529" width="10.7109375" style="231"/>
    <col min="11530" max="11530" width="10.7109375" style="231" customWidth="1"/>
    <col min="11531" max="11532" width="10.7109375" style="231"/>
    <col min="11533" max="11533" width="10.7109375" style="231" customWidth="1"/>
    <col min="11534" max="11534" width="10.7109375" style="231"/>
    <col min="11535" max="11536" width="10.7109375" style="231" customWidth="1"/>
    <col min="11537" max="11537" width="10.7109375" style="231"/>
    <col min="11538" max="11538" width="10.7109375" style="231" customWidth="1"/>
    <col min="11539" max="11540" width="10.7109375" style="231"/>
    <col min="11541" max="11541" width="10.7109375" style="231" customWidth="1"/>
    <col min="11542" max="11542" width="10.7109375" style="231"/>
    <col min="11543" max="11554" width="10.7109375" style="231" customWidth="1"/>
    <col min="11555" max="11557" width="10.7109375" style="231"/>
    <col min="11558" max="11562" width="10.7109375" style="231" customWidth="1"/>
    <col min="11563" max="11563" width="10.7109375" style="231"/>
    <col min="11564" max="11568" width="10.7109375" style="231" customWidth="1"/>
    <col min="11569" max="11569" width="10.7109375" style="231"/>
    <col min="11570" max="11570" width="10.7109375" style="231" customWidth="1"/>
    <col min="11571" max="11572" width="10.7109375" style="231"/>
    <col min="11573" max="11574" width="10.7109375" style="231" customWidth="1"/>
    <col min="11575" max="11575" width="10.7109375" style="231"/>
    <col min="11576" max="11576" width="10.7109375" style="231" customWidth="1"/>
    <col min="11577" max="11577" width="10.7109375" style="231"/>
    <col min="11578" max="11581" width="10.7109375" style="231" customWidth="1"/>
    <col min="11582" max="11583" width="10.7109375" style="231"/>
    <col min="11584" max="11584" width="10.7109375" style="231" customWidth="1"/>
    <col min="11585" max="11586" width="10.7109375" style="231"/>
    <col min="11587" max="11589" width="10.7109375" style="231" customWidth="1"/>
    <col min="11590" max="11591" width="10.7109375" style="231"/>
    <col min="11592" max="11592" width="10.7109375" style="231" customWidth="1"/>
    <col min="11593" max="11593" width="10.7109375" style="231"/>
    <col min="11594" max="11595" width="10.7109375" style="231" customWidth="1"/>
    <col min="11596" max="11596" width="10.7109375" style="231"/>
    <col min="11597" max="11597" width="10.7109375" style="231" customWidth="1"/>
    <col min="11598" max="11599" width="10.7109375" style="231"/>
    <col min="11600" max="11601" width="10.7109375" style="231" customWidth="1"/>
    <col min="11602" max="11604" width="10.7109375" style="231"/>
    <col min="11605" max="11605" width="10.7109375" style="231" customWidth="1"/>
    <col min="11606" max="11607" width="10.7109375" style="231"/>
    <col min="11608" max="11610" width="10.7109375" style="231" customWidth="1"/>
    <col min="11611" max="11611" width="10.7109375" style="231"/>
    <col min="11612" max="11612" width="10.7109375" style="231" customWidth="1"/>
    <col min="11613" max="11615" width="10.7109375" style="231"/>
    <col min="11616" max="11616" width="10.7109375" style="231" customWidth="1"/>
    <col min="11617" max="11620" width="10.7109375" style="231"/>
    <col min="11621" max="11621" width="10.7109375" style="231" customWidth="1"/>
    <col min="11622" max="11623" width="10.7109375" style="231"/>
    <col min="11624" max="11624" width="10.7109375" style="231" customWidth="1"/>
    <col min="11625" max="11626" width="10.7109375" style="231"/>
    <col min="11627" max="11628" width="10.7109375" style="231" customWidth="1"/>
    <col min="11629" max="11631" width="10.7109375" style="231"/>
    <col min="11632" max="11635" width="10.7109375" style="231" customWidth="1"/>
    <col min="11636" max="11636" width="10.7109375" style="231"/>
    <col min="11637" max="11637" width="10.7109375" style="231" customWidth="1"/>
    <col min="11638" max="11639" width="10.7109375" style="231"/>
    <col min="11640" max="11645" width="10.7109375" style="231" customWidth="1"/>
    <col min="11646" max="11646" width="10.7109375" style="231"/>
    <col min="11647" max="11651" width="10.7109375" style="231" customWidth="1"/>
    <col min="11652" max="11652" width="10.7109375" style="231"/>
    <col min="11653" max="11654" width="10.7109375" style="231" customWidth="1"/>
    <col min="11655" max="11655" width="10.7109375" style="231"/>
    <col min="11656" max="11658" width="10.7109375" style="231" customWidth="1"/>
    <col min="11659" max="11659" width="10.7109375" style="231"/>
    <col min="11660" max="11662" width="10.7109375" style="231" customWidth="1"/>
    <col min="11663" max="11663" width="10.7109375" style="231"/>
    <col min="11664" max="11665" width="10.7109375" style="231" customWidth="1"/>
    <col min="11666" max="11666" width="10.7109375" style="231"/>
    <col min="11667" max="11667" width="10.7109375" style="231" customWidth="1"/>
    <col min="11668" max="11670" width="10.7109375" style="231"/>
    <col min="11671" max="11672" width="10.7109375" style="231" customWidth="1"/>
    <col min="11673" max="11673" width="10.7109375" style="231"/>
    <col min="11674" max="11674" width="10.7109375" style="231" customWidth="1"/>
    <col min="11675" max="11675" width="10.7109375" style="231"/>
    <col min="11676" max="11676" width="10.7109375" style="231" customWidth="1"/>
    <col min="11677" max="11677" width="10.7109375" style="231"/>
    <col min="11678" max="11678" width="10.7109375" style="231" customWidth="1"/>
    <col min="11679" max="11679" width="10.7109375" style="231"/>
    <col min="11680" max="11680" width="10.7109375" style="231" customWidth="1"/>
    <col min="11681" max="11682" width="10.7109375" style="231"/>
    <col min="11683" max="11684" width="10.7109375" style="231" customWidth="1"/>
    <col min="11685" max="11687" width="10.7109375" style="231"/>
    <col min="11688" max="11688" width="10.7109375" style="231" customWidth="1"/>
    <col min="11689" max="11689" width="10.7109375" style="231"/>
    <col min="11690" max="11690" width="10.7109375" style="231" customWidth="1"/>
    <col min="11691" max="11691" width="10.7109375" style="231"/>
    <col min="11692" max="11693" width="10.7109375" style="231" customWidth="1"/>
    <col min="11694" max="11695" width="10.7109375" style="231"/>
    <col min="11696" max="11697" width="10.7109375" style="231" customWidth="1"/>
    <col min="11698" max="11698" width="10.7109375" style="231"/>
    <col min="11699" max="11700" width="10.7109375" style="231" customWidth="1"/>
    <col min="11701" max="11703" width="10.7109375" style="231"/>
    <col min="11704" max="11704" width="10.7109375" style="231" customWidth="1"/>
    <col min="11705" max="11706" width="10.7109375" style="231"/>
    <col min="11707" max="11708" width="10.7109375" style="231" customWidth="1"/>
    <col min="11709" max="11711" width="10.7109375" style="231"/>
    <col min="11712" max="11713" width="10.7109375" style="231" customWidth="1"/>
    <col min="11714" max="11714" width="10.7109375" style="231"/>
    <col min="11715" max="11715" width="10.7109375" style="231" customWidth="1"/>
    <col min="11716" max="11718" width="10.7109375" style="231"/>
    <col min="11719" max="11729" width="10.7109375" style="231" customWidth="1"/>
    <col min="11730" max="11732" width="10.7109375" style="231"/>
    <col min="11733" max="11733" width="10.7109375" style="231" customWidth="1"/>
    <col min="11734" max="11734" width="10.7109375" style="231"/>
    <col min="11735" max="11741" width="10.7109375" style="231" customWidth="1"/>
    <col min="11742" max="11742" width="10.7109375" style="231"/>
    <col min="11743" max="11743" width="10.7109375" style="231" customWidth="1"/>
    <col min="11744" max="11744" width="10.7109375" style="231"/>
    <col min="11745" max="11750" width="10.7109375" style="231" customWidth="1"/>
    <col min="11751" max="11752" width="10.7109375" style="231"/>
    <col min="11753" max="11755" width="10.7109375" style="231" customWidth="1"/>
    <col min="11756" max="11757" width="10.7109375" style="231"/>
    <col min="11758" max="11758" width="10.7109375" style="231" customWidth="1"/>
    <col min="11759" max="11759" width="10.7109375" style="231"/>
    <col min="11760" max="11760" width="10.7109375" style="231" customWidth="1"/>
    <col min="11761" max="11761" width="10.7109375" style="231"/>
    <col min="11762" max="11763" width="10.7109375" style="231" customWidth="1"/>
    <col min="11764" max="11764" width="10.7109375" style="231"/>
    <col min="11765" max="11765" width="10.7109375" style="231" customWidth="1"/>
    <col min="11766" max="11767" width="10.7109375" style="231"/>
    <col min="11768" max="11768" width="10.7109375" style="231" customWidth="1"/>
    <col min="11769" max="11769" width="10.7109375" style="231"/>
    <col min="11770" max="11773" width="10.7109375" style="231" customWidth="1"/>
    <col min="11774" max="11775" width="10.7109375" style="231"/>
    <col min="11776" max="11776" width="10.7109375" style="231" customWidth="1"/>
    <col min="11777" max="11777" width="10.7109375" style="231"/>
    <col min="11778" max="11778" width="10.7109375" style="231" customWidth="1"/>
    <col min="11779" max="11780" width="10.7109375" style="231"/>
    <col min="11781" max="11781" width="10.7109375" style="231" customWidth="1"/>
    <col min="11782" max="11783" width="10.7109375" style="231"/>
    <col min="11784" max="11786" width="10.7109375" style="231" customWidth="1"/>
    <col min="11787" max="11788" width="10.7109375" style="231"/>
    <col min="11789" max="11789" width="10.7109375" style="231" customWidth="1"/>
    <col min="11790" max="11791" width="10.7109375" style="231"/>
    <col min="11792" max="11792" width="10.7109375" style="231" customWidth="1"/>
    <col min="11793" max="11793" width="10.7109375" style="231"/>
    <col min="11794" max="11794" width="10.7109375" style="231" customWidth="1"/>
    <col min="11795" max="11795" width="10.7109375" style="231"/>
    <col min="11796" max="11797" width="10.7109375" style="231" customWidth="1"/>
    <col min="11798" max="11799" width="10.7109375" style="231"/>
    <col min="11800" max="11801" width="10.7109375" style="231" customWidth="1"/>
    <col min="11802" max="11804" width="10.7109375" style="231"/>
    <col min="11805" max="11805" width="10.7109375" style="231" customWidth="1"/>
    <col min="11806" max="11807" width="10.7109375" style="231"/>
    <col min="11808" max="11808" width="10.7109375" style="231" customWidth="1"/>
    <col min="11809" max="11812" width="10.7109375" style="231"/>
    <col min="11813" max="11813" width="10.7109375" style="231" customWidth="1"/>
    <col min="11814" max="11815" width="10.7109375" style="231"/>
    <col min="11816" max="11819" width="10.7109375" style="231" customWidth="1"/>
    <col min="11820" max="11823" width="10.7109375" style="231"/>
    <col min="11824" max="11825" width="10.7109375" style="231" customWidth="1"/>
    <col min="11826" max="11826" width="10.7109375" style="231"/>
    <col min="11827" max="11827" width="10.7109375" style="231" customWidth="1"/>
    <col min="11828" max="11830" width="10.7109375" style="231"/>
    <col min="11831" max="11842" width="10.7109375" style="231" customWidth="1"/>
    <col min="11843" max="11844" width="10.7109375" style="231"/>
    <col min="11845" max="11846" width="10.7109375" style="231" customWidth="1"/>
    <col min="11847" max="11847" width="10.7109375" style="231"/>
    <col min="11848" max="11848" width="10.7109375" style="231" customWidth="1"/>
    <col min="11849" max="11849" width="10.7109375" style="231"/>
    <col min="11850" max="11851" width="10.7109375" style="231" customWidth="1"/>
    <col min="11852" max="11852" width="10.7109375" style="231"/>
    <col min="11853" max="11853" width="10.7109375" style="231" customWidth="1"/>
    <col min="11854" max="11855" width="10.7109375" style="231"/>
    <col min="11856" max="11857" width="10.7109375" style="231" customWidth="1"/>
    <col min="11858" max="11860" width="10.7109375" style="231"/>
    <col min="11861" max="11862" width="10.7109375" style="231" customWidth="1"/>
    <col min="11863" max="11866" width="10.7109375" style="231"/>
    <col min="11867" max="11867" width="10.7109375" style="231" customWidth="1"/>
    <col min="11868" max="11868" width="10.7109375" style="231"/>
    <col min="11869" max="11870" width="10.7109375" style="231" customWidth="1"/>
    <col min="11871" max="11873" width="10.7109375" style="231"/>
    <col min="11874" max="11878" width="10.7109375" style="231" customWidth="1"/>
    <col min="11879" max="11882" width="10.7109375" style="231"/>
    <col min="11883" max="11883" width="10.7109375" style="231" customWidth="1"/>
    <col min="11884" max="11885" width="10.7109375" style="231"/>
    <col min="11886" max="11887" width="10.7109375" style="231" customWidth="1"/>
    <col min="11888" max="11889" width="10.7109375" style="231"/>
    <col min="11890" max="11891" width="10.7109375" style="231" customWidth="1"/>
    <col min="11892" max="11895" width="10.7109375" style="231"/>
    <col min="11896" max="11897" width="10.7109375" style="231" customWidth="1"/>
    <col min="11898" max="11898" width="10.7109375" style="231"/>
    <col min="11899" max="11899" width="10.7109375" style="231" customWidth="1"/>
    <col min="11900" max="11902" width="10.7109375" style="231"/>
    <col min="11903" max="11912" width="10.7109375" style="231" customWidth="1"/>
    <col min="11913" max="11914" width="10.7109375" style="231"/>
    <col min="11915" max="11918" width="10.7109375" style="231" customWidth="1"/>
    <col min="11919" max="11919" width="10.7109375" style="231"/>
    <col min="11920" max="11920" width="10.7109375" style="231" customWidth="1"/>
    <col min="11921" max="11921" width="10.7109375" style="231"/>
    <col min="11922" max="11925" width="10.7109375" style="231" customWidth="1"/>
    <col min="11926" max="11927" width="10.7109375" style="231"/>
    <col min="11928" max="11928" width="10.7109375" style="231" customWidth="1"/>
    <col min="11929" max="11930" width="10.7109375" style="231"/>
    <col min="11931" max="11933" width="10.7109375" style="231" customWidth="1"/>
    <col min="11934" max="11935" width="10.7109375" style="231"/>
    <col min="11936" max="11939" width="10.7109375" style="231" customWidth="1"/>
    <col min="11940" max="11940" width="10.7109375" style="231"/>
    <col min="11941" max="11941" width="10.7109375" style="231" customWidth="1"/>
    <col min="11942" max="11943" width="10.7109375" style="231"/>
    <col min="11944" max="11944" width="10.7109375" style="231" customWidth="1"/>
    <col min="11945" max="11945" width="10.7109375" style="231"/>
    <col min="11946" max="11946" width="10.7109375" style="231" customWidth="1"/>
    <col min="11947" max="11947" width="10.7109375" style="231"/>
    <col min="11948" max="11949" width="10.7109375" style="231" customWidth="1"/>
    <col min="11950" max="11951" width="10.7109375" style="231"/>
    <col min="11952" max="11952" width="10.7109375" style="231" customWidth="1"/>
    <col min="11953" max="11954" width="10.7109375" style="231"/>
    <col min="11955" max="11956" width="10.7109375" style="231" customWidth="1"/>
    <col min="11957" max="11959" width="10.7109375" style="231"/>
    <col min="11960" max="11961" width="10.7109375" style="231" customWidth="1"/>
    <col min="11962" max="11962" width="10.7109375" style="231"/>
    <col min="11963" max="11963" width="10.7109375" style="231" customWidth="1"/>
    <col min="11964" max="11966" width="10.7109375" style="231"/>
    <col min="11967" max="11978" width="10.7109375" style="231" customWidth="1"/>
    <col min="11979" max="11979" width="10.7109375" style="231"/>
    <col min="11980" max="11980" width="10.7109375" style="231" customWidth="1"/>
    <col min="11981" max="11981" width="10.7109375" style="231"/>
    <col min="11982" max="11982" width="10.7109375" style="231" customWidth="1"/>
    <col min="11983" max="11983" width="10.7109375" style="231"/>
    <col min="11984" max="11985" width="10.7109375" style="231" customWidth="1"/>
    <col min="11986" max="11986" width="10.7109375" style="231"/>
    <col min="11987" max="11987" width="10.7109375" style="231" customWidth="1"/>
    <col min="11988" max="11988" width="10.7109375" style="231"/>
    <col min="11989" max="11990" width="10.7109375" style="231" customWidth="1"/>
    <col min="11991" max="11991" width="10.7109375" style="231"/>
    <col min="11992" max="12017" width="10.7109375" style="231" customWidth="1"/>
    <col min="12018" max="12018" width="10.7109375" style="231"/>
    <col min="12019" max="12020" width="10.7109375" style="231" customWidth="1"/>
    <col min="12021" max="12023" width="10.7109375" style="231"/>
    <col min="12024" max="12024" width="10.7109375" style="231" customWidth="1"/>
    <col min="12025" max="12028" width="10.7109375" style="231"/>
    <col min="12029" max="12029" width="10.7109375" style="231" customWidth="1"/>
    <col min="12030" max="12030" width="10.7109375" style="231"/>
    <col min="12031" max="12031" width="10.7109375" style="231" customWidth="1"/>
    <col min="12032" max="12046" width="10.7109375" style="231"/>
    <col min="12047" max="12047" width="10.7109375" style="231" customWidth="1"/>
    <col min="12048" max="12048" width="10.7109375" style="231"/>
    <col min="12049" max="12049" width="10.7109375" style="231" customWidth="1"/>
    <col min="12050" max="12050" width="10.7109375" style="231"/>
    <col min="12051" max="12051" width="10.7109375" style="231" customWidth="1"/>
    <col min="12052" max="12052" width="10.7109375" style="231"/>
    <col min="12053" max="12054" width="10.7109375" style="231" customWidth="1"/>
    <col min="12055" max="12055" width="10.7109375" style="231"/>
    <col min="12056" max="12113" width="10.7109375" style="231" customWidth="1"/>
    <col min="12114" max="12114" width="10.7109375" style="231"/>
    <col min="12115" max="12115" width="10.7109375" style="231" customWidth="1"/>
    <col min="12116" max="12116" width="10.7109375" style="231"/>
    <col min="12117" max="12118" width="10.7109375" style="231" customWidth="1"/>
    <col min="12119" max="12119" width="10.7109375" style="231"/>
    <col min="12120" max="12120" width="10.7109375" style="231" customWidth="1"/>
    <col min="12121" max="12122" width="10.7109375" style="231"/>
    <col min="12123" max="12124" width="10.7109375" style="231" customWidth="1"/>
    <col min="12125" max="12125" width="10.7109375" style="231"/>
    <col min="12126" max="12126" width="10.7109375" style="231" customWidth="1"/>
    <col min="12127" max="12129" width="10.7109375" style="231"/>
    <col min="12130" max="12134" width="10.7109375" style="231" customWidth="1"/>
    <col min="12135" max="12138" width="10.7109375" style="231"/>
    <col min="12139" max="12139" width="10.7109375" style="231" customWidth="1"/>
    <col min="12140" max="12141" width="10.7109375" style="231"/>
    <col min="12142" max="12143" width="10.7109375" style="231" customWidth="1"/>
    <col min="12144" max="12147" width="10.7109375" style="231"/>
    <col min="12148" max="12209" width="10.7109375" style="231" customWidth="1"/>
    <col min="12210" max="12211" width="10.7109375" style="231"/>
    <col min="12212" max="12212" width="10.7109375" style="231" customWidth="1"/>
    <col min="12213" max="12216" width="10.7109375" style="231"/>
    <col min="12217" max="12217" width="10.7109375" style="231" customWidth="1"/>
    <col min="12218" max="12218" width="10.7109375" style="231"/>
    <col min="12219" max="12220" width="10.7109375" style="231" customWidth="1"/>
    <col min="12221" max="12221" width="10.7109375" style="231"/>
    <col min="12222" max="12223" width="10.7109375" style="231" customWidth="1"/>
    <col min="12224" max="12224" width="10.7109375" style="231"/>
    <col min="12225" max="12225" width="10.7109375" style="231" customWidth="1"/>
    <col min="12226" max="12228" width="10.7109375" style="231"/>
    <col min="12229" max="12229" width="10.7109375" style="231" customWidth="1"/>
    <col min="12230" max="12230" width="10.7109375" style="231"/>
    <col min="12231" max="12231" width="10.7109375" style="231" customWidth="1"/>
    <col min="12232" max="12232" width="10.7109375" style="231"/>
    <col min="12233" max="12234" width="10.7109375" style="231" customWidth="1"/>
    <col min="12235" max="12235" width="10.7109375" style="231"/>
    <col min="12236" max="12237" width="10.7109375" style="231" customWidth="1"/>
    <col min="12238" max="12240" width="10.7109375" style="231"/>
    <col min="12241" max="12245" width="10.7109375" style="231" customWidth="1"/>
    <col min="12246" max="12246" width="10.7109375" style="231"/>
    <col min="12247" max="12248" width="10.7109375" style="231" customWidth="1"/>
    <col min="12249" max="12250" width="10.7109375" style="231"/>
    <col min="12251" max="12251" width="10.7109375" style="231" customWidth="1"/>
    <col min="12252" max="12253" width="10.7109375" style="231"/>
    <col min="12254" max="12254" width="10.7109375" style="231" customWidth="1"/>
    <col min="12255" max="12256" width="10.7109375" style="231"/>
    <col min="12257" max="12257" width="10.7109375" style="231" customWidth="1"/>
    <col min="12258" max="12262" width="10.7109375" style="231"/>
    <col min="12263" max="12264" width="10.7109375" style="231" customWidth="1"/>
    <col min="12265" max="12265" width="10.7109375" style="231"/>
    <col min="12266" max="12268" width="10.7109375" style="231" customWidth="1"/>
    <col min="12269" max="12269" width="10.7109375" style="231"/>
    <col min="12270" max="12272" width="10.7109375" style="231" customWidth="1"/>
    <col min="12273" max="12274" width="10.7109375" style="231"/>
    <col min="12275" max="12307" width="10.7109375" style="231" customWidth="1"/>
    <col min="12308" max="12308" width="10.7109375" style="231"/>
    <col min="12309" max="12309" width="10.7109375" style="231" customWidth="1"/>
    <col min="12310" max="12310" width="10.7109375" style="231"/>
    <col min="12311" max="12312" width="10.7109375" style="231" customWidth="1"/>
    <col min="12313" max="12314" width="10.7109375" style="231"/>
    <col min="12315" max="12315" width="10.7109375" style="231" customWidth="1"/>
    <col min="12316" max="12317" width="10.7109375" style="231"/>
    <col min="12318" max="12318" width="10.7109375" style="231" customWidth="1"/>
    <col min="12319" max="12320" width="10.7109375" style="231"/>
    <col min="12321" max="12321" width="10.7109375" style="231" customWidth="1"/>
    <col min="12322" max="12326" width="10.7109375" style="231"/>
    <col min="12327" max="12328" width="10.7109375" style="231" customWidth="1"/>
    <col min="12329" max="12329" width="10.7109375" style="231"/>
    <col min="12330" max="12332" width="10.7109375" style="231" customWidth="1"/>
    <col min="12333" max="12333" width="10.7109375" style="231"/>
    <col min="12334" max="12339" width="10.7109375" style="231" customWidth="1"/>
    <col min="12340" max="12342" width="10.7109375" style="231"/>
    <col min="12343" max="12344" width="10.7109375" style="231" customWidth="1"/>
    <col min="12345" max="12345" width="10.7109375" style="231"/>
    <col min="12346" max="12348" width="10.7109375" style="231" customWidth="1"/>
    <col min="12349" max="12350" width="10.7109375" style="231"/>
    <col min="12351" max="12351" width="10.7109375" style="231" customWidth="1"/>
    <col min="12352" max="12366" width="10.7109375" style="231"/>
    <col min="12367" max="12367" width="10.7109375" style="231" customWidth="1"/>
    <col min="12368" max="12370" width="10.7109375" style="231"/>
    <col min="12371" max="12371" width="10.7109375" style="231" customWidth="1"/>
    <col min="12372" max="12377" width="10.7109375" style="231"/>
    <col min="12378" max="12380" width="10.7109375" style="231" customWidth="1"/>
    <col min="12381" max="12381" width="10.7109375" style="231"/>
    <col min="12382" max="12383" width="10.7109375" style="231" customWidth="1"/>
    <col min="12384" max="12384" width="10.7109375" style="231"/>
    <col min="12385" max="12386" width="10.7109375" style="231" customWidth="1"/>
    <col min="12387" max="12387" width="10.7109375" style="231"/>
    <col min="12388" max="12390" width="10.7109375" style="231" customWidth="1"/>
    <col min="12391" max="12394" width="10.7109375" style="231"/>
    <col min="12395" max="12395" width="10.7109375" style="231" customWidth="1"/>
    <col min="12396" max="12397" width="10.7109375" style="231"/>
    <col min="12398" max="12399" width="10.7109375" style="231" customWidth="1"/>
    <col min="12400" max="12401" width="10.7109375" style="231"/>
    <col min="12402" max="12404" width="10.7109375" style="231" customWidth="1"/>
    <col min="12405" max="12405" width="10.7109375" style="231"/>
    <col min="12406" max="12406" width="10.7109375" style="231" customWidth="1"/>
    <col min="12407" max="12408" width="10.7109375" style="231"/>
    <col min="12409" max="12409" width="10.7109375" style="231" customWidth="1"/>
    <col min="12410" max="12410" width="10.7109375" style="231"/>
    <col min="12411" max="12413" width="10.7109375" style="231" customWidth="1"/>
    <col min="12414" max="12416" width="10.7109375" style="231"/>
    <col min="12417" max="12417" width="10.7109375" style="231" customWidth="1"/>
    <col min="12418" max="12422" width="10.7109375" style="231"/>
    <col min="12423" max="12424" width="10.7109375" style="231" customWidth="1"/>
    <col min="12425" max="12425" width="10.7109375" style="231"/>
    <col min="12426" max="12428" width="10.7109375" style="231" customWidth="1"/>
    <col min="12429" max="12429" width="10.7109375" style="231"/>
    <col min="12430" max="12436" width="10.7109375" style="231" customWidth="1"/>
    <col min="12437" max="12437" width="10.7109375" style="231"/>
    <col min="12438" max="12438" width="10.7109375" style="231" customWidth="1"/>
    <col min="12439" max="12439" width="10.7109375" style="231"/>
    <col min="12440" max="12440" width="10.7109375" style="231" customWidth="1"/>
    <col min="12441" max="12441" width="10.7109375" style="231"/>
    <col min="12442" max="12444" width="10.7109375" style="231" customWidth="1"/>
    <col min="12445" max="12446" width="10.7109375" style="231"/>
    <col min="12447" max="12447" width="10.7109375" style="231" customWidth="1"/>
    <col min="12448" max="12462" width="10.7109375" style="231"/>
    <col min="12463" max="12463" width="10.7109375" style="231" customWidth="1"/>
    <col min="12464" max="12466" width="10.7109375" style="231"/>
    <col min="12467" max="12501" width="10.7109375" style="231" customWidth="1"/>
    <col min="12502" max="12502" width="10.7109375" style="231"/>
    <col min="12503" max="12504" width="10.7109375" style="231" customWidth="1"/>
    <col min="12505" max="12506" width="10.7109375" style="231"/>
    <col min="12507" max="12507" width="10.7109375" style="231" customWidth="1"/>
    <col min="12508" max="12509" width="10.7109375" style="231"/>
    <col min="12510" max="12510" width="10.7109375" style="231" customWidth="1"/>
    <col min="12511" max="12512" width="10.7109375" style="231"/>
    <col min="12513" max="12513" width="10.7109375" style="231" customWidth="1"/>
    <col min="12514" max="12518" width="10.7109375" style="231"/>
    <col min="12519" max="12520" width="10.7109375" style="231" customWidth="1"/>
    <col min="12521" max="12521" width="10.7109375" style="231"/>
    <col min="12522" max="12524" width="10.7109375" style="231" customWidth="1"/>
    <col min="12525" max="12525" width="10.7109375" style="231"/>
    <col min="12526" max="12528" width="10.7109375" style="231" customWidth="1"/>
    <col min="12529" max="12530" width="10.7109375" style="231"/>
    <col min="12531" max="12563" width="10.7109375" style="231" customWidth="1"/>
    <col min="12564" max="12564" width="10.7109375" style="231"/>
    <col min="12565" max="12565" width="10.7109375" style="231" customWidth="1"/>
    <col min="12566" max="12566" width="10.7109375" style="231"/>
    <col min="12567" max="12568" width="10.7109375" style="231" customWidth="1"/>
    <col min="12569" max="12570" width="10.7109375" style="231"/>
    <col min="12571" max="12571" width="10.7109375" style="231" customWidth="1"/>
    <col min="12572" max="12573" width="10.7109375" style="231"/>
    <col min="12574" max="12574" width="10.7109375" style="231" customWidth="1"/>
    <col min="12575" max="12576" width="10.7109375" style="231"/>
    <col min="12577" max="12577" width="10.7109375" style="231" customWidth="1"/>
    <col min="12578" max="12582" width="10.7109375" style="231"/>
    <col min="12583" max="12584" width="10.7109375" style="231" customWidth="1"/>
    <col min="12585" max="12585" width="10.7109375" style="231"/>
    <col min="12586" max="12588" width="10.7109375" style="231" customWidth="1"/>
    <col min="12589" max="12589" width="10.7109375" style="231"/>
    <col min="12590" max="12595" width="10.7109375" style="231" customWidth="1"/>
    <col min="12596" max="12597" width="10.7109375" style="231"/>
    <col min="12598" max="12598" width="10.7109375" style="231" customWidth="1"/>
    <col min="12599" max="12599" width="10.7109375" style="231"/>
    <col min="12600" max="12600" width="10.7109375" style="231" customWidth="1"/>
    <col min="12601" max="12601" width="10.7109375" style="231"/>
    <col min="12602" max="12604" width="10.7109375" style="231" customWidth="1"/>
    <col min="12605" max="12606" width="10.7109375" style="231"/>
    <col min="12607" max="12607" width="10.7109375" style="231" customWidth="1"/>
    <col min="12608" max="12622" width="10.7109375" style="231"/>
    <col min="12623" max="12623" width="10.7109375" style="231" customWidth="1"/>
    <col min="12624" max="12626" width="10.7109375" style="231"/>
    <col min="12627" max="12627" width="10.7109375" style="231" customWidth="1"/>
    <col min="12628" max="12633" width="10.7109375" style="231"/>
    <col min="12634" max="12636" width="10.7109375" style="231" customWidth="1"/>
    <col min="12637" max="12637" width="10.7109375" style="231"/>
    <col min="12638" max="12639" width="10.7109375" style="231" customWidth="1"/>
    <col min="12640" max="12640" width="10.7109375" style="231"/>
    <col min="12641" max="12642" width="10.7109375" style="231" customWidth="1"/>
    <col min="12643" max="12643" width="10.7109375" style="231"/>
    <col min="12644" max="12646" width="10.7109375" style="231" customWidth="1"/>
    <col min="12647" max="12650" width="10.7109375" style="231"/>
    <col min="12651" max="12651" width="10.7109375" style="231" customWidth="1"/>
    <col min="12652" max="12653" width="10.7109375" style="231"/>
    <col min="12654" max="12655" width="10.7109375" style="231" customWidth="1"/>
    <col min="12656" max="12657" width="10.7109375" style="231"/>
    <col min="12658" max="12660" width="10.7109375" style="231" customWidth="1"/>
    <col min="12661" max="12662" width="10.7109375" style="231"/>
    <col min="12663" max="12663" width="10.7109375" style="231" customWidth="1"/>
    <col min="12664" max="12666" width="10.7109375" style="231"/>
    <col min="12667" max="12667" width="10.7109375" style="231" customWidth="1"/>
    <col min="12668" max="12668" width="10.7109375" style="231"/>
    <col min="12669" max="12669" width="10.7109375" style="231" customWidth="1"/>
    <col min="12670" max="12671" width="10.7109375" style="231"/>
    <col min="12672" max="12673" width="10.7109375" style="231" customWidth="1"/>
    <col min="12674" max="12674" width="10.7109375" style="231"/>
    <col min="12675" max="12676" width="10.7109375" style="231" customWidth="1"/>
    <col min="12677" max="12677" width="10.7109375" style="231"/>
    <col min="12678" max="12681" width="10.7109375" style="231" customWidth="1"/>
    <col min="12682" max="12682" width="10.7109375" style="231"/>
    <col min="12683" max="12684" width="10.7109375" style="231" customWidth="1"/>
    <col min="12685" max="12685" width="10.7109375" style="231"/>
    <col min="12686" max="12692" width="10.7109375" style="231" customWidth="1"/>
    <col min="12693" max="12695" width="10.7109375" style="231"/>
    <col min="12696" max="12696" width="10.7109375" style="231" customWidth="1"/>
    <col min="12697" max="12697" width="10.7109375" style="231"/>
    <col min="12698" max="12700" width="10.7109375" style="231" customWidth="1"/>
    <col min="12701" max="12702" width="10.7109375" style="231"/>
    <col min="12703" max="12703" width="10.7109375" style="231" customWidth="1"/>
    <col min="12704" max="12718" width="10.7109375" style="231"/>
    <col min="12719" max="12719" width="10.7109375" style="231" customWidth="1"/>
    <col min="12720" max="12722" width="10.7109375" style="231"/>
    <col min="12723" max="12754" width="10.7109375" style="231" customWidth="1"/>
    <col min="12755" max="12755" width="10.7109375" style="231"/>
    <col min="12756" max="12757" width="10.7109375" style="231" customWidth="1"/>
    <col min="12758" max="12760" width="10.7109375" style="231"/>
    <col min="12761" max="12761" width="10.7109375" style="231" customWidth="1"/>
    <col min="12762" max="12763" width="10.7109375" style="231"/>
    <col min="12764" max="12765" width="10.7109375" style="231" customWidth="1"/>
    <col min="12766" max="12768" width="10.7109375" style="231"/>
    <col min="12769" max="12769" width="10.7109375" style="231" customWidth="1"/>
    <col min="12770" max="12771" width="10.7109375" style="231"/>
    <col min="12772" max="12772" width="10.7109375" style="231" customWidth="1"/>
    <col min="12773" max="12773" width="10.7109375" style="231"/>
    <col min="12774" max="12776" width="10.7109375" style="231" customWidth="1"/>
    <col min="12777" max="12777" width="10.7109375" style="231"/>
    <col min="12778" max="12781" width="10.7109375" style="231" customWidth="1"/>
    <col min="12782" max="12782" width="10.7109375" style="231"/>
    <col min="12783" max="12783" width="10.7109375" style="231" customWidth="1"/>
    <col min="12784" max="12784" width="10.7109375" style="231"/>
    <col min="12785" max="12786" width="10.7109375" style="231" customWidth="1"/>
    <col min="12787" max="12789" width="10.7109375" style="231"/>
    <col min="12790" max="12791" width="10.7109375" style="231" customWidth="1"/>
    <col min="12792" max="12792" width="10.7109375" style="231"/>
    <col min="12793" max="12793" width="10.7109375" style="231" customWidth="1"/>
    <col min="12794" max="12794" width="10.7109375" style="231"/>
    <col min="12795" max="12798" width="10.7109375" style="231" customWidth="1"/>
    <col min="12799" max="12800" width="10.7109375" style="231"/>
    <col min="12801" max="12801" width="10.7109375" style="231" customWidth="1"/>
    <col min="12802" max="12803" width="10.7109375" style="231"/>
    <col min="12804" max="12804" width="10.7109375" style="231" customWidth="1"/>
    <col min="12805" max="12805" width="10.7109375" style="231"/>
    <col min="12806" max="12808" width="10.7109375" style="231" customWidth="1"/>
    <col min="12809" max="12809" width="10.7109375" style="231"/>
    <col min="12810" max="12813" width="10.7109375" style="231" customWidth="1"/>
    <col min="12814" max="12814" width="10.7109375" style="231"/>
    <col min="12815" max="12815" width="10.7109375" style="231" customWidth="1"/>
    <col min="12816" max="12816" width="10.7109375" style="231"/>
    <col min="12817" max="12851" width="10.7109375" style="231" customWidth="1"/>
    <col min="12852" max="12854" width="10.7109375" style="231"/>
    <col min="12855" max="12860" width="10.7109375" style="231" customWidth="1"/>
    <col min="12861" max="12861" width="10.7109375" style="231"/>
    <col min="12862" max="12862" width="10.7109375" style="231" customWidth="1"/>
    <col min="12863" max="12865" width="10.7109375" style="231"/>
    <col min="12866" max="12866" width="10.7109375" style="231" customWidth="1"/>
    <col min="12867" max="12867" width="10.7109375" style="231"/>
    <col min="12868" max="12868" width="10.7109375" style="231" customWidth="1"/>
    <col min="12869" max="12869" width="10.7109375" style="231"/>
    <col min="12870" max="12870" width="10.7109375" style="231" customWidth="1"/>
    <col min="12871" max="12871" width="10.7109375" style="231"/>
    <col min="12872" max="12877" width="10.7109375" style="231" customWidth="1"/>
    <col min="12878" max="12878" width="10.7109375" style="231"/>
    <col min="12879" max="12879" width="10.7109375" style="231" customWidth="1"/>
    <col min="12880" max="12880" width="10.7109375" style="231"/>
    <col min="12881" max="12948" width="10.7109375" style="231" customWidth="1"/>
    <col min="12949" max="12949" width="10.7109375" style="231"/>
    <col min="12950" max="12950" width="10.7109375" style="231" customWidth="1"/>
    <col min="12951" max="12951" width="10.7109375" style="231"/>
    <col min="12952" max="12952" width="10.7109375" style="231" customWidth="1"/>
    <col min="12953" max="12953" width="10.7109375" style="231"/>
    <col min="12954" max="12956" width="10.7109375" style="231" customWidth="1"/>
    <col min="12957" max="12958" width="10.7109375" style="231"/>
    <col min="12959" max="12959" width="10.7109375" style="231" customWidth="1"/>
    <col min="12960" max="12974" width="10.7109375" style="231"/>
    <col min="12975" max="12975" width="10.7109375" style="231" customWidth="1"/>
    <col min="12976" max="12977" width="10.7109375" style="231"/>
    <col min="12978" max="12980" width="10.7109375" style="231" customWidth="1"/>
    <col min="12981" max="12982" width="10.7109375" style="231"/>
    <col min="12983" max="12983" width="10.7109375" style="231" customWidth="1"/>
    <col min="12984" max="12984" width="10.7109375" style="231"/>
    <col min="12985" max="12986" width="10.7109375" style="231" customWidth="1"/>
    <col min="12987" max="12988" width="10.7109375" style="231"/>
    <col min="12989" max="12991" width="10.7109375" style="231" customWidth="1"/>
    <col min="12992" max="12992" width="10.7109375" style="231"/>
    <col min="12993" max="12994" width="10.7109375" style="231" customWidth="1"/>
    <col min="12995" max="12995" width="10.7109375" style="231"/>
    <col min="12996" max="12998" width="10.7109375" style="231" customWidth="1"/>
    <col min="12999" max="13002" width="10.7109375" style="231"/>
    <col min="13003" max="13003" width="10.7109375" style="231" customWidth="1"/>
    <col min="13004" max="13005" width="10.7109375" style="231"/>
    <col min="13006" max="13007" width="10.7109375" style="231" customWidth="1"/>
    <col min="13008" max="13008" width="10.7109375" style="231"/>
    <col min="13009" max="13010" width="10.7109375" style="231" customWidth="1"/>
    <col min="13011" max="13011" width="10.7109375" style="231"/>
    <col min="13012" max="13013" width="10.7109375" style="231" customWidth="1"/>
    <col min="13014" max="13016" width="10.7109375" style="231"/>
    <col min="13017" max="13017" width="10.7109375" style="231" customWidth="1"/>
    <col min="13018" max="13019" width="10.7109375" style="231"/>
    <col min="13020" max="13021" width="10.7109375" style="231" customWidth="1"/>
    <col min="13022" max="13024" width="10.7109375" style="231"/>
    <col min="13025" max="13025" width="10.7109375" style="231" customWidth="1"/>
    <col min="13026" max="13027" width="10.7109375" style="231"/>
    <col min="13028" max="13028" width="10.7109375" style="231" customWidth="1"/>
    <col min="13029" max="13029" width="10.7109375" style="231"/>
    <col min="13030" max="13032" width="10.7109375" style="231" customWidth="1"/>
    <col min="13033" max="13033" width="10.7109375" style="231"/>
    <col min="13034" max="13037" width="10.7109375" style="231" customWidth="1"/>
    <col min="13038" max="13038" width="10.7109375" style="231"/>
    <col min="13039" max="13039" width="10.7109375" style="231" customWidth="1"/>
    <col min="13040" max="13040" width="10.7109375" style="231"/>
    <col min="13041" max="13107" width="10.7109375" style="231" customWidth="1"/>
    <col min="13108" max="13110" width="10.7109375" style="231"/>
    <col min="13111" max="13116" width="10.7109375" style="231" customWidth="1"/>
    <col min="13117" max="13117" width="10.7109375" style="231"/>
    <col min="13118" max="13118" width="10.7109375" style="231" customWidth="1"/>
    <col min="13119" max="13121" width="10.7109375" style="231"/>
    <col min="13122" max="13122" width="10.7109375" style="231" customWidth="1"/>
    <col min="13123" max="13123" width="10.7109375" style="231"/>
    <col min="13124" max="13124" width="10.7109375" style="231" customWidth="1"/>
    <col min="13125" max="13125" width="10.7109375" style="231"/>
    <col min="13126" max="13126" width="10.7109375" style="231" customWidth="1"/>
    <col min="13127" max="13127" width="10.7109375" style="231"/>
    <col min="13128" max="13133" width="10.7109375" style="231" customWidth="1"/>
    <col min="13134" max="13134" width="10.7109375" style="231"/>
    <col min="13135" max="13135" width="10.7109375" style="231" customWidth="1"/>
    <col min="13136" max="13136" width="10.7109375" style="231"/>
    <col min="13137" max="13204" width="10.7109375" style="231" customWidth="1"/>
    <col min="13205" max="13207" width="10.7109375" style="231"/>
    <col min="13208" max="13208" width="10.7109375" style="231" customWidth="1"/>
    <col min="13209" max="13209" width="10.7109375" style="231"/>
    <col min="13210" max="13212" width="10.7109375" style="231" customWidth="1"/>
    <col min="13213" max="13214" width="10.7109375" style="231"/>
    <col min="13215" max="13215" width="10.7109375" style="231" customWidth="1"/>
    <col min="13216" max="13230" width="10.7109375" style="231"/>
    <col min="13231" max="13231" width="10.7109375" style="231" customWidth="1"/>
    <col min="13232" max="13233" width="10.7109375" style="231"/>
    <col min="13234" max="13236" width="10.7109375" style="231" customWidth="1"/>
    <col min="13237" max="13238" width="10.7109375" style="231"/>
    <col min="13239" max="13239" width="10.7109375" style="231" customWidth="1"/>
    <col min="13240" max="13240" width="10.7109375" style="231"/>
    <col min="13241" max="13242" width="10.7109375" style="231" customWidth="1"/>
    <col min="13243" max="13244" width="10.7109375" style="231"/>
    <col min="13245" max="13247" width="10.7109375" style="231" customWidth="1"/>
    <col min="13248" max="13248" width="10.7109375" style="231"/>
    <col min="13249" max="13250" width="10.7109375" style="231" customWidth="1"/>
    <col min="13251" max="13251" width="10.7109375" style="231"/>
    <col min="13252" max="13254" width="10.7109375" style="231" customWidth="1"/>
    <col min="13255" max="13258" width="10.7109375" style="231"/>
    <col min="13259" max="13259" width="10.7109375" style="231" customWidth="1"/>
    <col min="13260" max="13261" width="10.7109375" style="231"/>
    <col min="13262" max="13263" width="10.7109375" style="231" customWidth="1"/>
    <col min="13264" max="13264" width="10.7109375" style="231"/>
    <col min="13265" max="13272" width="10.7109375" style="231" customWidth="1"/>
    <col min="13273" max="13273" width="10.7109375" style="231"/>
    <col min="13274" max="13274" width="10.7109375" style="231" customWidth="1"/>
    <col min="13275" max="13275" width="10.7109375" style="231"/>
    <col min="13276" max="13280" width="10.7109375" style="231" customWidth="1"/>
    <col min="13281" max="13281" width="10.7109375" style="231"/>
    <col min="13282" max="13282" width="10.7109375" style="231" customWidth="1"/>
    <col min="13283" max="13285" width="10.7109375" style="231"/>
    <col min="13286" max="13290" width="10.7109375" style="231" customWidth="1"/>
    <col min="13291" max="13291" width="10.7109375" style="231"/>
    <col min="13292" max="13363" width="10.7109375" style="231" customWidth="1"/>
    <col min="13364" max="13364" width="10.7109375" style="231"/>
    <col min="13365" max="13366" width="10.7109375" style="231" customWidth="1"/>
    <col min="13367" max="13369" width="10.7109375" style="231"/>
    <col min="13370" max="13370" width="10.7109375" style="231" customWidth="1"/>
    <col min="13371" max="13372" width="10.7109375" style="231"/>
    <col min="13373" max="13373" width="10.7109375" style="231" customWidth="1"/>
    <col min="13374" max="13374" width="10.7109375" style="231"/>
    <col min="13375" max="13375" width="10.7109375" style="231" customWidth="1"/>
    <col min="13376" max="13390" width="10.7109375" style="231"/>
    <col min="13391" max="13391" width="10.7109375" style="231" customWidth="1"/>
    <col min="13392" max="13392" width="10.7109375" style="231"/>
    <col min="13393" max="13395" width="10.7109375" style="231" customWidth="1"/>
    <col min="13396" max="13396" width="10.7109375" style="231"/>
    <col min="13397" max="13399" width="10.7109375" style="231" customWidth="1"/>
    <col min="13400" max="13400" width="10.7109375" style="231"/>
    <col min="13401" max="13404" width="10.7109375" style="231" customWidth="1"/>
    <col min="13405" max="13407" width="10.7109375" style="231"/>
    <col min="13408" max="13408" width="10.7109375" style="231" customWidth="1"/>
    <col min="13409" max="13411" width="10.7109375" style="231"/>
    <col min="13412" max="13413" width="10.7109375" style="231" customWidth="1"/>
    <col min="13414" max="13414" width="10.7109375" style="231"/>
    <col min="13415" max="13417" width="10.7109375" style="231" customWidth="1"/>
    <col min="13418" max="13418" width="10.7109375" style="231"/>
    <col min="13419" max="13419" width="10.7109375" style="231" customWidth="1"/>
    <col min="13420" max="13421" width="10.7109375" style="231"/>
    <col min="13422" max="13423" width="10.7109375" style="231" customWidth="1"/>
    <col min="13424" max="13424" width="10.7109375" style="231"/>
    <col min="13425" max="13432" width="10.7109375" style="231" customWidth="1"/>
    <col min="13433" max="13433" width="10.7109375" style="231"/>
    <col min="13434" max="13434" width="10.7109375" style="231" customWidth="1"/>
    <col min="13435" max="13435" width="10.7109375" style="231"/>
    <col min="13436" max="13440" width="10.7109375" style="231" customWidth="1"/>
    <col min="13441" max="13441" width="10.7109375" style="231"/>
    <col min="13442" max="13442" width="10.7109375" style="231" customWidth="1"/>
    <col min="13443" max="13445" width="10.7109375" style="231"/>
    <col min="13446" max="13450" width="10.7109375" style="231" customWidth="1"/>
    <col min="13451" max="13451" width="10.7109375" style="231"/>
    <col min="13452" max="13457" width="10.7109375" style="231" customWidth="1"/>
    <col min="13458" max="13458" width="10.7109375" style="231"/>
    <col min="13459" max="13491" width="10.7109375" style="231" customWidth="1"/>
    <col min="13492" max="13492" width="10.7109375" style="231"/>
    <col min="13493" max="13495" width="10.7109375" style="231" customWidth="1"/>
    <col min="13496" max="13497" width="10.7109375" style="231"/>
    <col min="13498" max="13498" width="10.7109375" style="231" customWidth="1"/>
    <col min="13499" max="13500" width="10.7109375" style="231"/>
    <col min="13501" max="13501" width="10.7109375" style="231" customWidth="1"/>
    <col min="13502" max="13502" width="10.7109375" style="231"/>
    <col min="13503" max="13503" width="10.7109375" style="231" customWidth="1"/>
    <col min="13504" max="13518" width="10.7109375" style="231"/>
    <col min="13519" max="13519" width="10.7109375" style="231" customWidth="1"/>
    <col min="13520" max="13520" width="10.7109375" style="231"/>
    <col min="13521" max="13522" width="10.7109375" style="231" customWidth="1"/>
    <col min="13523" max="13524" width="10.7109375" style="231"/>
    <col min="13525" max="13527" width="10.7109375" style="231" customWidth="1"/>
    <col min="13528" max="13530" width="10.7109375" style="231"/>
    <col min="13531" max="13534" width="10.7109375" style="231" customWidth="1"/>
    <col min="13535" max="13535" width="10.7109375" style="231"/>
    <col min="13536" max="13536" width="10.7109375" style="231" customWidth="1"/>
    <col min="13537" max="13539" width="10.7109375" style="231"/>
    <col min="13540" max="13541" width="10.7109375" style="231" customWidth="1"/>
    <col min="13542" max="13542" width="10.7109375" style="231"/>
    <col min="13543" max="13545" width="10.7109375" style="231" customWidth="1"/>
    <col min="13546" max="13546" width="10.7109375" style="231"/>
    <col min="13547" max="13547" width="10.7109375" style="231" customWidth="1"/>
    <col min="13548" max="13549" width="10.7109375" style="231"/>
    <col min="13550" max="13551" width="10.7109375" style="231" customWidth="1"/>
    <col min="13552" max="13556" width="10.7109375" style="231"/>
    <col min="13557" max="13557" width="10.7109375" style="231" customWidth="1"/>
    <col min="13558" max="13558" width="10.7109375" style="231"/>
    <col min="13559" max="13568" width="10.7109375" style="231" customWidth="1"/>
    <col min="13569" max="13582" width="10.7109375" style="231"/>
    <col min="13583" max="13583" width="10.7109375" style="231" customWidth="1"/>
    <col min="13584" max="13584" width="10.7109375" style="231"/>
    <col min="13585" max="13585" width="10.7109375" style="231" customWidth="1"/>
    <col min="13586" max="13616" width="10.7109375" style="231"/>
    <col min="13617" max="13617" width="10.7109375" style="231" customWidth="1"/>
    <col min="13618" max="13618" width="10.7109375" style="231"/>
    <col min="13619" max="13680" width="10.7109375" style="231" customWidth="1"/>
    <col min="13681" max="13683" width="10.7109375" style="231"/>
    <col min="13684" max="13724" width="10.7109375" style="231" customWidth="1"/>
    <col min="13725" max="13725" width="10.7109375" style="231"/>
    <col min="13726" max="13726" width="10.7109375" style="231" customWidth="1"/>
    <col min="13727" max="13728" width="10.7109375" style="231"/>
    <col min="13729" max="13730" width="10.7109375" style="231" customWidth="1"/>
    <col min="13731" max="13733" width="10.7109375" style="231"/>
    <col min="13734" max="13738" width="10.7109375" style="231" customWidth="1"/>
    <col min="13739" max="13739" width="10.7109375" style="231"/>
    <col min="13740" max="13752" width="10.7109375" style="231" customWidth="1"/>
    <col min="13753" max="13753" width="10.7109375" style="231"/>
    <col min="13754" max="13754" width="10.7109375" style="231" customWidth="1"/>
    <col min="13755" max="13755" width="10.7109375" style="231"/>
    <col min="13756" max="13760" width="10.7109375" style="231" customWidth="1"/>
    <col min="13761" max="13761" width="10.7109375" style="231"/>
    <col min="13762" max="13762" width="10.7109375" style="231" customWidth="1"/>
    <col min="13763" max="13765" width="10.7109375" style="231"/>
    <col min="13766" max="13770" width="10.7109375" style="231" customWidth="1"/>
    <col min="13771" max="13771" width="10.7109375" style="231"/>
    <col min="13772" max="13784" width="10.7109375" style="231" customWidth="1"/>
    <col min="13785" max="13785" width="10.7109375" style="231"/>
    <col min="13786" max="13786" width="10.7109375" style="231" customWidth="1"/>
    <col min="13787" max="13787" width="10.7109375" style="231"/>
    <col min="13788" max="13792" width="10.7109375" style="231" customWidth="1"/>
    <col min="13793" max="13793" width="10.7109375" style="231"/>
    <col min="13794" max="13794" width="10.7109375" style="231" customWidth="1"/>
    <col min="13795" max="13797" width="10.7109375" style="231"/>
    <col min="13798" max="13802" width="10.7109375" style="231" customWidth="1"/>
    <col min="13803" max="13803" width="10.7109375" style="231"/>
    <col min="13804" max="13816" width="10.7109375" style="231" customWidth="1"/>
    <col min="13817" max="13817" width="10.7109375" style="231"/>
    <col min="13818" max="13818" width="10.7109375" style="231" customWidth="1"/>
    <col min="13819" max="13819" width="10.7109375" style="231"/>
    <col min="13820" max="13824" width="10.7109375" style="231" customWidth="1"/>
    <col min="13825" max="13825" width="10.7109375" style="231"/>
    <col min="13826" max="13826" width="10.7109375" style="231" customWidth="1"/>
    <col min="13827" max="13829" width="10.7109375" style="231"/>
    <col min="13830" max="13834" width="10.7109375" style="231" customWidth="1"/>
    <col min="13835" max="13835" width="10.7109375" style="231"/>
    <col min="13836" max="13852" width="10.7109375" style="231" customWidth="1"/>
    <col min="13853" max="13853" width="10.7109375" style="231"/>
    <col min="13854" max="13854" width="10.7109375" style="231" customWidth="1"/>
    <col min="13855" max="13856" width="10.7109375" style="231"/>
    <col min="13857" max="13858" width="10.7109375" style="231" customWidth="1"/>
    <col min="13859" max="13861" width="10.7109375" style="231"/>
    <col min="13862" max="13866" width="10.7109375" style="231" customWidth="1"/>
    <col min="13867" max="13867" width="10.7109375" style="231"/>
    <col min="13868" max="13875" width="10.7109375" style="231" customWidth="1"/>
    <col min="13876" max="13876" width="10.7109375" style="231"/>
    <col min="13877" max="13881" width="10.7109375" style="231" customWidth="1"/>
    <col min="13882" max="13884" width="10.7109375" style="231"/>
    <col min="13885" max="13885" width="10.7109375" style="231" customWidth="1"/>
    <col min="13886" max="13886" width="10.7109375" style="231"/>
    <col min="13887" max="13887" width="10.7109375" style="231" customWidth="1"/>
    <col min="13888" max="13902" width="10.7109375" style="231"/>
    <col min="13903" max="13903" width="10.7109375" style="231" customWidth="1"/>
    <col min="13904" max="13904" width="10.7109375" style="231"/>
    <col min="13905" max="13907" width="10.7109375" style="231" customWidth="1"/>
    <col min="13908" max="13908" width="10.7109375" style="231"/>
    <col min="13909" max="13911" width="10.7109375" style="231" customWidth="1"/>
    <col min="13912" max="13912" width="10.7109375" style="231"/>
    <col min="13913" max="13916" width="10.7109375" style="231" customWidth="1"/>
    <col min="13917" max="13919" width="10.7109375" style="231"/>
    <col min="13920" max="13920" width="10.7109375" style="231" customWidth="1"/>
    <col min="13921" max="13923" width="10.7109375" style="231"/>
    <col min="13924" max="13925" width="10.7109375" style="231" customWidth="1"/>
    <col min="13926" max="13926" width="10.7109375" style="231"/>
    <col min="13927" max="13929" width="10.7109375" style="231" customWidth="1"/>
    <col min="13930" max="13930" width="10.7109375" style="231"/>
    <col min="13931" max="13931" width="10.7109375" style="231" customWidth="1"/>
    <col min="13932" max="13933" width="10.7109375" style="231"/>
    <col min="13934" max="13935" width="10.7109375" style="231" customWidth="1"/>
    <col min="13936" max="13936" width="10.7109375" style="231"/>
    <col min="13937" max="13944" width="10.7109375" style="231" customWidth="1"/>
    <col min="13945" max="13945" width="10.7109375" style="231"/>
    <col min="13946" max="13946" width="10.7109375" style="231" customWidth="1"/>
    <col min="13947" max="13947" width="10.7109375" style="231"/>
    <col min="13948" max="13952" width="10.7109375" style="231" customWidth="1"/>
    <col min="13953" max="13953" width="10.7109375" style="231"/>
    <col min="13954" max="13954" width="10.7109375" style="231" customWidth="1"/>
    <col min="13955" max="13957" width="10.7109375" style="231"/>
    <col min="13958" max="13962" width="10.7109375" style="231" customWidth="1"/>
    <col min="13963" max="13963" width="10.7109375" style="231"/>
    <col min="13964" max="13971" width="10.7109375" style="231" customWidth="1"/>
    <col min="13972" max="13972" width="10.7109375" style="231"/>
    <col min="13973" max="14005" width="10.7109375" style="231" customWidth="1"/>
    <col min="14006" max="14006" width="10.7109375" style="231"/>
    <col min="14007" max="14037" width="10.7109375" style="231" customWidth="1"/>
    <col min="14038" max="14039" width="10.7109375" style="231"/>
    <col min="14040" max="14040" width="10.7109375" style="231" customWidth="1"/>
    <col min="14041" max="14041" width="10.7109375" style="231"/>
    <col min="14042" max="14042" width="10.7109375" style="231" customWidth="1"/>
    <col min="14043" max="14043" width="10.7109375" style="231"/>
    <col min="14044" max="14044" width="10.7109375" style="231" customWidth="1"/>
    <col min="14045" max="14046" width="10.7109375" style="231"/>
    <col min="14047" max="14048" width="10.7109375" style="231" customWidth="1"/>
    <col min="14049" max="14049" width="10.7109375" style="231"/>
    <col min="14050" max="14051" width="10.7109375" style="231" customWidth="1"/>
    <col min="14052" max="14054" width="10.7109375" style="231"/>
    <col min="14055" max="14056" width="10.7109375" style="231" customWidth="1"/>
    <col min="14057" max="14057" width="10.7109375" style="231"/>
    <col min="14058" max="14060" width="10.7109375" style="231" customWidth="1"/>
    <col min="14061" max="14061" width="10.7109375" style="231"/>
    <col min="14062" max="14068" width="10.7109375" style="231" customWidth="1"/>
    <col min="14069" max="14070" width="10.7109375" style="231"/>
    <col min="14071" max="14071" width="10.7109375" style="231" customWidth="1"/>
    <col min="14072" max="14072" width="10.7109375" style="231"/>
    <col min="14073" max="14073" width="10.7109375" style="231" customWidth="1"/>
    <col min="14074" max="14074" width="10.7109375" style="231"/>
    <col min="14075" max="14076" width="10.7109375" style="231" customWidth="1"/>
    <col min="14077" max="14077" width="10.7109375" style="231"/>
    <col min="14078" max="14078" width="10.7109375" style="231" customWidth="1"/>
    <col min="14079" max="14080" width="10.7109375" style="231"/>
    <col min="14081" max="14081" width="10.7109375" style="231" customWidth="1"/>
    <col min="14082" max="14084" width="10.7109375" style="231"/>
    <col min="14085" max="14101" width="10.7109375" style="231" customWidth="1"/>
    <col min="14102" max="14103" width="10.7109375" style="231"/>
    <col min="14104" max="14104" width="10.7109375" style="231" customWidth="1"/>
    <col min="14105" max="14105" width="10.7109375" style="231"/>
    <col min="14106" max="14106" width="10.7109375" style="231" customWidth="1"/>
    <col min="14107" max="14107" width="10.7109375" style="231"/>
    <col min="14108" max="14108" width="10.7109375" style="231" customWidth="1"/>
    <col min="14109" max="14110" width="10.7109375" style="231"/>
    <col min="14111" max="14112" width="10.7109375" style="231" customWidth="1"/>
    <col min="14113" max="14113" width="10.7109375" style="231"/>
    <col min="14114" max="14115" width="10.7109375" style="231" customWidth="1"/>
    <col min="14116" max="14118" width="10.7109375" style="231"/>
    <col min="14119" max="14120" width="10.7109375" style="231" customWidth="1"/>
    <col min="14121" max="14121" width="10.7109375" style="231"/>
    <col min="14122" max="14124" width="10.7109375" style="231" customWidth="1"/>
    <col min="14125" max="14125" width="10.7109375" style="231"/>
    <col min="14126" max="14148" width="10.7109375" style="231" customWidth="1"/>
    <col min="14149" max="14150" width="10.7109375" style="231"/>
    <col min="14151" max="14152" width="10.7109375" style="231" customWidth="1"/>
    <col min="14153" max="14153" width="10.7109375" style="231"/>
    <col min="14154" max="14156" width="10.7109375" style="231" customWidth="1"/>
    <col min="14157" max="14157" width="10.7109375" style="231"/>
    <col min="14158" max="14193" width="10.7109375" style="231" customWidth="1"/>
    <col min="14194" max="14194" width="10.7109375" style="231"/>
    <col min="14195" max="14232" width="10.7109375" style="231" customWidth="1"/>
    <col min="14233" max="14233" width="10.7109375" style="231"/>
    <col min="14234" max="14234" width="10.7109375" style="231" customWidth="1"/>
    <col min="14235" max="14235" width="10.7109375" style="231"/>
    <col min="14236" max="14240" width="10.7109375" style="231" customWidth="1"/>
    <col min="14241" max="14241" width="10.7109375" style="231"/>
    <col min="14242" max="14242" width="10.7109375" style="231" customWidth="1"/>
    <col min="14243" max="14245" width="10.7109375" style="231"/>
    <col min="14246" max="14250" width="10.7109375" style="231" customWidth="1"/>
    <col min="14251" max="14251" width="10.7109375" style="231"/>
    <col min="14252" max="14264" width="10.7109375" style="231" customWidth="1"/>
    <col min="14265" max="14265" width="10.7109375" style="231"/>
    <col min="14266" max="14266" width="10.7109375" style="231" customWidth="1"/>
    <col min="14267" max="14267" width="10.7109375" style="231"/>
    <col min="14268" max="14272" width="10.7109375" style="231" customWidth="1"/>
    <col min="14273" max="14273" width="10.7109375" style="231"/>
    <col min="14274" max="14274" width="10.7109375" style="231" customWidth="1"/>
    <col min="14275" max="14277" width="10.7109375" style="231"/>
    <col min="14278" max="14282" width="10.7109375" style="231" customWidth="1"/>
    <col min="14283" max="14283" width="10.7109375" style="231"/>
    <col min="14284" max="14293" width="10.7109375" style="231" customWidth="1"/>
    <col min="14294" max="14295" width="10.7109375" style="231"/>
    <col min="14296" max="14320" width="10.7109375" style="231" customWidth="1"/>
    <col min="14321" max="14321" width="10.7109375" style="231"/>
    <col min="14322" max="14325" width="10.7109375" style="231" customWidth="1"/>
    <col min="14326" max="14328" width="10.7109375" style="231"/>
    <col min="14329" max="14329" width="10.7109375" style="231" customWidth="1"/>
    <col min="14330" max="14332" width="10.7109375" style="231"/>
    <col min="14333" max="14379" width="10.7109375" style="231" customWidth="1"/>
    <col min="14380" max="14380" width="10.7109375" style="231"/>
    <col min="14381" max="14389" width="10.7109375" style="231" customWidth="1"/>
    <col min="14390" max="14392" width="10.7109375" style="231"/>
    <col min="14393" max="14393" width="10.7109375" style="231" customWidth="1"/>
    <col min="14394" max="14396" width="10.7109375" style="231"/>
    <col min="14397" max="14436" width="10.7109375" style="231" customWidth="1"/>
    <col min="14437" max="14438" width="10.7109375" style="231"/>
    <col min="14439" max="14440" width="10.7109375" style="231" customWidth="1"/>
    <col min="14441" max="14441" width="10.7109375" style="231"/>
    <col min="14442" max="14444" width="10.7109375" style="231" customWidth="1"/>
    <col min="14445" max="14445" width="10.7109375" style="231"/>
    <col min="14446" max="14452" width="10.7109375" style="231" customWidth="1"/>
    <col min="14453" max="14454" width="10.7109375" style="231"/>
    <col min="14455" max="14455" width="10.7109375" style="231" customWidth="1"/>
    <col min="14456" max="14457" width="10.7109375" style="231"/>
    <col min="14458" max="14461" width="10.7109375" style="231" customWidth="1"/>
    <col min="14462" max="14464" width="10.7109375" style="231"/>
    <col min="14465" max="14465" width="10.7109375" style="231" customWidth="1"/>
    <col min="14466" max="14470" width="10.7109375" style="231"/>
    <col min="14471" max="14472" width="10.7109375" style="231" customWidth="1"/>
    <col min="14473" max="14473" width="10.7109375" style="231"/>
    <col min="14474" max="14476" width="10.7109375" style="231" customWidth="1"/>
    <col min="14477" max="14477" width="10.7109375" style="231"/>
    <col min="14478" max="14487" width="10.7109375" style="231" customWidth="1"/>
    <col min="14488" max="14488" width="10.7109375" style="231"/>
    <col min="14489" max="14494" width="10.7109375" style="231" customWidth="1"/>
    <col min="14495" max="14502" width="10.7109375" style="231"/>
    <col min="14503" max="14504" width="10.7109375" style="231" customWidth="1"/>
    <col min="14505" max="14505" width="10.7109375" style="231"/>
    <col min="14506" max="14508" width="10.7109375" style="231" customWidth="1"/>
    <col min="14509" max="14509" width="10.7109375" style="231"/>
    <col min="14510" max="14517" width="10.7109375" style="231" customWidth="1"/>
    <col min="14518" max="14519" width="10.7109375" style="231"/>
    <col min="14520" max="14548" width="10.7109375" style="231" customWidth="1"/>
    <col min="14549" max="14549" width="10.7109375" style="231"/>
    <col min="14550" max="14550" width="10.7109375" style="231" customWidth="1"/>
    <col min="14551" max="14551" width="10.7109375" style="231"/>
    <col min="14552" max="14552" width="10.7109375" style="231" customWidth="1"/>
    <col min="14553" max="14553" width="10.7109375" style="231"/>
    <col min="14554" max="14557" width="10.7109375" style="231" customWidth="1"/>
    <col min="14558" max="14560" width="10.7109375" style="231"/>
    <col min="14561" max="14561" width="10.7109375" style="231" customWidth="1"/>
    <col min="14562" max="14566" width="10.7109375" style="231"/>
    <col min="14567" max="14568" width="10.7109375" style="231" customWidth="1"/>
    <col min="14569" max="14569" width="10.7109375" style="231"/>
    <col min="14570" max="14572" width="10.7109375" style="231" customWidth="1"/>
    <col min="14573" max="14573" width="10.7109375" style="231"/>
    <col min="14574" max="14580" width="10.7109375" style="231" customWidth="1"/>
    <col min="14581" max="14581" width="10.7109375" style="231"/>
    <col min="14582" max="14583" width="10.7109375" style="231" customWidth="1"/>
    <col min="14584" max="14584" width="10.7109375" style="231"/>
    <col min="14585" max="14585" width="10.7109375" style="231" customWidth="1"/>
    <col min="14586" max="14586" width="10.7109375" style="231"/>
    <col min="14587" max="14588" width="10.7109375" style="231" customWidth="1"/>
    <col min="14589" max="14589" width="10.7109375" style="231"/>
    <col min="14590" max="14590" width="10.7109375" style="231" customWidth="1"/>
    <col min="14591" max="14592" width="10.7109375" style="231"/>
    <col min="14593" max="14593" width="10.7109375" style="231" customWidth="1"/>
    <col min="14594" max="14596" width="10.7109375" style="231"/>
    <col min="14597" max="14612" width="10.7109375" style="231" customWidth="1"/>
    <col min="14613" max="14613" width="10.7109375" style="231"/>
    <col min="14614" max="14614" width="10.7109375" style="231" customWidth="1"/>
    <col min="14615" max="14615" width="10.7109375" style="231"/>
    <col min="14616" max="14616" width="10.7109375" style="231" customWidth="1"/>
    <col min="14617" max="14617" width="10.7109375" style="231"/>
    <col min="14618" max="14621" width="10.7109375" style="231" customWidth="1"/>
    <col min="14622" max="14624" width="10.7109375" style="231"/>
    <col min="14625" max="14625" width="10.7109375" style="231" customWidth="1"/>
    <col min="14626" max="14630" width="10.7109375" style="231"/>
    <col min="14631" max="14632" width="10.7109375" style="231" customWidth="1"/>
    <col min="14633" max="14633" width="10.7109375" style="231"/>
    <col min="14634" max="14636" width="10.7109375" style="231" customWidth="1"/>
    <col min="14637" max="14637" width="10.7109375" style="231"/>
    <col min="14638" max="14660" width="10.7109375" style="231" customWidth="1"/>
    <col min="14661" max="14662" width="10.7109375" style="231"/>
    <col min="14663" max="14664" width="10.7109375" style="231" customWidth="1"/>
    <col min="14665" max="14665" width="10.7109375" style="231"/>
    <col min="14666" max="14668" width="10.7109375" style="231" customWidth="1"/>
    <col min="14669" max="14669" width="10.7109375" style="231"/>
    <col min="14670" max="14707" width="10.7109375" style="231" customWidth="1"/>
    <col min="14708" max="14708" width="10.7109375" style="231"/>
    <col min="14709" max="14744" width="10.7109375" style="231" customWidth="1"/>
    <col min="14745" max="14745" width="10.7109375" style="231"/>
    <col min="14746" max="14746" width="10.7109375" style="231" customWidth="1"/>
    <col min="14747" max="14747" width="10.7109375" style="231"/>
    <col min="14748" max="14752" width="10.7109375" style="231" customWidth="1"/>
    <col min="14753" max="14753" width="10.7109375" style="231"/>
    <col min="14754" max="14754" width="10.7109375" style="231" customWidth="1"/>
    <col min="14755" max="14757" width="10.7109375" style="231"/>
    <col min="14758" max="14762" width="10.7109375" style="231" customWidth="1"/>
    <col min="14763" max="14763" width="10.7109375" style="231"/>
    <col min="14764" max="14776" width="10.7109375" style="231" customWidth="1"/>
    <col min="14777" max="14777" width="10.7109375" style="231"/>
    <col min="14778" max="14778" width="10.7109375" style="231" customWidth="1"/>
    <col min="14779" max="14779" width="10.7109375" style="231"/>
    <col min="14780" max="14784" width="10.7109375" style="231" customWidth="1"/>
    <col min="14785" max="14785" width="10.7109375" style="231"/>
    <col min="14786" max="14786" width="10.7109375" style="231" customWidth="1"/>
    <col min="14787" max="14789" width="10.7109375" style="231"/>
    <col min="14790" max="14794" width="10.7109375" style="231" customWidth="1"/>
    <col min="14795" max="14795" width="10.7109375" style="231"/>
    <col min="14796" max="14805" width="10.7109375" style="231" customWidth="1"/>
    <col min="14806" max="14807" width="10.7109375" style="231"/>
    <col min="14808" max="14833" width="10.7109375" style="231" customWidth="1"/>
    <col min="14834" max="14834" width="10.7109375" style="231"/>
    <col min="14835" max="14835" width="10.7109375" style="231" customWidth="1"/>
    <col min="14836" max="14836" width="10.7109375" style="231"/>
    <col min="14837" max="14839" width="10.7109375" style="231" customWidth="1"/>
    <col min="14840" max="14842" width="10.7109375" style="231"/>
    <col min="14843" max="14843" width="10.7109375" style="231" customWidth="1"/>
    <col min="14844" max="14845" width="10.7109375" style="231"/>
    <col min="14846" max="14846" width="10.7109375" style="231" customWidth="1"/>
    <col min="14847" max="14847" width="10.7109375" style="231"/>
    <col min="14848" max="14848" width="10.7109375" style="231" customWidth="1"/>
    <col min="14849" max="14851" width="10.7109375" style="231"/>
    <col min="14852" max="14853" width="10.7109375" style="231" customWidth="1"/>
    <col min="14854" max="14854" width="10.7109375" style="231"/>
    <col min="14855" max="14857" width="10.7109375" style="231" customWidth="1"/>
    <col min="14858" max="14858" width="10.7109375" style="231"/>
    <col min="14859" max="14859" width="10.7109375" style="231" customWidth="1"/>
    <col min="14860" max="14861" width="10.7109375" style="231"/>
    <col min="14862" max="14863" width="10.7109375" style="231" customWidth="1"/>
    <col min="14864" max="14864" width="10.7109375" style="231"/>
    <col min="14865" max="14876" width="10.7109375" style="231" customWidth="1"/>
    <col min="14877" max="14877" width="10.7109375" style="231"/>
    <col min="14878" max="14878" width="10.7109375" style="231" customWidth="1"/>
    <col min="14879" max="14880" width="10.7109375" style="231"/>
    <col min="14881" max="14882" width="10.7109375" style="231" customWidth="1"/>
    <col min="14883" max="14885" width="10.7109375" style="231"/>
    <col min="14886" max="14890" width="10.7109375" style="231" customWidth="1"/>
    <col min="14891" max="14891" width="10.7109375" style="231"/>
    <col min="14892" max="14899" width="10.7109375" style="231" customWidth="1"/>
    <col min="14900" max="14900" width="10.7109375" style="231"/>
    <col min="14901" max="14902" width="10.7109375" style="231" customWidth="1"/>
    <col min="14903" max="14903" width="10.7109375" style="231"/>
    <col min="14904" max="14905" width="10.7109375" style="231" customWidth="1"/>
    <col min="14906" max="14908" width="10.7109375" style="231"/>
    <col min="14909" max="14909" width="10.7109375" style="231" customWidth="1"/>
    <col min="14910" max="14910" width="10.7109375" style="231"/>
    <col min="14911" max="14911" width="10.7109375" style="231" customWidth="1"/>
    <col min="14912" max="14926" width="10.7109375" style="231"/>
    <col min="14927" max="14927" width="10.7109375" style="231" customWidth="1"/>
    <col min="14928" max="14929" width="10.7109375" style="231"/>
    <col min="14930" max="14931" width="10.7109375" style="231" customWidth="1"/>
    <col min="14932" max="14932" width="10.7109375" style="231"/>
    <col min="14933" max="14933" width="10.7109375" style="231" customWidth="1"/>
    <col min="14934" max="14934" width="10.7109375" style="231"/>
    <col min="14935" max="14935" width="10.7109375" style="231" customWidth="1"/>
    <col min="14936" max="14936" width="10.7109375" style="231"/>
    <col min="14937" max="14938" width="10.7109375" style="231" customWidth="1"/>
    <col min="14939" max="14941" width="10.7109375" style="231"/>
    <col min="14942" max="14942" width="10.7109375" style="231" customWidth="1"/>
    <col min="14943" max="14943" width="10.7109375" style="231"/>
    <col min="14944" max="14944" width="10.7109375" style="231" customWidth="1"/>
    <col min="14945" max="14947" width="10.7109375" style="231"/>
    <col min="14948" max="14949" width="10.7109375" style="231" customWidth="1"/>
    <col min="14950" max="14950" width="10.7109375" style="231"/>
    <col min="14951" max="14953" width="10.7109375" style="231" customWidth="1"/>
    <col min="14954" max="14954" width="10.7109375" style="231"/>
    <col min="14955" max="14955" width="10.7109375" style="231" customWidth="1"/>
    <col min="14956" max="14957" width="10.7109375" style="231"/>
    <col min="14958" max="14959" width="10.7109375" style="231" customWidth="1"/>
    <col min="14960" max="14960" width="10.7109375" style="231"/>
    <col min="14961" max="14972" width="10.7109375" style="231" customWidth="1"/>
    <col min="14973" max="14973" width="10.7109375" style="231"/>
    <col min="14974" max="14974" width="10.7109375" style="231" customWidth="1"/>
    <col min="14975" max="14976" width="10.7109375" style="231"/>
    <col min="14977" max="14978" width="10.7109375" style="231" customWidth="1"/>
    <col min="14979" max="14981" width="10.7109375" style="231"/>
    <col min="14982" max="14986" width="10.7109375" style="231" customWidth="1"/>
    <col min="14987" max="14987" width="10.7109375" style="231"/>
    <col min="14988" max="14996" width="10.7109375" style="231" customWidth="1"/>
    <col min="14997" max="14998" width="10.7109375" style="231"/>
    <col min="14999" max="14999" width="10.7109375" style="231" customWidth="1"/>
    <col min="15000" max="15001" width="10.7109375" style="231"/>
    <col min="15002" max="15004" width="10.7109375" style="231" customWidth="1"/>
    <col min="15005" max="15006" width="10.7109375" style="231"/>
    <col min="15007" max="15008" width="10.7109375" style="231" customWidth="1"/>
    <col min="15009" max="15009" width="10.7109375" style="231"/>
    <col min="15010" max="15010" width="10.7109375" style="231" customWidth="1"/>
    <col min="15011" max="15011" width="10.7109375" style="231"/>
    <col min="15012" max="15012" width="10.7109375" style="231" customWidth="1"/>
    <col min="15013" max="15014" width="10.7109375" style="231"/>
    <col min="15015" max="15018" width="10.7109375" style="231" customWidth="1"/>
    <col min="15019" max="15019" width="10.7109375" style="231"/>
    <col min="15020" max="15021" width="10.7109375" style="231" customWidth="1"/>
    <col min="15022" max="15023" width="10.7109375" style="231"/>
    <col min="15024" max="15029" width="10.7109375" style="231" customWidth="1"/>
    <col min="15030" max="15031" width="10.7109375" style="231"/>
    <col min="15032" max="15059" width="10.7109375" style="231" customWidth="1"/>
    <col min="15060" max="15061" width="10.7109375" style="231"/>
    <col min="15062" max="15063" width="10.7109375" style="231" customWidth="1"/>
    <col min="15064" max="15064" width="10.7109375" style="231"/>
    <col min="15065" max="15065" width="10.7109375" style="231" customWidth="1"/>
    <col min="15066" max="15066" width="10.7109375" style="231"/>
    <col min="15067" max="15068" width="10.7109375" style="231" customWidth="1"/>
    <col min="15069" max="15070" width="10.7109375" style="231"/>
    <col min="15071" max="15071" width="10.7109375" style="231" customWidth="1"/>
    <col min="15072" max="15072" width="10.7109375" style="231"/>
    <col min="15073" max="15073" width="10.7109375" style="231" customWidth="1"/>
    <col min="15074" max="15075" width="10.7109375" style="231"/>
    <col min="15076" max="15076" width="10.7109375" style="231" customWidth="1"/>
    <col min="15077" max="15077" width="10.7109375" style="231"/>
    <col min="15078" max="15080" width="10.7109375" style="231" customWidth="1"/>
    <col min="15081" max="15081" width="10.7109375" style="231"/>
    <col min="15082" max="15085" width="10.7109375" style="231" customWidth="1"/>
    <col min="15086" max="15086" width="10.7109375" style="231"/>
    <col min="15087" max="15087" width="10.7109375" style="231" customWidth="1"/>
    <col min="15088" max="15088" width="10.7109375" style="231"/>
    <col min="15089" max="15092" width="10.7109375" style="231" customWidth="1"/>
    <col min="15093" max="15094" width="10.7109375" style="231"/>
    <col min="15095" max="15095" width="10.7109375" style="231" customWidth="1"/>
    <col min="15096" max="15098" width="10.7109375" style="231"/>
    <col min="15099" max="15099" width="10.7109375" style="231" customWidth="1"/>
    <col min="15100" max="15100" width="10.7109375" style="231"/>
    <col min="15101" max="15101" width="10.7109375" style="231" customWidth="1"/>
    <col min="15102" max="15103" width="10.7109375" style="231"/>
    <col min="15104" max="15105" width="10.7109375" style="231" customWidth="1"/>
    <col min="15106" max="15106" width="10.7109375" style="231"/>
    <col min="15107" max="15108" width="10.7109375" style="231" customWidth="1"/>
    <col min="15109" max="15109" width="10.7109375" style="231"/>
    <col min="15110" max="15113" width="10.7109375" style="231" customWidth="1"/>
    <col min="15114" max="15114" width="10.7109375" style="231"/>
    <col min="15115" max="15116" width="10.7109375" style="231" customWidth="1"/>
    <col min="15117" max="15117" width="10.7109375" style="231"/>
    <col min="15118" max="15123" width="10.7109375" style="231" customWidth="1"/>
    <col min="15124" max="15129" width="10.7109375" style="231"/>
    <col min="15130" max="15130" width="10.7109375" style="231" customWidth="1"/>
    <col min="15131" max="15134" width="10.7109375" style="231"/>
    <col min="15135" max="15135" width="10.7109375" style="231" customWidth="1"/>
    <col min="15136" max="15139" width="10.7109375" style="231"/>
    <col min="15140" max="15141" width="10.7109375" style="231" customWidth="1"/>
    <col min="15142" max="15142" width="10.7109375" style="231"/>
    <col min="15143" max="15145" width="10.7109375" style="231" customWidth="1"/>
    <col min="15146" max="15146" width="10.7109375" style="231"/>
    <col min="15147" max="15147" width="10.7109375" style="231" customWidth="1"/>
    <col min="15148" max="15149" width="10.7109375" style="231"/>
    <col min="15150" max="15151" width="10.7109375" style="231" customWidth="1"/>
    <col min="15152" max="15152" width="10.7109375" style="231"/>
    <col min="15153" max="15155" width="10.7109375" style="231" customWidth="1"/>
    <col min="15156" max="15156" width="10.7109375" style="231"/>
    <col min="15157" max="15158" width="10.7109375" style="231" customWidth="1"/>
    <col min="15159" max="15159" width="10.7109375" style="231"/>
    <col min="15160" max="15161" width="10.7109375" style="231" customWidth="1"/>
    <col min="15162" max="15164" width="10.7109375" style="231"/>
    <col min="15165" max="15165" width="10.7109375" style="231" customWidth="1"/>
    <col min="15166" max="15166" width="10.7109375" style="231"/>
    <col min="15167" max="15167" width="10.7109375" style="231" customWidth="1"/>
    <col min="15168" max="15182" width="10.7109375" style="231"/>
    <col min="15183" max="15183" width="10.7109375" style="231" customWidth="1"/>
    <col min="15184" max="15184" width="10.7109375" style="231"/>
    <col min="15185" max="15185" width="10.7109375" style="231" customWidth="1"/>
    <col min="15186" max="15189" width="10.7109375" style="231"/>
    <col min="15190" max="15193" width="10.7109375" style="231" customWidth="1"/>
    <col min="15194" max="15198" width="10.7109375" style="231"/>
    <col min="15199" max="15199" width="10.7109375" style="231" customWidth="1"/>
    <col min="15200" max="15203" width="10.7109375" style="231"/>
    <col min="15204" max="15205" width="10.7109375" style="231" customWidth="1"/>
    <col min="15206" max="15206" width="10.7109375" style="231"/>
    <col min="15207" max="15209" width="10.7109375" style="231" customWidth="1"/>
    <col min="15210" max="15210" width="10.7109375" style="231"/>
    <col min="15211" max="15211" width="10.7109375" style="231" customWidth="1"/>
    <col min="15212" max="15213" width="10.7109375" style="231"/>
    <col min="15214" max="15215" width="10.7109375" style="231" customWidth="1"/>
    <col min="15216" max="15216" width="10.7109375" style="231"/>
    <col min="15217" max="15228" width="10.7109375" style="231" customWidth="1"/>
    <col min="15229" max="15229" width="10.7109375" style="231"/>
    <col min="15230" max="15230" width="10.7109375" style="231" customWidth="1"/>
    <col min="15231" max="15232" width="10.7109375" style="231"/>
    <col min="15233" max="15234" width="10.7109375" style="231" customWidth="1"/>
    <col min="15235" max="15237" width="10.7109375" style="231"/>
    <col min="15238" max="15242" width="10.7109375" style="231" customWidth="1"/>
    <col min="15243" max="15243" width="10.7109375" style="231"/>
    <col min="15244" max="15252" width="10.7109375" style="231" customWidth="1"/>
    <col min="15253" max="15254" width="10.7109375" style="231"/>
    <col min="15255" max="15255" width="10.7109375" style="231" customWidth="1"/>
    <col min="15256" max="15258" width="10.7109375" style="231"/>
    <col min="15259" max="15260" width="10.7109375" style="231" customWidth="1"/>
    <col min="15261" max="15262" width="10.7109375" style="231"/>
    <col min="15263" max="15266" width="10.7109375" style="231" customWidth="1"/>
    <col min="15267" max="15267" width="10.7109375" style="231"/>
    <col min="15268" max="15268" width="10.7109375" style="231" customWidth="1"/>
    <col min="15269" max="15270" width="10.7109375" style="231"/>
    <col min="15271" max="15272" width="10.7109375" style="231" customWidth="1"/>
    <col min="15273" max="15275" width="10.7109375" style="231"/>
    <col min="15276" max="15276" width="10.7109375" style="231" customWidth="1"/>
    <col min="15277" max="15278" width="10.7109375" style="231"/>
    <col min="15279" max="15283" width="10.7109375" style="231" customWidth="1"/>
    <col min="15284" max="15285" width="10.7109375" style="231"/>
    <col min="15286" max="15286" width="10.7109375" style="231" customWidth="1"/>
    <col min="15287" max="15287" width="10.7109375" style="231"/>
    <col min="15288" max="15289" width="10.7109375" style="231" customWidth="1"/>
    <col min="15290" max="15292" width="10.7109375" style="231"/>
    <col min="15293" max="15293" width="10.7109375" style="231" customWidth="1"/>
    <col min="15294" max="15294" width="10.7109375" style="231"/>
    <col min="15295" max="15295" width="10.7109375" style="231" customWidth="1"/>
    <col min="15296" max="15310" width="10.7109375" style="231"/>
    <col min="15311" max="15311" width="10.7109375" style="231" customWidth="1"/>
    <col min="15312" max="15313" width="10.7109375" style="231"/>
    <col min="15314" max="15314" width="10.7109375" style="231" customWidth="1"/>
    <col min="15315" max="15315" width="10.7109375" style="231"/>
    <col min="15316" max="15316" width="10.7109375" style="231" customWidth="1"/>
    <col min="15317" max="15317" width="10.7109375" style="231"/>
    <col min="15318" max="15318" width="10.7109375" style="231" customWidth="1"/>
    <col min="15319" max="15325" width="10.7109375" style="231"/>
    <col min="15326" max="15326" width="10.7109375" style="231" customWidth="1"/>
    <col min="15327" max="15329" width="10.7109375" style="231"/>
    <col min="15330" max="15334" width="10.7109375" style="231" customWidth="1"/>
    <col min="15335" max="15338" width="10.7109375" style="231"/>
    <col min="15339" max="15339" width="10.7109375" style="231" customWidth="1"/>
    <col min="15340" max="15341" width="10.7109375" style="231"/>
    <col min="15342" max="15343" width="10.7109375" style="231" customWidth="1"/>
    <col min="15344" max="15344" width="10.7109375" style="231"/>
    <col min="15345" max="15353" width="10.7109375" style="231" customWidth="1"/>
    <col min="15354" max="15354" width="10.7109375" style="231"/>
    <col min="15355" max="15370" width="10.7109375" style="231" customWidth="1"/>
    <col min="15371" max="15371" width="10.7109375" style="231"/>
    <col min="15372" max="15372" width="10.7109375" style="231" customWidth="1"/>
    <col min="15373" max="15373" width="10.7109375" style="231"/>
    <col min="15374" max="15374" width="10.7109375" style="231" customWidth="1"/>
    <col min="15375" max="15376" width="10.7109375" style="231"/>
    <col min="15377" max="15385" width="10.7109375" style="231" customWidth="1"/>
    <col min="15386" max="15386" width="10.7109375" style="231"/>
    <col min="15387" max="15400" width="10.7109375" style="231" customWidth="1"/>
    <col min="15401" max="15402" width="10.7109375" style="231"/>
    <col min="15403" max="15404" width="10.7109375" style="231" customWidth="1"/>
    <col min="15405" max="15405" width="10.7109375" style="231"/>
    <col min="15406" max="15406" width="10.7109375" style="231" customWidth="1"/>
    <col min="15407" max="15408" width="10.7109375" style="231"/>
    <col min="15409" max="15410" width="10.7109375" style="231" customWidth="1"/>
    <col min="15411" max="15411" width="10.7109375" style="231"/>
    <col min="15412" max="15415" width="10.7109375" style="231" customWidth="1"/>
    <col min="15416" max="15419" width="10.7109375" style="231"/>
    <col min="15420" max="15420" width="10.7109375" style="231" customWidth="1"/>
    <col min="15421" max="15423" width="10.7109375" style="231"/>
    <col min="15424" max="15424" width="10.7109375" style="231" customWidth="1"/>
    <col min="15425" max="15425" width="10.7109375" style="231"/>
    <col min="15426" max="15428" width="10.7109375" style="231" customWidth="1"/>
    <col min="15429" max="15429" width="10.7109375" style="231"/>
    <col min="15430" max="15430" width="10.7109375" style="231" customWidth="1"/>
    <col min="15431" max="15431" width="10.7109375" style="231"/>
    <col min="15432" max="15434" width="10.7109375" style="231" customWidth="1"/>
    <col min="15435" max="15435" width="10.7109375" style="231"/>
    <col min="15436" max="15440" width="10.7109375" style="231" customWidth="1"/>
    <col min="15441" max="15442" width="10.7109375" style="231"/>
    <col min="15443" max="15443" width="10.7109375" style="231" customWidth="1"/>
    <col min="15444" max="15449" width="10.7109375" style="231"/>
    <col min="15450" max="15451" width="10.7109375" style="231" customWidth="1"/>
    <col min="15452" max="15452" width="10.7109375" style="231"/>
    <col min="15453" max="15453" width="10.7109375" style="231" customWidth="1"/>
    <col min="15454" max="15455" width="10.7109375" style="231"/>
    <col min="15456" max="15459" width="10.7109375" style="231" customWidth="1"/>
    <col min="15460" max="15460" width="10.7109375" style="231"/>
    <col min="15461" max="15462" width="10.7109375" style="231" customWidth="1"/>
    <col min="15463" max="15463" width="10.7109375" style="231"/>
    <col min="15464" max="15464" width="10.7109375" style="231" customWidth="1"/>
    <col min="15465" max="15465" width="10.7109375" style="231"/>
    <col min="15466" max="15477" width="10.7109375" style="231" customWidth="1"/>
    <col min="15478" max="15479" width="10.7109375" style="231"/>
    <col min="15480" max="15480" width="10.7109375" style="231" customWidth="1"/>
    <col min="15481" max="15483" width="10.7109375" style="231"/>
    <col min="15484" max="15484" width="10.7109375" style="231" customWidth="1"/>
    <col min="15485" max="15487" width="10.7109375" style="231"/>
    <col min="15488" max="15488" width="10.7109375" style="231" customWidth="1"/>
    <col min="15489" max="15489" width="10.7109375" style="231"/>
    <col min="15490" max="15492" width="10.7109375" style="231" customWidth="1"/>
    <col min="15493" max="15493" width="10.7109375" style="231"/>
    <col min="15494" max="15494" width="10.7109375" style="231" customWidth="1"/>
    <col min="15495" max="15495" width="10.7109375" style="231"/>
    <col min="15496" max="15498" width="10.7109375" style="231" customWidth="1"/>
    <col min="15499" max="15499" width="10.7109375" style="231"/>
    <col min="15500" max="15509" width="10.7109375" style="231" customWidth="1"/>
    <col min="15510" max="15511" width="10.7109375" style="231"/>
    <col min="15512" max="15539" width="10.7109375" style="231" customWidth="1"/>
    <col min="15540" max="15543" width="10.7109375" style="231"/>
    <col min="15544" max="15545" width="10.7109375" style="231" customWidth="1"/>
    <col min="15546" max="15548" width="10.7109375" style="231"/>
    <col min="15549" max="15549" width="10.7109375" style="231" customWidth="1"/>
    <col min="15550" max="15550" width="10.7109375" style="231"/>
    <col min="15551" max="15551" width="10.7109375" style="231" customWidth="1"/>
    <col min="15552" max="15566" width="10.7109375" style="231"/>
    <col min="15567" max="15567" width="10.7109375" style="231" customWidth="1"/>
    <col min="15568" max="15568" width="10.7109375" style="231"/>
    <col min="15569" max="15571" width="10.7109375" style="231" customWidth="1"/>
    <col min="15572" max="15573" width="10.7109375" style="231"/>
    <col min="15574" max="15574" width="10.7109375" style="231" customWidth="1"/>
    <col min="15575" max="15575" width="10.7109375" style="231"/>
    <col min="15576" max="15577" width="10.7109375" style="231" customWidth="1"/>
    <col min="15578" max="15578" width="10.7109375" style="231"/>
    <col min="15579" max="15579" width="10.7109375" style="231" customWidth="1"/>
    <col min="15580" max="15580" width="10.7109375" style="231"/>
    <col min="15581" max="15581" width="10.7109375" style="231" customWidth="1"/>
    <col min="15582" max="15583" width="10.7109375" style="231"/>
    <col min="15584" max="15587" width="10.7109375" style="231" customWidth="1"/>
    <col min="15588" max="15588" width="10.7109375" style="231"/>
    <col min="15589" max="15590" width="10.7109375" style="231" customWidth="1"/>
    <col min="15591" max="15591" width="10.7109375" style="231"/>
    <col min="15592" max="15592" width="10.7109375" style="231" customWidth="1"/>
    <col min="15593" max="15593" width="10.7109375" style="231"/>
    <col min="15594" max="15600" width="10.7109375" style="231" customWidth="1"/>
    <col min="15601" max="15664" width="10.7109375" style="231"/>
    <col min="15665" max="15668" width="10.7109375" style="231" customWidth="1"/>
    <col min="15669" max="15671" width="10.7109375" style="231"/>
    <col min="15672" max="15673" width="10.7109375" style="231" customWidth="1"/>
    <col min="15674" max="15675" width="10.7109375" style="231"/>
    <col min="15676" max="15679" width="10.7109375" style="231" customWidth="1"/>
    <col min="15680" max="15680" width="10.7109375" style="231"/>
    <col min="15681" max="15681" width="10.7109375" style="231" customWidth="1"/>
    <col min="15682" max="15683" width="10.7109375" style="231"/>
    <col min="15684" max="15684" width="10.7109375" style="231" customWidth="1"/>
    <col min="15685" max="15685" width="10.7109375" style="231"/>
    <col min="15686" max="15688" width="10.7109375" style="231" customWidth="1"/>
    <col min="15689" max="15689" width="10.7109375" style="231"/>
    <col min="15690" max="15693" width="10.7109375" style="231" customWidth="1"/>
    <col min="15694" max="15694" width="10.7109375" style="231"/>
    <col min="15695" max="15695" width="10.7109375" style="231" customWidth="1"/>
    <col min="15696" max="15696" width="10.7109375" style="231"/>
    <col min="15697" max="15698" width="10.7109375" style="231" customWidth="1"/>
    <col min="15699" max="15699" width="10.7109375" style="231"/>
    <col min="15700" max="15702" width="10.7109375" style="231" customWidth="1"/>
    <col min="15703" max="15703" width="10.7109375" style="231"/>
    <col min="15704" max="15705" width="10.7109375" style="231" customWidth="1"/>
    <col min="15706" max="15707" width="10.7109375" style="231"/>
    <col min="15708" max="15711" width="10.7109375" style="231" customWidth="1"/>
    <col min="15712" max="15712" width="10.7109375" style="231"/>
    <col min="15713" max="15713" width="10.7109375" style="231" customWidth="1"/>
    <col min="15714" max="15715" width="10.7109375" style="231"/>
    <col min="15716" max="15716" width="10.7109375" style="231" customWidth="1"/>
    <col min="15717" max="15717" width="10.7109375" style="231"/>
    <col min="15718" max="15720" width="10.7109375" style="231" customWidth="1"/>
    <col min="15721" max="15721" width="10.7109375" style="231"/>
    <col min="15722" max="15725" width="10.7109375" style="231" customWidth="1"/>
    <col min="15726" max="15726" width="10.7109375" style="231"/>
    <col min="15727" max="15727" width="10.7109375" style="231" customWidth="1"/>
    <col min="15728" max="15735" width="10.7109375" style="231"/>
    <col min="15736" max="15739" width="10.7109375" style="231" customWidth="1"/>
    <col min="15740" max="15740" width="10.7109375" style="231"/>
    <col min="15741" max="15743" width="10.7109375" style="231" customWidth="1"/>
    <col min="15744" max="15744" width="10.7109375" style="231"/>
    <col min="15745" max="15745" width="10.7109375" style="231" customWidth="1"/>
    <col min="15746" max="15748" width="10.7109375" style="231"/>
    <col min="15749" max="15749" width="10.7109375" style="231" customWidth="1"/>
    <col min="15750" max="15750" width="10.7109375" style="231"/>
    <col min="15751" max="15751" width="10.7109375" style="231" customWidth="1"/>
    <col min="15752" max="15754" width="10.7109375" style="231"/>
    <col min="15755" max="15755" width="10.7109375" style="231" customWidth="1"/>
    <col min="15756" max="15760" width="10.7109375" style="231"/>
    <col min="15761" max="15762" width="10.7109375" style="231" customWidth="1"/>
    <col min="15763" max="15763" width="10.7109375" style="231"/>
    <col min="15764" max="15764" width="10.7109375" style="231" customWidth="1"/>
    <col min="15765" max="15765" width="10.7109375" style="231"/>
    <col min="15766" max="15767" width="10.7109375" style="231" customWidth="1"/>
    <col min="15768" max="15769" width="10.7109375" style="231"/>
    <col min="15770" max="15772" width="10.7109375" style="231" customWidth="1"/>
    <col min="15773" max="15776" width="10.7109375" style="231"/>
    <col min="15777" max="15777" width="10.7109375" style="231" customWidth="1"/>
    <col min="15778" max="15779" width="10.7109375" style="231"/>
    <col min="15780" max="15780" width="10.7109375" style="231" customWidth="1"/>
    <col min="15781" max="15781" width="10.7109375" style="231"/>
    <col min="15782" max="15784" width="10.7109375" style="231" customWidth="1"/>
    <col min="15785" max="15785" width="10.7109375" style="231"/>
    <col min="15786" max="15789" width="10.7109375" style="231" customWidth="1"/>
    <col min="15790" max="15790" width="10.7109375" style="231"/>
    <col min="15791" max="15791" width="10.7109375" style="231" customWidth="1"/>
    <col min="15792" max="15792" width="10.7109375" style="231"/>
    <col min="15793" max="15796" width="10.7109375" style="231" customWidth="1"/>
    <col min="15797" max="15797" width="10.7109375" style="231"/>
    <col min="15798" max="15799" width="10.7109375" style="231" customWidth="1"/>
    <col min="15800" max="15800" width="10.7109375" style="231"/>
    <col min="15801" max="15802" width="10.7109375" style="231" customWidth="1"/>
    <col min="15803" max="15803" width="10.7109375" style="231"/>
    <col min="15804" max="15805" width="10.7109375" style="231" customWidth="1"/>
    <col min="15806" max="15807" width="10.7109375" style="231"/>
    <col min="15808" max="15809" width="10.7109375" style="231" customWidth="1"/>
    <col min="15810" max="15811" width="10.7109375" style="231"/>
    <col min="15812" max="15812" width="10.7109375" style="231" customWidth="1"/>
    <col min="15813" max="15813" width="10.7109375" style="231"/>
    <col min="15814" max="15816" width="10.7109375" style="231" customWidth="1"/>
    <col min="15817" max="15817" width="10.7109375" style="231"/>
    <col min="15818" max="15821" width="10.7109375" style="231" customWidth="1"/>
    <col min="15822" max="15822" width="10.7109375" style="231"/>
    <col min="15823" max="15823" width="10.7109375" style="231" customWidth="1"/>
    <col min="15824" max="15824" width="10.7109375" style="231"/>
    <col min="15825" max="15857" width="10.7109375" style="231" customWidth="1"/>
    <col min="15858" max="15858" width="10.7109375" style="231"/>
    <col min="15859" max="15889" width="10.7109375" style="231" customWidth="1"/>
    <col min="15890" max="15896" width="10.7109375" style="231"/>
    <col min="15897" max="15898" width="10.7109375" style="231" customWidth="1"/>
    <col min="15899" max="15901" width="10.7109375" style="231"/>
    <col min="15902" max="15902" width="10.7109375" style="231" customWidth="1"/>
    <col min="15903" max="15905" width="10.7109375" style="231"/>
    <col min="15906" max="15910" width="10.7109375" style="231" customWidth="1"/>
    <col min="15911" max="15914" width="10.7109375" style="231"/>
    <col min="15915" max="15915" width="10.7109375" style="231" customWidth="1"/>
    <col min="15916" max="15917" width="10.7109375" style="231"/>
    <col min="15918" max="15919" width="10.7109375" style="231" customWidth="1"/>
    <col min="15920" max="15920" width="10.7109375" style="231"/>
    <col min="15921" max="15924" width="10.7109375" style="231" customWidth="1"/>
    <col min="15925" max="15925" width="10.7109375" style="231"/>
    <col min="15926" max="15926" width="10.7109375" style="231" customWidth="1"/>
    <col min="15927" max="15927" width="10.7109375" style="231"/>
    <col min="15928" max="15928" width="10.7109375" style="231" customWidth="1"/>
    <col min="15929" max="15929" width="10.7109375" style="231"/>
    <col min="15930" max="15930" width="10.7109375" style="231" customWidth="1"/>
    <col min="15931" max="15931" width="10.7109375" style="231"/>
    <col min="15932" max="15935" width="10.7109375" style="231" customWidth="1"/>
    <col min="15936" max="15936" width="10.7109375" style="231"/>
    <col min="15937" max="15937" width="10.7109375" style="231" customWidth="1"/>
    <col min="15938" max="15939" width="10.7109375" style="231"/>
    <col min="15940" max="15940" width="10.7109375" style="231" customWidth="1"/>
    <col min="15941" max="15941" width="10.7109375" style="231"/>
    <col min="15942" max="15944" width="10.7109375" style="231" customWidth="1"/>
    <col min="15945" max="15945" width="10.7109375" style="231"/>
    <col min="15946" max="15949" width="10.7109375" style="231" customWidth="1"/>
    <col min="15950" max="15950" width="10.7109375" style="231"/>
    <col min="15951" max="15951" width="10.7109375" style="231" customWidth="1"/>
    <col min="15952" max="15952" width="10.7109375" style="231"/>
    <col min="15953" max="15956" width="10.7109375" style="231" customWidth="1"/>
    <col min="15957" max="15958" width="10.7109375" style="231"/>
    <col min="15959" max="15959" width="10.7109375" style="231" customWidth="1"/>
    <col min="15960" max="15962" width="10.7109375" style="231"/>
    <col min="15963" max="15963" width="10.7109375" style="231" customWidth="1"/>
    <col min="15964" max="15964" width="10.7109375" style="231"/>
    <col min="15965" max="15965" width="10.7109375" style="231" customWidth="1"/>
    <col min="15966" max="15967" width="10.7109375" style="231"/>
    <col min="15968" max="15969" width="10.7109375" style="231" customWidth="1"/>
    <col min="15970" max="15970" width="10.7109375" style="231"/>
    <col min="15971" max="15972" width="10.7109375" style="231" customWidth="1"/>
    <col min="15973" max="15973" width="10.7109375" style="231"/>
    <col min="15974" max="15977" width="10.7109375" style="231" customWidth="1"/>
    <col min="15978" max="15978" width="10.7109375" style="231"/>
    <col min="15979" max="15980" width="10.7109375" style="231" customWidth="1"/>
    <col min="15981" max="15981" width="10.7109375" style="231"/>
    <col min="15982" max="15991" width="10.7109375" style="231" customWidth="1"/>
    <col min="15992" max="15995" width="10.7109375" style="231"/>
    <col min="15996" max="15996" width="10.7109375" style="231" customWidth="1"/>
    <col min="15997" max="15999" width="10.7109375" style="231"/>
    <col min="16000" max="16000" width="10.7109375" style="231" customWidth="1"/>
    <col min="16001" max="16001" width="10.7109375" style="231"/>
    <col min="16002" max="16004" width="10.7109375" style="231" customWidth="1"/>
    <col min="16005" max="16005" width="10.7109375" style="231"/>
    <col min="16006" max="16006" width="10.7109375" style="231" customWidth="1"/>
    <col min="16007" max="16007" width="10.7109375" style="231"/>
    <col min="16008" max="16010" width="10.7109375" style="231" customWidth="1"/>
    <col min="16011" max="16011" width="10.7109375" style="231"/>
    <col min="16012" max="16032" width="10.7109375" style="231" customWidth="1"/>
    <col min="16033" max="16033" width="10.7109375" style="231"/>
    <col min="16034" max="16038" width="10.7109375" style="231" customWidth="1"/>
    <col min="16039" max="16042" width="10.7109375" style="231"/>
    <col min="16043" max="16043" width="10.7109375" style="231" customWidth="1"/>
    <col min="16044" max="16045" width="10.7109375" style="231"/>
    <col min="16046" max="16047" width="10.7109375" style="231" customWidth="1"/>
    <col min="16048" max="16048" width="10.7109375" style="231"/>
    <col min="16049" max="16051" width="10.7109375" style="231" customWidth="1"/>
    <col min="16052" max="16056" width="10.7109375" style="231"/>
    <col min="16057" max="16057" width="10.7109375" style="231" customWidth="1"/>
    <col min="16058" max="16060" width="10.7109375" style="231"/>
    <col min="16061" max="16061" width="10.7109375" style="231" customWidth="1"/>
    <col min="16062" max="16062" width="10.7109375" style="231"/>
    <col min="16063" max="16063" width="10.7109375" style="231" customWidth="1"/>
    <col min="16064" max="16078" width="10.7109375" style="231"/>
    <col min="16079" max="16079" width="10.7109375" style="231" customWidth="1"/>
    <col min="16080" max="16080" width="10.7109375" style="231"/>
    <col min="16081" max="16083" width="10.7109375" style="231" customWidth="1"/>
    <col min="16084" max="16085" width="10.7109375" style="231"/>
    <col min="16086" max="16086" width="10.7109375" style="231" customWidth="1"/>
    <col min="16087" max="16087" width="10.7109375" style="231"/>
    <col min="16088" max="16090" width="10.7109375" style="231" customWidth="1"/>
    <col min="16091" max="16091" width="10.7109375" style="231"/>
    <col min="16092" max="16093" width="10.7109375" style="231" customWidth="1"/>
    <col min="16094" max="16097" width="10.7109375" style="231"/>
    <col min="16098" max="16102" width="10.7109375" style="231" customWidth="1"/>
    <col min="16103" max="16106" width="10.7109375" style="231"/>
    <col min="16107" max="16107" width="10.7109375" style="231" customWidth="1"/>
    <col min="16108" max="16109" width="10.7109375" style="231"/>
    <col min="16110" max="16111" width="10.7109375" style="231" customWidth="1"/>
    <col min="16112" max="16112" width="10.7109375" style="231"/>
    <col min="16113" max="16119" width="10.7109375" style="231" customWidth="1"/>
    <col min="16120" max="16123" width="10.7109375" style="231"/>
    <col min="16124" max="16124" width="10.7109375" style="231" customWidth="1"/>
    <col min="16125" max="16127" width="10.7109375" style="231"/>
    <col min="16128" max="16128" width="10.7109375" style="231" customWidth="1"/>
    <col min="16129" max="16129" width="10.7109375" style="231"/>
    <col min="16130" max="16132" width="10.7109375" style="231" customWidth="1"/>
    <col min="16133" max="16133" width="10.7109375" style="231"/>
    <col min="16134" max="16134" width="10.7109375" style="231" customWidth="1"/>
    <col min="16135" max="16135" width="10.7109375" style="231"/>
    <col min="16136" max="16138" width="10.7109375" style="231" customWidth="1"/>
    <col min="16139" max="16139" width="10.7109375" style="231"/>
    <col min="16140" max="16148" width="10.7109375" style="231" customWidth="1"/>
    <col min="16149" max="16150" width="10.7109375" style="231"/>
    <col min="16151" max="16151" width="10.7109375" style="231" customWidth="1"/>
    <col min="16152" max="16154" width="10.7109375" style="231"/>
    <col min="16155" max="16155" width="10.7109375" style="231" customWidth="1"/>
    <col min="16156" max="16156" width="10.7109375" style="231"/>
    <col min="16157" max="16157" width="10.7109375" style="231" customWidth="1"/>
    <col min="16158" max="16159" width="10.7109375" style="231"/>
    <col min="16160" max="16161" width="10.7109375" style="231" customWidth="1"/>
    <col min="16162" max="16162" width="10.7109375" style="231"/>
    <col min="16163" max="16164" width="10.7109375" style="231" customWidth="1"/>
    <col min="16165" max="16165" width="10.7109375" style="231"/>
    <col min="16166" max="16169" width="10.7109375" style="231" customWidth="1"/>
    <col min="16170" max="16170" width="10.7109375" style="231"/>
    <col min="16171" max="16172" width="10.7109375" style="231" customWidth="1"/>
    <col min="16173" max="16173" width="10.7109375" style="231"/>
    <col min="16174" max="16177" width="10.7109375" style="231" customWidth="1"/>
    <col min="16178" max="16179" width="10.7109375" style="231"/>
    <col min="16180" max="16180" width="10.7109375" style="231" customWidth="1"/>
    <col min="16181" max="16184" width="10.7109375" style="231"/>
    <col min="16185" max="16185" width="10.7109375" style="231" customWidth="1"/>
    <col min="16186" max="16186" width="10.7109375" style="231"/>
    <col min="16187" max="16188" width="10.7109375" style="231" customWidth="1"/>
    <col min="16189" max="16189" width="10.7109375" style="231"/>
    <col min="16190" max="16191" width="10.7109375" style="231" customWidth="1"/>
    <col min="16192" max="16192" width="10.7109375" style="231"/>
    <col min="16193" max="16193" width="10.7109375" style="231" customWidth="1"/>
    <col min="16194" max="16196" width="10.7109375" style="231"/>
    <col min="16197" max="16197" width="10.7109375" style="231" customWidth="1"/>
    <col min="16198" max="16198" width="10.7109375" style="231"/>
    <col min="16199" max="16199" width="10.7109375" style="231" customWidth="1"/>
    <col min="16200" max="16200" width="10.7109375" style="231"/>
    <col min="16201" max="16202" width="10.7109375" style="231" customWidth="1"/>
    <col min="16203" max="16203" width="10.7109375" style="231"/>
    <col min="16204" max="16205" width="10.7109375" style="231" customWidth="1"/>
    <col min="16206" max="16208" width="10.7109375" style="231"/>
    <col min="16209" max="16210" width="10.7109375" style="231" customWidth="1"/>
    <col min="16211" max="16211" width="10.7109375" style="231"/>
    <col min="16212" max="16215" width="10.7109375" style="231" customWidth="1"/>
    <col min="16216" max="16216" width="10.7109375" style="231"/>
    <col min="16217" max="16220" width="10.7109375" style="231" customWidth="1"/>
    <col min="16221" max="16221" width="10.7109375" style="231"/>
    <col min="16222" max="16222" width="10.7109375" style="231" customWidth="1"/>
    <col min="16223" max="16225" width="10.7109375" style="231"/>
    <col min="16226" max="16226" width="10.7109375" style="231" customWidth="1"/>
    <col min="16227" max="16227" width="10.7109375" style="231"/>
    <col min="16228" max="16228" width="10.7109375" style="231" customWidth="1"/>
    <col min="16229" max="16229" width="10.7109375" style="231"/>
    <col min="16230" max="16230" width="10.7109375" style="231" customWidth="1"/>
    <col min="16231" max="16231" width="10.7109375" style="231"/>
    <col min="16232" max="16237" width="10.7109375" style="231" customWidth="1"/>
    <col min="16238" max="16238" width="10.7109375" style="231"/>
    <col min="16239" max="16239" width="10.7109375" style="231" customWidth="1"/>
    <col min="16240" max="16240" width="10.7109375" style="231"/>
    <col min="16241" max="16241" width="10.7109375" style="231" customWidth="1"/>
    <col min="16242" max="16243" width="10.7109375" style="231"/>
    <col min="16244" max="16246" width="10.7109375" style="231" customWidth="1"/>
    <col min="16247" max="16248" width="10.7109375" style="231"/>
    <col min="16249" max="16252" width="10.7109375" style="231" customWidth="1"/>
    <col min="16253" max="16255" width="10.7109375" style="231"/>
    <col min="16256" max="16259" width="10.7109375" style="231" customWidth="1"/>
    <col min="16260" max="16264" width="10.7109375" style="231"/>
    <col min="16265" max="16268" width="10.7109375" style="231" customWidth="1"/>
    <col min="16269" max="16269" width="10.7109375" style="231"/>
    <col min="16270" max="16271" width="10.7109375" style="231" customWidth="1"/>
    <col min="16272" max="16272" width="10.7109375" style="231"/>
    <col min="16273" max="16276" width="10.7109375" style="231" customWidth="1"/>
    <col min="16277" max="16279" width="10.7109375" style="231"/>
    <col min="16280" max="16280" width="10.7109375" style="231" customWidth="1"/>
    <col min="16281" max="16284" width="10.7109375" style="231"/>
    <col min="16285" max="16285" width="10.7109375" style="231" customWidth="1"/>
    <col min="16286" max="16286" width="10.7109375" style="231"/>
    <col min="16287" max="16287" width="10.7109375" style="231" customWidth="1"/>
    <col min="16288" max="16302" width="10.7109375" style="231"/>
    <col min="16303" max="16303" width="10.7109375" style="231" customWidth="1"/>
    <col min="16304" max="16304" width="10.7109375" style="231"/>
    <col min="16305" max="16307" width="10.7109375" style="231" customWidth="1"/>
    <col min="16308" max="16308" width="10.7109375" style="231"/>
    <col min="16309" max="16310" width="10.7109375" style="231" customWidth="1"/>
    <col min="16311" max="16311" width="10.7109375" style="231"/>
    <col min="16312" max="16312" width="10.7109375" style="231" customWidth="1"/>
    <col min="16313" max="16316" width="10.7109375" style="231"/>
    <col min="16317" max="16317" width="10.7109375" style="231" customWidth="1"/>
    <col min="16318" max="16318" width="10.7109375" style="231"/>
    <col min="16319" max="16319" width="10.7109375" style="231" customWidth="1"/>
    <col min="16320" max="16334" width="10.7109375" style="231"/>
    <col min="16335" max="16335" width="10.7109375" style="231" customWidth="1"/>
    <col min="16336" max="16336" width="10.7109375" style="231"/>
    <col min="16337" max="16337" width="10.7109375" style="231" customWidth="1"/>
    <col min="16338" max="16338" width="10.7109375" style="231"/>
    <col min="16339" max="16340" width="10.7109375" style="231" customWidth="1"/>
    <col min="16341" max="16343" width="10.7109375" style="231"/>
    <col min="16344" max="16344" width="10.7109375" style="231" customWidth="1"/>
    <col min="16345" max="16346" width="10.7109375" style="231"/>
    <col min="16347" max="16348" width="10.7109375" style="231" customWidth="1"/>
    <col min="16349" max="16351" width="10.7109375" style="231"/>
    <col min="16352" max="16355" width="10.7109375" style="231" customWidth="1"/>
    <col min="16356" max="16360" width="10.7109375" style="231"/>
    <col min="16361" max="16364" width="10.7109375" style="231" customWidth="1"/>
    <col min="16365" max="16365" width="10.7109375" style="231"/>
    <col min="16366" max="16367" width="10.7109375" style="231" customWidth="1"/>
    <col min="16368" max="16368" width="10.7109375" style="231"/>
    <col min="16369" max="16372" width="10.7109375" style="231" customWidth="1"/>
    <col min="16373" max="16375" width="10.7109375" style="231"/>
    <col min="16376" max="16376" width="10.7109375" style="231" customWidth="1"/>
    <col min="16377" max="16380" width="10.7109375" style="231"/>
    <col min="16381" max="16381" width="10.7109375" style="231" customWidth="1"/>
    <col min="16382" max="16382" width="10.7109375" style="231"/>
    <col min="16383" max="16383" width="10.7109375" style="231" customWidth="1"/>
    <col min="16384" max="16384" width="10.7109375" style="231"/>
  </cols>
  <sheetData>
    <row r="1" spans="1:28">
      <c r="A1" s="4" t="s">
        <v>5576</v>
      </c>
      <c r="B1" s="1" t="s">
        <v>5701</v>
      </c>
      <c r="C1" s="1" t="s">
        <v>5362</v>
      </c>
      <c r="D1" s="1" t="s">
        <v>4850</v>
      </c>
      <c r="E1" s="1" t="s">
        <v>5352</v>
      </c>
      <c r="F1" s="1" t="s">
        <v>5354</v>
      </c>
      <c r="G1" s="1" t="s">
        <v>5153</v>
      </c>
      <c r="H1" s="1" t="s">
        <v>4851</v>
      </c>
      <c r="I1" s="32" t="s">
        <v>4853</v>
      </c>
      <c r="J1" s="1" t="s">
        <v>179</v>
      </c>
      <c r="K1" s="9"/>
      <c r="L1" s="59" t="s">
        <v>5782</v>
      </c>
      <c r="M1" s="1" t="s">
        <v>5701</v>
      </c>
      <c r="N1" s="1" t="s">
        <v>180</v>
      </c>
      <c r="O1" s="1" t="s">
        <v>4850</v>
      </c>
      <c r="P1" s="1" t="s">
        <v>5352</v>
      </c>
      <c r="Q1" s="1" t="s">
        <v>5354</v>
      </c>
      <c r="R1" s="1" t="s">
        <v>5153</v>
      </c>
      <c r="S1" s="1" t="s">
        <v>5576</v>
      </c>
      <c r="T1" s="4" t="s">
        <v>4853</v>
      </c>
      <c r="V1" s="33" t="s">
        <v>5353</v>
      </c>
      <c r="W1" s="33" t="s">
        <v>5576</v>
      </c>
      <c r="X1" s="33" t="s">
        <v>5014</v>
      </c>
      <c r="Y1" s="34" t="s">
        <v>5348</v>
      </c>
      <c r="Z1" s="34" t="s">
        <v>5593</v>
      </c>
      <c r="AA1" s="34" t="s">
        <v>5153</v>
      </c>
      <c r="AB1" s="33" t="s">
        <v>5445</v>
      </c>
    </row>
    <row r="2" spans="1:28">
      <c r="A2" s="9" t="s">
        <v>5015</v>
      </c>
      <c r="B2" s="10" t="s">
        <v>5016</v>
      </c>
      <c r="C2" s="10" t="s">
        <v>5786</v>
      </c>
      <c r="D2" s="10"/>
      <c r="E2" s="10" t="s">
        <v>5227</v>
      </c>
      <c r="F2" s="10" t="s">
        <v>5225</v>
      </c>
      <c r="G2" s="10">
        <v>1</v>
      </c>
      <c r="H2" s="10" t="s">
        <v>5225</v>
      </c>
      <c r="I2" s="48"/>
      <c r="J2" s="10">
        <f>IF(C2="Rank","NA",0)</f>
        <v>0</v>
      </c>
      <c r="K2" s="9"/>
      <c r="L2" s="9" t="s">
        <v>231</v>
      </c>
      <c r="M2" s="10" t="s">
        <v>181</v>
      </c>
      <c r="N2" s="10" t="s">
        <v>5390</v>
      </c>
      <c r="O2" s="10"/>
      <c r="P2" s="10" t="s">
        <v>5225</v>
      </c>
      <c r="Q2" s="10" t="s">
        <v>232</v>
      </c>
      <c r="R2" s="10">
        <v>1</v>
      </c>
      <c r="S2" s="10" t="s">
        <v>5227</v>
      </c>
      <c r="T2" s="4"/>
      <c r="V2" s="35" t="s">
        <v>4854</v>
      </c>
      <c r="W2" s="35" t="s">
        <v>4829</v>
      </c>
      <c r="X2" s="199" t="s">
        <v>4758</v>
      </c>
      <c r="Y2" s="36">
        <v>3</v>
      </c>
      <c r="Z2" s="36">
        <v>100</v>
      </c>
      <c r="AA2" s="36">
        <v>3</v>
      </c>
      <c r="AB2" s="35" t="s">
        <v>4760</v>
      </c>
    </row>
    <row r="3" spans="1:28">
      <c r="A3" s="9" t="s">
        <v>4855</v>
      </c>
      <c r="B3" s="10" t="s">
        <v>5028</v>
      </c>
      <c r="C3" s="10" t="s">
        <v>5597</v>
      </c>
      <c r="D3" s="10"/>
      <c r="E3" s="10" t="s">
        <v>5225</v>
      </c>
      <c r="F3" s="10" t="s">
        <v>5227</v>
      </c>
      <c r="G3" s="10">
        <v>1</v>
      </c>
      <c r="H3" s="10" t="s">
        <v>5225</v>
      </c>
      <c r="I3" s="48"/>
      <c r="J3" s="10">
        <f t="shared" ref="J3:J66" si="0">IF(C3="Rank","NA",0)</f>
        <v>0</v>
      </c>
      <c r="K3" s="9"/>
      <c r="L3" s="48" t="s">
        <v>5133</v>
      </c>
      <c r="M3" s="10" t="s">
        <v>233</v>
      </c>
      <c r="N3" s="10" t="s">
        <v>5390</v>
      </c>
      <c r="O3" s="10"/>
      <c r="P3" s="10" t="s">
        <v>182</v>
      </c>
      <c r="Q3" s="10" t="s">
        <v>5225</v>
      </c>
      <c r="R3" s="10" t="s">
        <v>5225</v>
      </c>
      <c r="S3" s="10" t="s">
        <v>5227</v>
      </c>
      <c r="T3" s="9"/>
      <c r="V3" s="35" t="s">
        <v>4854</v>
      </c>
      <c r="W3" s="35" t="s">
        <v>4829</v>
      </c>
      <c r="X3" s="199" t="s">
        <v>4926</v>
      </c>
      <c r="Y3" s="36">
        <v>5</v>
      </c>
      <c r="Z3" s="36">
        <v>100</v>
      </c>
      <c r="AA3" s="36">
        <v>2</v>
      </c>
      <c r="AB3" s="35" t="s">
        <v>4927</v>
      </c>
    </row>
    <row r="4" spans="1:28">
      <c r="A4" s="9" t="s">
        <v>5031</v>
      </c>
      <c r="B4" s="10" t="s">
        <v>5028</v>
      </c>
      <c r="C4" s="10" t="s">
        <v>5787</v>
      </c>
      <c r="D4" s="10"/>
      <c r="E4" s="10" t="s">
        <v>5225</v>
      </c>
      <c r="F4" s="10" t="s">
        <v>5227</v>
      </c>
      <c r="G4" s="10">
        <v>2</v>
      </c>
      <c r="H4" s="10" t="s">
        <v>5225</v>
      </c>
      <c r="I4" s="48" t="s">
        <v>5032</v>
      </c>
      <c r="J4" s="10">
        <f t="shared" si="0"/>
        <v>0</v>
      </c>
      <c r="K4" s="9"/>
      <c r="L4" s="48" t="s">
        <v>5030</v>
      </c>
      <c r="M4" s="10" t="s">
        <v>234</v>
      </c>
      <c r="N4" s="10" t="s">
        <v>5390</v>
      </c>
      <c r="O4" s="10"/>
      <c r="P4" s="10" t="s">
        <v>5227</v>
      </c>
      <c r="Q4" s="10" t="s">
        <v>5225</v>
      </c>
      <c r="R4" s="10" t="s">
        <v>5225</v>
      </c>
      <c r="S4" s="10" t="s">
        <v>5225</v>
      </c>
      <c r="T4" s="9"/>
      <c r="V4" s="35" t="s">
        <v>4854</v>
      </c>
      <c r="W4" s="35" t="s">
        <v>4829</v>
      </c>
      <c r="X4" s="199" t="s">
        <v>4928</v>
      </c>
      <c r="Y4" s="36">
        <v>5</v>
      </c>
      <c r="Z4" s="36">
        <v>100</v>
      </c>
      <c r="AA4" s="36">
        <v>2</v>
      </c>
      <c r="AB4" s="35" t="s">
        <v>5106</v>
      </c>
    </row>
    <row r="5" spans="1:28">
      <c r="A5" s="9" t="s">
        <v>5034</v>
      </c>
      <c r="B5" s="10" t="s">
        <v>5035</v>
      </c>
      <c r="C5" s="10" t="s">
        <v>5597</v>
      </c>
      <c r="D5" s="10"/>
      <c r="E5" s="10" t="s">
        <v>5225</v>
      </c>
      <c r="F5" s="10" t="s">
        <v>5225</v>
      </c>
      <c r="G5" s="10">
        <v>1</v>
      </c>
      <c r="H5" s="10" t="s">
        <v>5225</v>
      </c>
      <c r="I5" s="48"/>
      <c r="J5" s="10">
        <f t="shared" si="0"/>
        <v>0</v>
      </c>
      <c r="K5" s="9"/>
      <c r="L5" s="48" t="s">
        <v>5033</v>
      </c>
      <c r="M5" s="10" t="s">
        <v>234</v>
      </c>
      <c r="N5" s="10" t="s">
        <v>5788</v>
      </c>
      <c r="O5" s="10"/>
      <c r="P5" s="10" t="s">
        <v>5227</v>
      </c>
      <c r="Q5" s="10" t="s">
        <v>5225</v>
      </c>
      <c r="R5" s="10" t="s">
        <v>5225</v>
      </c>
      <c r="S5" s="10" t="s">
        <v>5225</v>
      </c>
      <c r="T5" s="9"/>
      <c r="V5" s="35" t="s">
        <v>4854</v>
      </c>
      <c r="W5" s="35" t="s">
        <v>4829</v>
      </c>
      <c r="X5" s="199" t="s">
        <v>5107</v>
      </c>
      <c r="Y5" s="36">
        <v>6</v>
      </c>
      <c r="Z5" s="36">
        <v>100</v>
      </c>
      <c r="AA5" s="36">
        <v>2</v>
      </c>
      <c r="AB5" s="35" t="s">
        <v>5108</v>
      </c>
    </row>
    <row r="6" spans="1:28">
      <c r="A6" s="9" t="s">
        <v>231</v>
      </c>
      <c r="B6" s="10" t="s">
        <v>181</v>
      </c>
      <c r="C6" s="10" t="s">
        <v>5390</v>
      </c>
      <c r="D6" s="10"/>
      <c r="E6" s="10" t="s">
        <v>5225</v>
      </c>
      <c r="F6" s="10" t="s">
        <v>183</v>
      </c>
      <c r="G6" s="10">
        <v>1</v>
      </c>
      <c r="H6" s="10" t="s">
        <v>5227</v>
      </c>
      <c r="I6" s="48"/>
      <c r="J6" s="10">
        <f t="shared" si="0"/>
        <v>0</v>
      </c>
      <c r="K6" s="9"/>
      <c r="L6" s="48" t="s">
        <v>5135</v>
      </c>
      <c r="M6" s="10" t="s">
        <v>5016</v>
      </c>
      <c r="N6" s="10" t="s">
        <v>5787</v>
      </c>
      <c r="O6" s="10"/>
      <c r="P6" s="10" t="s">
        <v>5227</v>
      </c>
      <c r="Q6" s="10" t="s">
        <v>5225</v>
      </c>
      <c r="R6" s="10" t="s">
        <v>5225</v>
      </c>
      <c r="S6" s="10" t="s">
        <v>5227</v>
      </c>
      <c r="T6" s="9"/>
      <c r="V6" s="37" t="s">
        <v>4854</v>
      </c>
      <c r="W6" s="37" t="s">
        <v>4829</v>
      </c>
      <c r="X6" s="200" t="s">
        <v>4933</v>
      </c>
      <c r="Y6" s="38">
        <v>7</v>
      </c>
      <c r="Z6" s="38">
        <v>100</v>
      </c>
      <c r="AA6" s="39" t="s">
        <v>4934</v>
      </c>
      <c r="AB6" s="37" t="s">
        <v>4935</v>
      </c>
    </row>
    <row r="7" spans="1:28">
      <c r="A7" s="9" t="s">
        <v>5133</v>
      </c>
      <c r="B7" s="10" t="s">
        <v>5016</v>
      </c>
      <c r="C7" s="10" t="s">
        <v>5390</v>
      </c>
      <c r="D7" s="10">
        <v>0</v>
      </c>
      <c r="E7" s="69" t="s">
        <v>182</v>
      </c>
      <c r="F7" s="10" t="s">
        <v>5227</v>
      </c>
      <c r="G7" s="10" t="s">
        <v>5225</v>
      </c>
      <c r="H7" s="10" t="s">
        <v>5225</v>
      </c>
      <c r="I7" s="48"/>
      <c r="J7" s="10">
        <f t="shared" si="0"/>
        <v>0</v>
      </c>
      <c r="K7" s="9"/>
      <c r="L7" s="48" t="s">
        <v>5315</v>
      </c>
      <c r="M7" s="10" t="s">
        <v>184</v>
      </c>
      <c r="N7" s="10" t="s">
        <v>5786</v>
      </c>
      <c r="O7" s="10"/>
      <c r="P7" s="10" t="s">
        <v>5227</v>
      </c>
      <c r="Q7" s="10" t="s">
        <v>5225</v>
      </c>
      <c r="R7" s="10" t="s">
        <v>5225</v>
      </c>
      <c r="S7" s="10" t="s">
        <v>5227</v>
      </c>
      <c r="T7" s="9" t="s">
        <v>5341</v>
      </c>
      <c r="V7" s="35" t="s">
        <v>5088</v>
      </c>
      <c r="W7" s="35" t="s">
        <v>5135</v>
      </c>
      <c r="X7" s="199" t="s">
        <v>4699</v>
      </c>
      <c r="Y7" s="36">
        <v>3</v>
      </c>
      <c r="Z7" s="36">
        <v>100</v>
      </c>
      <c r="AA7" s="36">
        <v>2</v>
      </c>
      <c r="AB7" s="35" t="s">
        <v>4700</v>
      </c>
    </row>
    <row r="8" spans="1:28">
      <c r="A8" s="9" t="s">
        <v>5037</v>
      </c>
      <c r="B8" s="10" t="s">
        <v>5218</v>
      </c>
      <c r="C8" s="10" t="s">
        <v>5787</v>
      </c>
      <c r="D8" s="10"/>
      <c r="E8" s="10" t="s">
        <v>5225</v>
      </c>
      <c r="F8" s="10" t="s">
        <v>5227</v>
      </c>
      <c r="G8" s="10" t="s">
        <v>5225</v>
      </c>
      <c r="H8" s="10" t="s">
        <v>5225</v>
      </c>
      <c r="I8" s="48"/>
      <c r="J8" s="10">
        <f t="shared" si="0"/>
        <v>0</v>
      </c>
      <c r="K8" s="9"/>
      <c r="L8" s="48" t="s">
        <v>5219</v>
      </c>
      <c r="M8" s="9" t="s">
        <v>185</v>
      </c>
      <c r="N8" s="10" t="s">
        <v>186</v>
      </c>
      <c r="O8" s="10"/>
      <c r="P8" s="10" t="s">
        <v>5227</v>
      </c>
      <c r="Q8" s="10" t="s">
        <v>5225</v>
      </c>
      <c r="R8" s="10" t="s">
        <v>5225</v>
      </c>
      <c r="S8" s="10" t="s">
        <v>5225</v>
      </c>
      <c r="T8" s="9"/>
      <c r="V8" s="35" t="s">
        <v>5088</v>
      </c>
      <c r="W8" s="35" t="s">
        <v>5133</v>
      </c>
      <c r="X8" s="199" t="s">
        <v>5220</v>
      </c>
      <c r="Y8" s="36">
        <v>4</v>
      </c>
      <c r="Z8" s="36">
        <v>100</v>
      </c>
      <c r="AA8" s="36">
        <v>1</v>
      </c>
      <c r="AB8" s="35" t="s">
        <v>5221</v>
      </c>
    </row>
    <row r="9" spans="1:28">
      <c r="A9" s="9" t="s">
        <v>4957</v>
      </c>
      <c r="B9" s="10" t="s">
        <v>5016</v>
      </c>
      <c r="C9" s="10" t="s">
        <v>5390</v>
      </c>
      <c r="D9" s="10"/>
      <c r="E9" s="10" t="s">
        <v>5225</v>
      </c>
      <c r="F9" s="10" t="s">
        <v>5225</v>
      </c>
      <c r="G9" s="10">
        <v>1</v>
      </c>
      <c r="H9" s="10" t="s">
        <v>5225</v>
      </c>
      <c r="I9" s="48"/>
      <c r="J9" s="10">
        <f t="shared" si="0"/>
        <v>0</v>
      </c>
      <c r="K9" s="9"/>
      <c r="L9" s="48" t="s">
        <v>5226</v>
      </c>
      <c r="M9" s="10" t="s">
        <v>5016</v>
      </c>
      <c r="N9" s="10" t="s">
        <v>5788</v>
      </c>
      <c r="O9" s="10"/>
      <c r="P9" s="10" t="s">
        <v>5227</v>
      </c>
      <c r="Q9" s="10" t="s">
        <v>5225</v>
      </c>
      <c r="R9" s="10" t="s">
        <v>5225</v>
      </c>
      <c r="S9" s="10" t="s">
        <v>5227</v>
      </c>
      <c r="T9" s="9"/>
      <c r="V9" s="35" t="s">
        <v>5088</v>
      </c>
      <c r="W9" s="35" t="s">
        <v>4956</v>
      </c>
      <c r="X9" s="199" t="s">
        <v>5045</v>
      </c>
      <c r="Y9" s="36">
        <v>4</v>
      </c>
      <c r="Z9" s="36">
        <v>100</v>
      </c>
      <c r="AA9" s="36">
        <v>1</v>
      </c>
      <c r="AB9" s="35" t="s">
        <v>5046</v>
      </c>
    </row>
    <row r="10" spans="1:28">
      <c r="A10" s="9" t="s">
        <v>5135</v>
      </c>
      <c r="B10" s="10" t="s">
        <v>5016</v>
      </c>
      <c r="C10" s="10" t="s">
        <v>5787</v>
      </c>
      <c r="D10" s="10"/>
      <c r="E10" s="10" t="s">
        <v>5227</v>
      </c>
      <c r="F10" s="10" t="s">
        <v>5225</v>
      </c>
      <c r="G10" s="10" t="s">
        <v>5225</v>
      </c>
      <c r="H10" s="10" t="s">
        <v>5227</v>
      </c>
      <c r="I10" s="48"/>
      <c r="J10" s="10">
        <f t="shared" si="0"/>
        <v>0</v>
      </c>
      <c r="K10" s="9"/>
      <c r="L10" s="48" t="s">
        <v>5044</v>
      </c>
      <c r="M10" s="10" t="s">
        <v>235</v>
      </c>
      <c r="N10" s="10" t="s">
        <v>5787</v>
      </c>
      <c r="O10" s="10"/>
      <c r="P10" s="10" t="s">
        <v>5227</v>
      </c>
      <c r="Q10" s="10" t="s">
        <v>5225</v>
      </c>
      <c r="R10" s="10" t="s">
        <v>5225</v>
      </c>
      <c r="S10" s="10" t="s">
        <v>5225</v>
      </c>
      <c r="T10" s="9"/>
      <c r="V10" s="35" t="s">
        <v>5088</v>
      </c>
      <c r="W10" s="35" t="s">
        <v>4796</v>
      </c>
      <c r="X10" s="199" t="s">
        <v>4701</v>
      </c>
      <c r="Y10" s="36">
        <v>5</v>
      </c>
      <c r="Z10" s="36">
        <v>100</v>
      </c>
      <c r="AA10" s="36">
        <v>1</v>
      </c>
      <c r="AB10" s="35" t="s">
        <v>4702</v>
      </c>
    </row>
    <row r="11" spans="1:28">
      <c r="A11" s="9" t="s">
        <v>5231</v>
      </c>
      <c r="B11" s="10" t="s">
        <v>5016</v>
      </c>
      <c r="C11" s="10" t="s">
        <v>5786</v>
      </c>
      <c r="D11" s="10"/>
      <c r="E11" s="10" t="s">
        <v>5227</v>
      </c>
      <c r="F11" s="10" t="s">
        <v>5225</v>
      </c>
      <c r="G11" s="10" t="s">
        <v>5225</v>
      </c>
      <c r="H11" s="10" t="s">
        <v>5225</v>
      </c>
      <c r="I11" s="48"/>
      <c r="J11" s="10">
        <f t="shared" si="0"/>
        <v>0</v>
      </c>
      <c r="K11" s="9"/>
      <c r="L11" s="48" t="s">
        <v>5435</v>
      </c>
      <c r="M11" s="10" t="s">
        <v>4748</v>
      </c>
      <c r="N11" s="10" t="s">
        <v>5788</v>
      </c>
      <c r="O11" s="10"/>
      <c r="P11" s="10" t="s">
        <v>5227</v>
      </c>
      <c r="Q11" s="10" t="s">
        <v>5225</v>
      </c>
      <c r="R11" s="10" t="s">
        <v>5225</v>
      </c>
      <c r="S11" s="10" t="s">
        <v>5227</v>
      </c>
      <c r="T11" s="9"/>
      <c r="V11" s="35" t="s">
        <v>5088</v>
      </c>
      <c r="W11" s="35" t="s">
        <v>5135</v>
      </c>
      <c r="X11" s="199" t="s">
        <v>5234</v>
      </c>
      <c r="Y11" s="36">
        <v>6</v>
      </c>
      <c r="Z11" s="36">
        <v>100</v>
      </c>
      <c r="AA11" s="36">
        <v>2</v>
      </c>
      <c r="AB11" s="35" t="s">
        <v>5235</v>
      </c>
    </row>
    <row r="12" spans="1:28">
      <c r="A12" s="9" t="s">
        <v>5315</v>
      </c>
      <c r="B12" s="10" t="s">
        <v>5233</v>
      </c>
      <c r="C12" s="10" t="s">
        <v>5786</v>
      </c>
      <c r="D12" s="10"/>
      <c r="E12" s="10" t="s">
        <v>5227</v>
      </c>
      <c r="F12" s="10" t="s">
        <v>5225</v>
      </c>
      <c r="G12" s="10" t="s">
        <v>5225</v>
      </c>
      <c r="H12" s="10" t="s">
        <v>5227</v>
      </c>
      <c r="I12" s="48" t="s">
        <v>5341</v>
      </c>
      <c r="J12" s="10">
        <f t="shared" si="0"/>
        <v>0</v>
      </c>
      <c r="L12" s="48" t="s">
        <v>4963</v>
      </c>
      <c r="M12" s="10" t="s">
        <v>4748</v>
      </c>
      <c r="N12" s="10" t="s">
        <v>5786</v>
      </c>
      <c r="O12" s="10"/>
      <c r="P12" s="10" t="s">
        <v>5225</v>
      </c>
      <c r="Q12" s="10" t="s">
        <v>5225</v>
      </c>
      <c r="R12" s="10">
        <v>1</v>
      </c>
      <c r="S12" s="10" t="s">
        <v>5227</v>
      </c>
      <c r="T12" s="9"/>
      <c r="V12" s="35" t="s">
        <v>5088</v>
      </c>
      <c r="W12" s="35" t="s">
        <v>4958</v>
      </c>
      <c r="X12" s="199" t="s">
        <v>4703</v>
      </c>
      <c r="Y12" s="36">
        <v>6</v>
      </c>
      <c r="Z12" s="36">
        <v>200</v>
      </c>
      <c r="AA12" s="36">
        <v>0</v>
      </c>
      <c r="AB12" s="35" t="s">
        <v>4704</v>
      </c>
    </row>
    <row r="13" spans="1:28">
      <c r="A13" s="9" t="s">
        <v>5236</v>
      </c>
      <c r="B13" s="10" t="s">
        <v>5028</v>
      </c>
      <c r="C13" s="10" t="s">
        <v>5788</v>
      </c>
      <c r="D13" s="10"/>
      <c r="E13" s="10" t="s">
        <v>5227</v>
      </c>
      <c r="F13" s="10" t="s">
        <v>5225</v>
      </c>
      <c r="G13" s="10">
        <v>1</v>
      </c>
      <c r="H13" s="10" t="s">
        <v>5225</v>
      </c>
      <c r="I13" s="48"/>
      <c r="J13" s="10">
        <f t="shared" si="0"/>
        <v>0</v>
      </c>
      <c r="L13" s="48" t="s">
        <v>4877</v>
      </c>
      <c r="M13" s="10" t="s">
        <v>4748</v>
      </c>
      <c r="N13" s="10" t="s">
        <v>5787</v>
      </c>
      <c r="O13" s="10"/>
      <c r="P13" s="10" t="s">
        <v>5227</v>
      </c>
      <c r="Q13" s="10" t="s">
        <v>5225</v>
      </c>
      <c r="R13" s="10" t="s">
        <v>5225</v>
      </c>
      <c r="S13" s="10" t="s">
        <v>5227</v>
      </c>
      <c r="T13" s="9"/>
      <c r="V13" s="35" t="s">
        <v>5088</v>
      </c>
      <c r="W13" s="35" t="s">
        <v>4958</v>
      </c>
      <c r="X13" s="199" t="s">
        <v>4722</v>
      </c>
      <c r="Y13" s="36">
        <v>6</v>
      </c>
      <c r="Z13" s="36">
        <v>200</v>
      </c>
      <c r="AA13" s="36">
        <v>3</v>
      </c>
      <c r="AB13" s="35" t="s">
        <v>4884</v>
      </c>
    </row>
    <row r="14" spans="1:28">
      <c r="A14" s="9" t="s">
        <v>4878</v>
      </c>
      <c r="B14" s="10" t="s">
        <v>5028</v>
      </c>
      <c r="C14" s="10" t="s">
        <v>5787</v>
      </c>
      <c r="D14" s="10"/>
      <c r="E14" s="10" t="s">
        <v>5227</v>
      </c>
      <c r="F14" s="10" t="s">
        <v>5227</v>
      </c>
      <c r="G14" s="10">
        <v>1</v>
      </c>
      <c r="H14" s="10" t="s">
        <v>5225</v>
      </c>
      <c r="I14" s="48"/>
      <c r="J14" s="10">
        <f t="shared" si="0"/>
        <v>0</v>
      </c>
      <c r="L14" s="48" t="s">
        <v>4721</v>
      </c>
      <c r="M14" s="9" t="s">
        <v>236</v>
      </c>
      <c r="N14" s="10" t="s">
        <v>5788</v>
      </c>
      <c r="O14" s="10"/>
      <c r="P14" s="10" t="s">
        <v>5227</v>
      </c>
      <c r="Q14" s="10" t="s">
        <v>5225</v>
      </c>
      <c r="R14" s="10" t="s">
        <v>5225</v>
      </c>
      <c r="S14" s="10" t="s">
        <v>5225</v>
      </c>
      <c r="T14" s="9"/>
      <c r="V14" s="35" t="s">
        <v>5088</v>
      </c>
      <c r="W14" s="35" t="s">
        <v>5135</v>
      </c>
      <c r="X14" s="199" t="s">
        <v>4705</v>
      </c>
      <c r="Y14" s="36">
        <v>7</v>
      </c>
      <c r="Z14" s="36">
        <v>100</v>
      </c>
      <c r="AA14" s="36">
        <v>4</v>
      </c>
      <c r="AB14" s="35" t="s">
        <v>4843</v>
      </c>
    </row>
    <row r="15" spans="1:28">
      <c r="A15" s="9" t="s">
        <v>5226</v>
      </c>
      <c r="B15" s="10" t="s">
        <v>5016</v>
      </c>
      <c r="C15" s="10" t="s">
        <v>5788</v>
      </c>
      <c r="D15" s="10"/>
      <c r="E15" s="10" t="s">
        <v>5227</v>
      </c>
      <c r="F15" s="10" t="s">
        <v>5225</v>
      </c>
      <c r="G15" s="10" t="s">
        <v>5225</v>
      </c>
      <c r="H15" s="10" t="s">
        <v>5227</v>
      </c>
      <c r="I15" s="48"/>
      <c r="J15" s="10">
        <f t="shared" si="0"/>
        <v>0</v>
      </c>
      <c r="L15" s="48" t="s">
        <v>4885</v>
      </c>
      <c r="M15" s="9" t="s">
        <v>236</v>
      </c>
      <c r="N15" s="10" t="s">
        <v>5788</v>
      </c>
      <c r="O15" s="10"/>
      <c r="P15" s="10" t="s">
        <v>5227</v>
      </c>
      <c r="Q15" s="10" t="s">
        <v>5225</v>
      </c>
      <c r="R15" s="10" t="s">
        <v>5225</v>
      </c>
      <c r="S15" s="10" t="s">
        <v>5225</v>
      </c>
      <c r="T15" s="9"/>
      <c r="V15" s="37" t="s">
        <v>5088</v>
      </c>
      <c r="W15" s="37" t="s">
        <v>4799</v>
      </c>
      <c r="X15" s="200" t="s">
        <v>4846</v>
      </c>
      <c r="Y15" s="38">
        <v>8</v>
      </c>
      <c r="Z15" s="38">
        <v>100</v>
      </c>
      <c r="AA15" s="38">
        <v>2</v>
      </c>
      <c r="AB15" s="37" t="s">
        <v>4847</v>
      </c>
    </row>
    <row r="16" spans="1:28">
      <c r="A16" s="9" t="s">
        <v>4886</v>
      </c>
      <c r="B16" s="10" t="s">
        <v>177</v>
      </c>
      <c r="C16" s="10" t="s">
        <v>5349</v>
      </c>
      <c r="D16" s="10"/>
      <c r="E16" s="10" t="s">
        <v>5225</v>
      </c>
      <c r="F16" s="10" t="s">
        <v>5225</v>
      </c>
      <c r="G16" s="10">
        <v>0</v>
      </c>
      <c r="H16" s="10" t="s">
        <v>5225</v>
      </c>
      <c r="I16" s="48"/>
      <c r="J16" s="10" t="str">
        <f t="shared" si="0"/>
        <v>NA</v>
      </c>
      <c r="L16" s="48" t="s">
        <v>187</v>
      </c>
      <c r="M16" s="10" t="s">
        <v>188</v>
      </c>
      <c r="N16" s="10" t="s">
        <v>5788</v>
      </c>
      <c r="O16" s="10"/>
      <c r="P16" s="10" t="s">
        <v>5227</v>
      </c>
      <c r="Q16" s="10" t="s">
        <v>5225</v>
      </c>
      <c r="R16" s="10" t="s">
        <v>5225</v>
      </c>
      <c r="S16" s="10" t="s">
        <v>5225</v>
      </c>
      <c r="T16" s="9"/>
      <c r="V16" s="37" t="s">
        <v>4890</v>
      </c>
      <c r="W16" s="37" t="s">
        <v>4891</v>
      </c>
      <c r="X16" s="200" t="s">
        <v>4746</v>
      </c>
      <c r="Y16" s="38">
        <v>12</v>
      </c>
      <c r="Z16" s="38">
        <v>100</v>
      </c>
      <c r="AA16" s="39">
        <v>2</v>
      </c>
      <c r="AB16" s="37" t="s">
        <v>4747</v>
      </c>
    </row>
    <row r="17" spans="1:28">
      <c r="A17" s="9" t="s">
        <v>4894</v>
      </c>
      <c r="B17" s="10" t="s">
        <v>4888</v>
      </c>
      <c r="C17" s="10" t="s">
        <v>5788</v>
      </c>
      <c r="D17" s="10"/>
      <c r="E17" s="10" t="s">
        <v>5227</v>
      </c>
      <c r="F17" s="10" t="s">
        <v>5227</v>
      </c>
      <c r="G17" s="10" t="s">
        <v>5225</v>
      </c>
      <c r="H17" s="10" t="s">
        <v>5225</v>
      </c>
      <c r="I17" s="48"/>
      <c r="J17" s="10">
        <f t="shared" si="0"/>
        <v>0</v>
      </c>
      <c r="L17" s="48" t="s">
        <v>4887</v>
      </c>
      <c r="M17" s="9" t="s">
        <v>236</v>
      </c>
      <c r="N17" s="10" t="s">
        <v>5788</v>
      </c>
      <c r="O17" s="10"/>
      <c r="P17" s="10" t="s">
        <v>5227</v>
      </c>
      <c r="Q17" s="10" t="s">
        <v>5225</v>
      </c>
      <c r="R17" s="10" t="s">
        <v>5225</v>
      </c>
      <c r="S17" s="10" t="s">
        <v>5225</v>
      </c>
      <c r="T17" s="9"/>
      <c r="V17" s="35" t="s">
        <v>4628</v>
      </c>
      <c r="W17" s="35" t="s">
        <v>4629</v>
      </c>
      <c r="X17" s="199" t="s">
        <v>4630</v>
      </c>
      <c r="Y17" s="36">
        <v>3</v>
      </c>
      <c r="Z17" s="36">
        <v>100</v>
      </c>
      <c r="AA17" s="36">
        <v>1</v>
      </c>
      <c r="AB17" s="41" t="s">
        <v>4631</v>
      </c>
    </row>
    <row r="18" spans="1:28">
      <c r="A18" s="9" t="s">
        <v>5060</v>
      </c>
      <c r="B18" s="10" t="s">
        <v>4748</v>
      </c>
      <c r="C18" s="10" t="s">
        <v>5787</v>
      </c>
      <c r="D18" s="10"/>
      <c r="E18" s="10" t="s">
        <v>5227</v>
      </c>
      <c r="F18" s="10" t="s">
        <v>5225</v>
      </c>
      <c r="G18" s="10">
        <v>2</v>
      </c>
      <c r="H18" s="10" t="s">
        <v>5225</v>
      </c>
      <c r="I18" s="48"/>
      <c r="J18" s="10">
        <f t="shared" si="0"/>
        <v>0</v>
      </c>
      <c r="L18" s="48" t="s">
        <v>189</v>
      </c>
      <c r="M18" s="10" t="s">
        <v>274</v>
      </c>
      <c r="N18" s="10" t="s">
        <v>5788</v>
      </c>
      <c r="O18" s="10"/>
      <c r="P18" s="10" t="s">
        <v>5227</v>
      </c>
      <c r="Q18" s="10" t="s">
        <v>5225</v>
      </c>
      <c r="R18" s="10" t="s">
        <v>5225</v>
      </c>
      <c r="S18" s="10" t="s">
        <v>5225</v>
      </c>
      <c r="T18" s="9"/>
      <c r="V18" s="35" t="s">
        <v>4628</v>
      </c>
      <c r="W18" s="35" t="s">
        <v>4636</v>
      </c>
      <c r="X18" s="199" t="s">
        <v>4775</v>
      </c>
      <c r="Y18" s="36">
        <v>4</v>
      </c>
      <c r="Z18" s="36">
        <v>200</v>
      </c>
      <c r="AA18" s="40">
        <v>0</v>
      </c>
      <c r="AB18" s="35" t="s">
        <v>4776</v>
      </c>
    </row>
    <row r="19" spans="1:28">
      <c r="A19" s="9" t="s">
        <v>4632</v>
      </c>
      <c r="B19" s="10" t="s">
        <v>4633</v>
      </c>
      <c r="C19" s="10" t="s">
        <v>5786</v>
      </c>
      <c r="D19" s="10"/>
      <c r="E19" s="10" t="s">
        <v>5227</v>
      </c>
      <c r="F19" s="10" t="s">
        <v>5225</v>
      </c>
      <c r="G19" s="10" t="s">
        <v>5225</v>
      </c>
      <c r="H19" s="10" t="s">
        <v>5225</v>
      </c>
      <c r="I19" s="48" t="s">
        <v>4634</v>
      </c>
      <c r="J19" s="10">
        <f t="shared" si="0"/>
        <v>0</v>
      </c>
      <c r="L19" s="48" t="s">
        <v>4889</v>
      </c>
      <c r="M19" s="10" t="s">
        <v>237</v>
      </c>
      <c r="N19" s="10" t="s">
        <v>5788</v>
      </c>
      <c r="O19" s="10"/>
      <c r="P19" s="10" t="s">
        <v>5227</v>
      </c>
      <c r="Q19" s="10" t="s">
        <v>5225</v>
      </c>
      <c r="R19" s="10" t="s">
        <v>5225</v>
      </c>
      <c r="S19" s="10" t="s">
        <v>5225</v>
      </c>
      <c r="T19" s="9"/>
      <c r="V19" s="35" t="s">
        <v>4628</v>
      </c>
      <c r="W19" s="35" t="s">
        <v>4765</v>
      </c>
      <c r="X19" s="199" t="s">
        <v>4766</v>
      </c>
      <c r="Y19" s="36">
        <v>4</v>
      </c>
      <c r="Z19" s="36">
        <v>100</v>
      </c>
      <c r="AA19" s="40">
        <v>0</v>
      </c>
      <c r="AB19" s="35" t="s">
        <v>4767</v>
      </c>
    </row>
    <row r="20" spans="1:28">
      <c r="A20" s="9" t="s">
        <v>4763</v>
      </c>
      <c r="B20" s="10" t="s">
        <v>275</v>
      </c>
      <c r="C20" s="10" t="s">
        <v>5786</v>
      </c>
      <c r="D20" s="10"/>
      <c r="E20" s="10" t="s">
        <v>5227</v>
      </c>
      <c r="F20" s="10" t="s">
        <v>5227</v>
      </c>
      <c r="G20" s="10" t="s">
        <v>5225</v>
      </c>
      <c r="H20" s="10" t="s">
        <v>5225</v>
      </c>
      <c r="I20" s="48"/>
      <c r="J20" s="10">
        <f t="shared" si="0"/>
        <v>0</v>
      </c>
      <c r="L20" s="48" t="s">
        <v>4627</v>
      </c>
      <c r="M20" s="9" t="s">
        <v>236</v>
      </c>
      <c r="N20" s="10" t="s">
        <v>5788</v>
      </c>
      <c r="O20" s="10"/>
      <c r="P20" s="10" t="s">
        <v>5227</v>
      </c>
      <c r="Q20" s="10" t="s">
        <v>5225</v>
      </c>
      <c r="R20" s="10" t="s">
        <v>5225</v>
      </c>
      <c r="S20" s="10" t="s">
        <v>5225</v>
      </c>
      <c r="T20" s="9"/>
      <c r="V20" s="35" t="s">
        <v>4628</v>
      </c>
      <c r="W20" s="35" t="s">
        <v>4769</v>
      </c>
      <c r="X20" s="199" t="s">
        <v>4770</v>
      </c>
      <c r="Y20" s="36">
        <v>5</v>
      </c>
      <c r="Z20" s="36">
        <v>200</v>
      </c>
      <c r="AA20" s="40" t="s">
        <v>4762</v>
      </c>
      <c r="AB20" s="35" t="s">
        <v>4771</v>
      </c>
    </row>
    <row r="21" spans="1:28">
      <c r="A21" s="9" t="s">
        <v>5435</v>
      </c>
      <c r="B21" s="10" t="s">
        <v>4748</v>
      </c>
      <c r="C21" s="10" t="s">
        <v>5788</v>
      </c>
      <c r="D21" s="10"/>
      <c r="E21" s="10" t="s">
        <v>5227</v>
      </c>
      <c r="F21" s="10" t="s">
        <v>5225</v>
      </c>
      <c r="G21" s="10" t="s">
        <v>5225</v>
      </c>
      <c r="H21" s="10" t="s">
        <v>5227</v>
      </c>
      <c r="I21" s="48"/>
      <c r="J21" s="10">
        <f t="shared" si="0"/>
        <v>0</v>
      </c>
      <c r="L21" s="48" t="s">
        <v>4764</v>
      </c>
      <c r="M21" s="9" t="s">
        <v>236</v>
      </c>
      <c r="N21" s="10" t="s">
        <v>5788</v>
      </c>
      <c r="O21" s="10"/>
      <c r="P21" s="10" t="s">
        <v>5227</v>
      </c>
      <c r="Q21" s="10" t="s">
        <v>5225</v>
      </c>
      <c r="R21" s="10" t="s">
        <v>5225</v>
      </c>
      <c r="S21" s="10" t="s">
        <v>5225</v>
      </c>
      <c r="T21" s="9"/>
      <c r="V21" s="35" t="s">
        <v>4628</v>
      </c>
      <c r="W21" s="35" t="s">
        <v>4774</v>
      </c>
      <c r="X21" s="199" t="s">
        <v>4936</v>
      </c>
      <c r="Y21" s="36">
        <v>5</v>
      </c>
      <c r="Z21" s="36">
        <v>100</v>
      </c>
      <c r="AA21" s="40" t="s">
        <v>4931</v>
      </c>
      <c r="AB21" s="35" t="s">
        <v>4929</v>
      </c>
    </row>
    <row r="22" spans="1:28">
      <c r="A22" s="9" t="s">
        <v>4772</v>
      </c>
      <c r="B22" s="10" t="s">
        <v>4888</v>
      </c>
      <c r="C22" s="10" t="s">
        <v>5787</v>
      </c>
      <c r="D22" s="10"/>
      <c r="E22" s="10" t="s">
        <v>5227</v>
      </c>
      <c r="F22" s="10" t="s">
        <v>5225</v>
      </c>
      <c r="G22" s="10" t="s">
        <v>5225</v>
      </c>
      <c r="H22" s="10" t="s">
        <v>5225</v>
      </c>
      <c r="I22" s="48"/>
      <c r="J22" s="10">
        <f t="shared" si="0"/>
        <v>0</v>
      </c>
      <c r="L22" s="48" t="s">
        <v>4768</v>
      </c>
      <c r="M22" s="9" t="s">
        <v>236</v>
      </c>
      <c r="N22" s="10" t="s">
        <v>5788</v>
      </c>
      <c r="O22" s="10"/>
      <c r="P22" s="10" t="s">
        <v>5227</v>
      </c>
      <c r="Q22" s="10" t="s">
        <v>5225</v>
      </c>
      <c r="R22" s="10" t="s">
        <v>5225</v>
      </c>
      <c r="S22" s="10" t="s">
        <v>5225</v>
      </c>
      <c r="T22" s="9"/>
      <c r="V22" s="222" t="s">
        <v>4628</v>
      </c>
      <c r="W22" s="222" t="s">
        <v>4629</v>
      </c>
      <c r="X22" s="223" t="s">
        <v>4944</v>
      </c>
      <c r="Y22" s="224">
        <v>5</v>
      </c>
      <c r="Z22" s="224">
        <v>100</v>
      </c>
      <c r="AA22" s="225" t="s">
        <v>4762</v>
      </c>
      <c r="AB22" s="222" t="s">
        <v>4945</v>
      </c>
    </row>
    <row r="23" spans="1:28">
      <c r="A23" s="9" t="s">
        <v>4963</v>
      </c>
      <c r="B23" s="10" t="s">
        <v>4748</v>
      </c>
      <c r="C23" s="10" t="s">
        <v>5786</v>
      </c>
      <c r="D23" s="10"/>
      <c r="E23" s="10" t="s">
        <v>182</v>
      </c>
      <c r="F23" s="10" t="s">
        <v>5225</v>
      </c>
      <c r="G23" s="10">
        <v>1</v>
      </c>
      <c r="H23" s="10" t="s">
        <v>5227</v>
      </c>
      <c r="I23" s="48"/>
      <c r="J23" s="10">
        <f t="shared" si="0"/>
        <v>0</v>
      </c>
      <c r="L23" s="48" t="s">
        <v>4635</v>
      </c>
      <c r="M23" s="9" t="s">
        <v>236</v>
      </c>
      <c r="N23" s="10" t="s">
        <v>5788</v>
      </c>
      <c r="O23" s="10"/>
      <c r="P23" s="10" t="s">
        <v>5227</v>
      </c>
      <c r="Q23" s="10" t="s">
        <v>5225</v>
      </c>
      <c r="R23" s="10" t="s">
        <v>5225</v>
      </c>
      <c r="S23" s="10" t="s">
        <v>5225</v>
      </c>
      <c r="T23" s="9"/>
      <c r="V23" s="35" t="s">
        <v>4628</v>
      </c>
      <c r="W23" s="35" t="s">
        <v>4961</v>
      </c>
      <c r="X23" s="199" t="s">
        <v>5123</v>
      </c>
      <c r="Y23" s="36">
        <v>5</v>
      </c>
      <c r="Z23" s="36">
        <v>100</v>
      </c>
      <c r="AA23" s="36" t="s">
        <v>5124</v>
      </c>
      <c r="AB23" s="35" t="s">
        <v>5125</v>
      </c>
    </row>
    <row r="24" spans="1:28">
      <c r="A24" s="9" t="s">
        <v>276</v>
      </c>
      <c r="B24" s="10" t="s">
        <v>4748</v>
      </c>
      <c r="C24" s="10" t="s">
        <v>5787</v>
      </c>
      <c r="D24" s="10"/>
      <c r="E24" s="10" t="s">
        <v>5227</v>
      </c>
      <c r="F24" s="10" t="s">
        <v>5227</v>
      </c>
      <c r="G24" s="10" t="s">
        <v>5225</v>
      </c>
      <c r="H24" s="10" t="s">
        <v>5227</v>
      </c>
      <c r="I24" s="48"/>
      <c r="J24" s="10">
        <f t="shared" si="0"/>
        <v>0</v>
      </c>
      <c r="L24" s="48" t="s">
        <v>4937</v>
      </c>
      <c r="M24" s="10" t="s">
        <v>277</v>
      </c>
      <c r="N24" s="10" t="s">
        <v>5788</v>
      </c>
      <c r="O24" s="10"/>
      <c r="P24" s="10" t="s">
        <v>5227</v>
      </c>
      <c r="Q24" s="10" t="s">
        <v>5225</v>
      </c>
      <c r="R24" s="10" t="s">
        <v>5225</v>
      </c>
      <c r="S24" s="10" t="s">
        <v>5225</v>
      </c>
      <c r="T24" s="9"/>
      <c r="V24" s="35" t="s">
        <v>4628</v>
      </c>
      <c r="W24" s="35" t="s">
        <v>4961</v>
      </c>
      <c r="X24" s="199" t="s">
        <v>5128</v>
      </c>
      <c r="Y24" s="36">
        <v>5</v>
      </c>
      <c r="Z24" s="36">
        <v>100</v>
      </c>
      <c r="AA24" s="36">
        <v>2</v>
      </c>
      <c r="AB24" s="35" t="s">
        <v>5129</v>
      </c>
    </row>
    <row r="25" spans="1:28">
      <c r="A25" s="9" t="s">
        <v>5126</v>
      </c>
      <c r="B25" s="10" t="s">
        <v>5233</v>
      </c>
      <c r="C25" s="10" t="s">
        <v>5390</v>
      </c>
      <c r="D25" s="10">
        <v>0</v>
      </c>
      <c r="E25" s="10" t="s">
        <v>5225</v>
      </c>
      <c r="F25" s="10" t="s">
        <v>5227</v>
      </c>
      <c r="G25" s="10">
        <v>2</v>
      </c>
      <c r="H25" s="10" t="s">
        <v>5225</v>
      </c>
      <c r="I25" s="48" t="s">
        <v>5341</v>
      </c>
      <c r="J25" s="10">
        <f t="shared" si="0"/>
        <v>0</v>
      </c>
      <c r="L25" s="48" t="s">
        <v>4943</v>
      </c>
      <c r="M25" s="10" t="s">
        <v>277</v>
      </c>
      <c r="N25" s="10" t="s">
        <v>5788</v>
      </c>
      <c r="O25" s="10"/>
      <c r="P25" s="10" t="s">
        <v>5227</v>
      </c>
      <c r="Q25" s="10" t="s">
        <v>5225</v>
      </c>
      <c r="R25" s="10" t="s">
        <v>5225</v>
      </c>
      <c r="S25" s="10" t="s">
        <v>5225</v>
      </c>
      <c r="T25" s="9"/>
      <c r="V25" s="35" t="s">
        <v>4628</v>
      </c>
      <c r="W25" s="35" t="s">
        <v>4793</v>
      </c>
      <c r="X25" s="199" t="s">
        <v>4794</v>
      </c>
      <c r="Y25" s="36">
        <v>5</v>
      </c>
      <c r="Z25" s="36">
        <v>100</v>
      </c>
      <c r="AA25" s="40" t="s">
        <v>4762</v>
      </c>
      <c r="AB25" s="35" t="s">
        <v>4657</v>
      </c>
    </row>
    <row r="26" spans="1:28">
      <c r="A26" s="9" t="s">
        <v>5130</v>
      </c>
      <c r="B26" s="10" t="s">
        <v>4888</v>
      </c>
      <c r="C26" s="10" t="s">
        <v>5597</v>
      </c>
      <c r="D26" s="10"/>
      <c r="E26" s="10" t="s">
        <v>5225</v>
      </c>
      <c r="F26" s="10" t="s">
        <v>5225</v>
      </c>
      <c r="G26" s="10">
        <v>1</v>
      </c>
      <c r="H26" s="10" t="s">
        <v>5225</v>
      </c>
      <c r="I26" s="48"/>
      <c r="J26" s="10">
        <f t="shared" si="0"/>
        <v>0</v>
      </c>
      <c r="L26" s="48" t="s">
        <v>5122</v>
      </c>
      <c r="M26" s="9" t="s">
        <v>236</v>
      </c>
      <c r="N26" s="10" t="s">
        <v>5788</v>
      </c>
      <c r="O26" s="10"/>
      <c r="P26" s="10" t="s">
        <v>5227</v>
      </c>
      <c r="Q26" s="10" t="s">
        <v>5225</v>
      </c>
      <c r="R26" s="10" t="s">
        <v>5225</v>
      </c>
      <c r="S26" s="10" t="s">
        <v>5225</v>
      </c>
      <c r="T26" s="9"/>
      <c r="V26" s="35" t="s">
        <v>4628</v>
      </c>
      <c r="W26" s="35" t="s">
        <v>4793</v>
      </c>
      <c r="X26" s="199" t="s">
        <v>4952</v>
      </c>
      <c r="Y26" s="36">
        <v>5</v>
      </c>
      <c r="Z26" s="36">
        <v>100</v>
      </c>
      <c r="AA26" s="40" t="s">
        <v>4762</v>
      </c>
      <c r="AB26" s="35" t="s">
        <v>4953</v>
      </c>
    </row>
    <row r="27" spans="1:28">
      <c r="A27" s="9" t="s">
        <v>4949</v>
      </c>
      <c r="B27" s="10" t="s">
        <v>4950</v>
      </c>
      <c r="C27" s="10" t="s">
        <v>5390</v>
      </c>
      <c r="D27" s="10"/>
      <c r="E27" s="10" t="s">
        <v>5227</v>
      </c>
      <c r="F27" s="10" t="s">
        <v>5225</v>
      </c>
      <c r="G27" s="10">
        <v>1</v>
      </c>
      <c r="H27" s="10" t="s">
        <v>5225</v>
      </c>
      <c r="I27" s="48"/>
      <c r="J27" s="10">
        <f t="shared" si="0"/>
        <v>0</v>
      </c>
      <c r="L27" s="48" t="s">
        <v>5127</v>
      </c>
      <c r="M27" s="9" t="s">
        <v>236</v>
      </c>
      <c r="N27" s="10" t="s">
        <v>5788</v>
      </c>
      <c r="O27" s="10"/>
      <c r="P27" s="10" t="s">
        <v>5227</v>
      </c>
      <c r="Q27" s="10" t="s">
        <v>5225</v>
      </c>
      <c r="R27" s="10" t="s">
        <v>5225</v>
      </c>
      <c r="S27" s="10" t="s">
        <v>5225</v>
      </c>
      <c r="T27" s="9"/>
      <c r="V27" s="35" t="s">
        <v>4628</v>
      </c>
      <c r="W27" s="35" t="s">
        <v>4805</v>
      </c>
      <c r="X27" s="199" t="s">
        <v>4806</v>
      </c>
      <c r="Y27" s="36">
        <v>6</v>
      </c>
      <c r="Z27" s="36">
        <v>200</v>
      </c>
      <c r="AA27" s="36">
        <v>0</v>
      </c>
      <c r="AB27" s="35" t="s">
        <v>4807</v>
      </c>
    </row>
    <row r="28" spans="1:28">
      <c r="A28" s="9" t="s">
        <v>4795</v>
      </c>
      <c r="B28" s="10" t="s">
        <v>278</v>
      </c>
      <c r="C28" s="10" t="s">
        <v>5349</v>
      </c>
      <c r="D28" s="10"/>
      <c r="E28" s="10" t="s">
        <v>5225</v>
      </c>
      <c r="F28" s="10" t="s">
        <v>5225</v>
      </c>
      <c r="G28" s="10" t="s">
        <v>5225</v>
      </c>
      <c r="H28" s="10" t="s">
        <v>5225</v>
      </c>
      <c r="I28" s="48" t="s">
        <v>4803</v>
      </c>
      <c r="J28" s="10" t="str">
        <f t="shared" si="0"/>
        <v>NA</v>
      </c>
      <c r="L28" s="48" t="s">
        <v>4792</v>
      </c>
      <c r="M28" s="9" t="s">
        <v>236</v>
      </c>
      <c r="N28" s="10" t="s">
        <v>5788</v>
      </c>
      <c r="O28" s="10"/>
      <c r="P28" s="10" t="s">
        <v>5227</v>
      </c>
      <c r="Q28" s="10" t="s">
        <v>5225</v>
      </c>
      <c r="R28" s="10" t="s">
        <v>5225</v>
      </c>
      <c r="S28" s="10" t="s">
        <v>5225</v>
      </c>
      <c r="T28" s="9"/>
      <c r="V28" s="35" t="s">
        <v>4628</v>
      </c>
      <c r="W28" s="35" t="s">
        <v>4629</v>
      </c>
      <c r="X28" s="199" t="s">
        <v>4811</v>
      </c>
      <c r="Y28" s="36">
        <v>7</v>
      </c>
      <c r="Z28" s="36">
        <v>100</v>
      </c>
      <c r="AA28" s="40" t="s">
        <v>4812</v>
      </c>
      <c r="AB28" s="35" t="s">
        <v>4813</v>
      </c>
    </row>
    <row r="29" spans="1:28">
      <c r="A29" s="9" t="s">
        <v>4808</v>
      </c>
      <c r="B29" s="10" t="s">
        <v>4809</v>
      </c>
      <c r="C29" s="10" t="s">
        <v>5349</v>
      </c>
      <c r="D29" s="10"/>
      <c r="E29" s="10" t="s">
        <v>5225</v>
      </c>
      <c r="F29" s="10" t="s">
        <v>5225</v>
      </c>
      <c r="G29" s="10" t="s">
        <v>5225</v>
      </c>
      <c r="H29" s="10" t="s">
        <v>5225</v>
      </c>
      <c r="I29" s="48"/>
      <c r="J29" s="10" t="str">
        <f t="shared" si="0"/>
        <v>NA</v>
      </c>
      <c r="L29" s="48" t="s">
        <v>4951</v>
      </c>
      <c r="M29" s="10" t="s">
        <v>237</v>
      </c>
      <c r="N29" s="10" t="s">
        <v>5788</v>
      </c>
      <c r="O29" s="10"/>
      <c r="P29" s="10" t="s">
        <v>5227</v>
      </c>
      <c r="Q29" s="10" t="s">
        <v>5225</v>
      </c>
      <c r="R29" s="10" t="s">
        <v>5225</v>
      </c>
      <c r="S29" s="10" t="s">
        <v>5225</v>
      </c>
      <c r="T29" s="9"/>
      <c r="V29" s="37" t="s">
        <v>4628</v>
      </c>
      <c r="W29" s="37" t="s">
        <v>4961</v>
      </c>
      <c r="X29" s="200" t="s">
        <v>4816</v>
      </c>
      <c r="Y29" s="38">
        <v>8</v>
      </c>
      <c r="Z29" s="38">
        <v>100</v>
      </c>
      <c r="AA29" s="38">
        <v>5</v>
      </c>
      <c r="AB29" s="37" t="s">
        <v>4694</v>
      </c>
    </row>
    <row r="30" spans="1:28">
      <c r="A30" s="9" t="s">
        <v>4814</v>
      </c>
      <c r="B30" s="10" t="s">
        <v>4950</v>
      </c>
      <c r="C30" s="10" t="s">
        <v>5390</v>
      </c>
      <c r="D30" s="10"/>
      <c r="E30" s="10" t="s">
        <v>5227</v>
      </c>
      <c r="F30" s="10" t="s">
        <v>5225</v>
      </c>
      <c r="G30" s="10">
        <v>4</v>
      </c>
      <c r="H30" s="10" t="s">
        <v>5225</v>
      </c>
      <c r="I30" s="48"/>
      <c r="J30" s="10">
        <f t="shared" si="0"/>
        <v>0</v>
      </c>
      <c r="L30" s="48" t="s">
        <v>279</v>
      </c>
      <c r="M30" s="10" t="s">
        <v>280</v>
      </c>
      <c r="N30" s="10" t="s">
        <v>5788</v>
      </c>
      <c r="O30" s="10"/>
      <c r="P30" s="10" t="s">
        <v>5227</v>
      </c>
      <c r="Q30" s="10" t="s">
        <v>5225</v>
      </c>
      <c r="R30" s="10" t="s">
        <v>5225</v>
      </c>
      <c r="S30" s="10" t="s">
        <v>5225</v>
      </c>
      <c r="T30" s="9"/>
      <c r="V30" s="42" t="s">
        <v>4634</v>
      </c>
      <c r="W30" s="42" t="s">
        <v>4632</v>
      </c>
      <c r="X30" s="201" t="s">
        <v>4566</v>
      </c>
      <c r="Y30" s="43">
        <v>7</v>
      </c>
      <c r="Z30" s="43">
        <v>200</v>
      </c>
      <c r="AA30" s="50">
        <v>1</v>
      </c>
      <c r="AB30" s="42" t="s">
        <v>4707</v>
      </c>
    </row>
    <row r="31" spans="1:28">
      <c r="A31" s="9" t="s">
        <v>4695</v>
      </c>
      <c r="B31" s="10" t="s">
        <v>4633</v>
      </c>
      <c r="C31" s="10" t="s">
        <v>5788</v>
      </c>
      <c r="D31" s="10"/>
      <c r="E31" s="10" t="s">
        <v>5227</v>
      </c>
      <c r="F31" s="10" t="s">
        <v>5225</v>
      </c>
      <c r="G31" s="10" t="s">
        <v>5225</v>
      </c>
      <c r="H31" s="10" t="s">
        <v>5227</v>
      </c>
      <c r="I31" s="48"/>
      <c r="J31" s="10">
        <f t="shared" si="0"/>
        <v>0</v>
      </c>
      <c r="L31" s="48" t="s">
        <v>4804</v>
      </c>
      <c r="M31" s="10" t="s">
        <v>277</v>
      </c>
      <c r="N31" s="10" t="s">
        <v>5788</v>
      </c>
      <c r="O31" s="10"/>
      <c r="P31" s="10" t="s">
        <v>5227</v>
      </c>
      <c r="Q31" s="10" t="s">
        <v>5225</v>
      </c>
      <c r="R31" s="10" t="s">
        <v>5225</v>
      </c>
      <c r="S31" s="10" t="s">
        <v>5225</v>
      </c>
      <c r="T31" s="9"/>
      <c r="V31" s="37" t="s">
        <v>4634</v>
      </c>
      <c r="W31" s="37" t="s">
        <v>4711</v>
      </c>
      <c r="X31" s="200" t="s">
        <v>4712</v>
      </c>
      <c r="Y31" s="38">
        <v>8</v>
      </c>
      <c r="Z31" s="38">
        <v>200</v>
      </c>
      <c r="AA31" s="39">
        <v>3</v>
      </c>
      <c r="AB31" s="37" t="s">
        <v>4706</v>
      </c>
    </row>
    <row r="32" spans="1:28">
      <c r="A32" s="9" t="s">
        <v>250</v>
      </c>
      <c r="B32" s="10" t="s">
        <v>251</v>
      </c>
      <c r="C32" s="10" t="s">
        <v>252</v>
      </c>
      <c r="D32" s="10"/>
      <c r="E32" s="10" t="s">
        <v>183</v>
      </c>
      <c r="F32" s="10" t="s">
        <v>182</v>
      </c>
      <c r="G32" s="10">
        <v>1</v>
      </c>
      <c r="H32" s="10" t="s">
        <v>182</v>
      </c>
      <c r="I32" s="48"/>
      <c r="J32" s="10">
        <f t="shared" si="0"/>
        <v>0</v>
      </c>
      <c r="L32" s="48" t="s">
        <v>4810</v>
      </c>
      <c r="M32" s="10" t="s">
        <v>277</v>
      </c>
      <c r="N32" s="10" t="s">
        <v>5788</v>
      </c>
      <c r="O32" s="10"/>
      <c r="P32" s="10" t="s">
        <v>5227</v>
      </c>
      <c r="Q32" s="10" t="s">
        <v>5225</v>
      </c>
      <c r="R32" s="10" t="s">
        <v>5225</v>
      </c>
      <c r="S32" s="10" t="s">
        <v>5225</v>
      </c>
      <c r="T32" s="9"/>
      <c r="V32" s="35" t="s">
        <v>5357</v>
      </c>
      <c r="W32" s="35" t="s">
        <v>5228</v>
      </c>
      <c r="X32" s="199" t="s">
        <v>4761</v>
      </c>
      <c r="Y32" s="36">
        <v>4</v>
      </c>
      <c r="Z32" s="36">
        <v>100</v>
      </c>
      <c r="AA32" s="40" t="s">
        <v>4762</v>
      </c>
      <c r="AB32" s="35" t="s">
        <v>4755</v>
      </c>
    </row>
    <row r="33" spans="1:28">
      <c r="A33" s="9" t="s">
        <v>4708</v>
      </c>
      <c r="B33" s="10" t="s">
        <v>4809</v>
      </c>
      <c r="C33" s="10" t="s">
        <v>5786</v>
      </c>
      <c r="D33" s="10"/>
      <c r="E33" s="10" t="s">
        <v>5225</v>
      </c>
      <c r="F33" s="10" t="s">
        <v>5225</v>
      </c>
      <c r="G33" s="10">
        <v>1</v>
      </c>
      <c r="H33" s="10" t="s">
        <v>5225</v>
      </c>
      <c r="I33" s="48"/>
      <c r="J33" s="10">
        <f t="shared" si="0"/>
        <v>0</v>
      </c>
      <c r="L33" s="48" t="s">
        <v>4815</v>
      </c>
      <c r="M33" s="9" t="s">
        <v>236</v>
      </c>
      <c r="N33" s="10" t="s">
        <v>5788</v>
      </c>
      <c r="O33" s="10"/>
      <c r="P33" s="10" t="s">
        <v>5227</v>
      </c>
      <c r="Q33" s="10" t="s">
        <v>5225</v>
      </c>
      <c r="R33" s="10" t="s">
        <v>5225</v>
      </c>
      <c r="S33" s="10" t="s">
        <v>5225</v>
      </c>
      <c r="T33" s="9"/>
      <c r="V33" s="35" t="s">
        <v>5357</v>
      </c>
      <c r="W33" s="35" t="s">
        <v>5226</v>
      </c>
      <c r="X33" s="199" t="s">
        <v>4860</v>
      </c>
      <c r="Y33" s="36">
        <v>5</v>
      </c>
      <c r="Z33" s="36">
        <v>100</v>
      </c>
      <c r="AA33" s="40">
        <v>0</v>
      </c>
      <c r="AB33" s="35" t="s">
        <v>4861</v>
      </c>
    </row>
    <row r="34" spans="1:28">
      <c r="A34" s="9" t="s">
        <v>5342</v>
      </c>
      <c r="B34" s="10" t="s">
        <v>4856</v>
      </c>
      <c r="C34" s="10" t="s">
        <v>5786</v>
      </c>
      <c r="D34" s="10"/>
      <c r="E34" s="10" t="s">
        <v>5225</v>
      </c>
      <c r="F34" s="10" t="s">
        <v>5225</v>
      </c>
      <c r="G34" s="10">
        <v>1</v>
      </c>
      <c r="H34" s="10" t="s">
        <v>5225</v>
      </c>
      <c r="I34" s="48"/>
      <c r="J34" s="10">
        <f t="shared" si="0"/>
        <v>0</v>
      </c>
      <c r="L34" s="48" t="s">
        <v>4565</v>
      </c>
      <c r="M34" s="10" t="s">
        <v>280</v>
      </c>
      <c r="N34" s="10" t="s">
        <v>5788</v>
      </c>
      <c r="O34" s="10"/>
      <c r="P34" s="10" t="s">
        <v>5227</v>
      </c>
      <c r="Q34" s="10" t="s">
        <v>5225</v>
      </c>
      <c r="R34" s="10" t="s">
        <v>5225</v>
      </c>
      <c r="S34" s="10" t="s">
        <v>5225</v>
      </c>
      <c r="T34" s="9"/>
      <c r="V34" s="35" t="s">
        <v>5357</v>
      </c>
      <c r="W34" s="35" t="s">
        <v>5436</v>
      </c>
      <c r="X34" s="199" t="s">
        <v>4924</v>
      </c>
      <c r="Y34" s="36">
        <v>5</v>
      </c>
      <c r="Z34" s="36">
        <v>100</v>
      </c>
      <c r="AA34" s="36">
        <v>0</v>
      </c>
      <c r="AB34" s="35" t="s">
        <v>4925</v>
      </c>
    </row>
    <row r="35" spans="1:28">
      <c r="A35" s="9" t="s">
        <v>253</v>
      </c>
      <c r="B35" s="9" t="s">
        <v>178</v>
      </c>
      <c r="C35" s="10" t="s">
        <v>133</v>
      </c>
      <c r="D35" s="10"/>
      <c r="E35" s="10" t="s">
        <v>5225</v>
      </c>
      <c r="F35" s="10" t="s">
        <v>5225</v>
      </c>
      <c r="G35" s="10">
        <v>1</v>
      </c>
      <c r="H35" s="10" t="s">
        <v>5225</v>
      </c>
      <c r="I35" s="48"/>
      <c r="J35" s="10">
        <f t="shared" si="0"/>
        <v>0</v>
      </c>
      <c r="L35" s="48" t="s">
        <v>4710</v>
      </c>
      <c r="M35" s="9" t="s">
        <v>236</v>
      </c>
      <c r="N35" s="10" t="s">
        <v>5788</v>
      </c>
      <c r="O35" s="10"/>
      <c r="P35" s="10" t="s">
        <v>5227</v>
      </c>
      <c r="Q35" s="10" t="s">
        <v>5225</v>
      </c>
      <c r="R35" s="10" t="s">
        <v>5225</v>
      </c>
      <c r="S35" s="10" t="s">
        <v>5225</v>
      </c>
      <c r="T35" s="9"/>
      <c r="V35" s="35" t="s">
        <v>5357</v>
      </c>
      <c r="W35" s="35" t="s">
        <v>4871</v>
      </c>
      <c r="X35" s="199" t="s">
        <v>4872</v>
      </c>
      <c r="Y35" s="36">
        <v>6</v>
      </c>
      <c r="Z35" s="36">
        <v>200</v>
      </c>
      <c r="AA35" s="36">
        <v>0</v>
      </c>
      <c r="AB35" s="35" t="s">
        <v>4719</v>
      </c>
    </row>
    <row r="36" spans="1:28">
      <c r="A36" s="9" t="s">
        <v>5423</v>
      </c>
      <c r="B36" s="10" t="s">
        <v>4858</v>
      </c>
      <c r="C36" s="10" t="s">
        <v>5786</v>
      </c>
      <c r="D36" s="10"/>
      <c r="E36" s="10" t="s">
        <v>5227</v>
      </c>
      <c r="F36" s="10" t="s">
        <v>5227</v>
      </c>
      <c r="G36" s="10">
        <v>3</v>
      </c>
      <c r="H36" s="10" t="s">
        <v>5225</v>
      </c>
      <c r="I36" s="48"/>
      <c r="J36" s="10">
        <f t="shared" si="0"/>
        <v>0</v>
      </c>
      <c r="L36" s="48" t="s">
        <v>4857</v>
      </c>
      <c r="M36" s="9" t="s">
        <v>236</v>
      </c>
      <c r="N36" s="10" t="s">
        <v>5788</v>
      </c>
      <c r="O36" s="10"/>
      <c r="P36" s="10" t="s">
        <v>5227</v>
      </c>
      <c r="Q36" s="10" t="s">
        <v>5225</v>
      </c>
      <c r="R36" s="10" t="s">
        <v>5225</v>
      </c>
      <c r="S36" s="10" t="s">
        <v>5225</v>
      </c>
      <c r="T36" s="9"/>
      <c r="V36" s="35" t="s">
        <v>5357</v>
      </c>
      <c r="W36" s="35" t="s">
        <v>5237</v>
      </c>
      <c r="X36" s="199" t="s">
        <v>5313</v>
      </c>
      <c r="Y36" s="36">
        <v>7</v>
      </c>
      <c r="Z36" s="36">
        <v>100</v>
      </c>
      <c r="AA36" s="36">
        <v>2</v>
      </c>
      <c r="AB36" s="35" t="s">
        <v>5314</v>
      </c>
    </row>
    <row r="37" spans="1:28">
      <c r="A37" s="9" t="s">
        <v>4862</v>
      </c>
      <c r="B37" s="10" t="s">
        <v>4809</v>
      </c>
      <c r="C37" s="10" t="s">
        <v>5596</v>
      </c>
      <c r="D37" s="10"/>
      <c r="E37" s="10" t="s">
        <v>5227</v>
      </c>
      <c r="F37" s="10" t="s">
        <v>5225</v>
      </c>
      <c r="G37" s="10">
        <v>2</v>
      </c>
      <c r="H37" s="10" t="s">
        <v>5225</v>
      </c>
      <c r="I37" s="48"/>
      <c r="J37" s="10">
        <f t="shared" si="0"/>
        <v>0</v>
      </c>
      <c r="L37" s="48" t="s">
        <v>4859</v>
      </c>
      <c r="M37" s="9" t="s">
        <v>236</v>
      </c>
      <c r="N37" s="10" t="s">
        <v>5788</v>
      </c>
      <c r="O37" s="10"/>
      <c r="P37" s="10" t="s">
        <v>5227</v>
      </c>
      <c r="Q37" s="10" t="s">
        <v>5225</v>
      </c>
      <c r="R37" s="10" t="s">
        <v>5225</v>
      </c>
      <c r="S37" s="10" t="s">
        <v>5225</v>
      </c>
      <c r="T37" s="9"/>
      <c r="V37" s="35" t="s">
        <v>5357</v>
      </c>
      <c r="W37" s="35" t="s">
        <v>5048</v>
      </c>
      <c r="X37" s="199" t="s">
        <v>4930</v>
      </c>
      <c r="Y37" s="36">
        <v>7</v>
      </c>
      <c r="Z37" s="36">
        <v>100</v>
      </c>
      <c r="AA37" s="40" t="s">
        <v>4931</v>
      </c>
      <c r="AB37" s="35" t="s">
        <v>4932</v>
      </c>
    </row>
    <row r="38" spans="1:28">
      <c r="A38" s="9" t="s">
        <v>5137</v>
      </c>
      <c r="B38" s="10" t="s">
        <v>4856</v>
      </c>
      <c r="C38" s="10" t="s">
        <v>5390</v>
      </c>
      <c r="D38" s="10"/>
      <c r="E38" s="10" t="s">
        <v>5225</v>
      </c>
      <c r="F38" s="10" t="s">
        <v>5225</v>
      </c>
      <c r="G38" s="10">
        <v>1</v>
      </c>
      <c r="H38" s="10" t="s">
        <v>5225</v>
      </c>
      <c r="I38" s="48"/>
      <c r="J38" s="10">
        <f t="shared" si="0"/>
        <v>0</v>
      </c>
      <c r="L38" s="48" t="s">
        <v>134</v>
      </c>
      <c r="M38" s="10" t="s">
        <v>277</v>
      </c>
      <c r="N38" s="10" t="s">
        <v>5788</v>
      </c>
      <c r="O38" s="10"/>
      <c r="P38" s="10" t="s">
        <v>5227</v>
      </c>
      <c r="Q38" s="10" t="s">
        <v>5225</v>
      </c>
      <c r="R38" s="10" t="s">
        <v>5225</v>
      </c>
      <c r="S38" s="10" t="s">
        <v>5225</v>
      </c>
      <c r="T38" s="9"/>
      <c r="V38" s="42" t="s">
        <v>5357</v>
      </c>
      <c r="W38" s="42" t="s">
        <v>5436</v>
      </c>
      <c r="X38" s="201" t="s">
        <v>5121</v>
      </c>
      <c r="Y38" s="43">
        <v>7</v>
      </c>
      <c r="Z38" s="43">
        <v>100</v>
      </c>
      <c r="AA38" s="43">
        <v>0</v>
      </c>
      <c r="AB38" s="42" t="s">
        <v>5120</v>
      </c>
    </row>
    <row r="39" spans="1:28">
      <c r="A39" s="9" t="s">
        <v>135</v>
      </c>
      <c r="B39" s="10" t="s">
        <v>161</v>
      </c>
      <c r="C39" s="10" t="s">
        <v>136</v>
      </c>
      <c r="D39" s="10"/>
      <c r="E39" s="10" t="s">
        <v>128</v>
      </c>
      <c r="F39" s="10" t="s">
        <v>128</v>
      </c>
      <c r="G39" s="10" t="s">
        <v>128</v>
      </c>
      <c r="H39" s="10" t="s">
        <v>129</v>
      </c>
      <c r="I39" s="48"/>
      <c r="J39" s="10">
        <f t="shared" si="0"/>
        <v>0</v>
      </c>
      <c r="L39" s="48" t="s">
        <v>4863</v>
      </c>
      <c r="M39" s="10" t="s">
        <v>277</v>
      </c>
      <c r="N39" s="10" t="s">
        <v>5788</v>
      </c>
      <c r="O39" s="10"/>
      <c r="P39" s="10" t="s">
        <v>5227</v>
      </c>
      <c r="Q39" s="10" t="s">
        <v>5225</v>
      </c>
      <c r="R39" s="10" t="s">
        <v>5225</v>
      </c>
      <c r="S39" s="10" t="s">
        <v>5225</v>
      </c>
      <c r="T39" s="9"/>
      <c r="V39" s="35" t="s">
        <v>5357</v>
      </c>
      <c r="W39" s="35" t="s">
        <v>5230</v>
      </c>
      <c r="X39" s="199" t="s">
        <v>5315</v>
      </c>
      <c r="Y39" s="36">
        <v>7</v>
      </c>
      <c r="Z39" s="36">
        <v>100</v>
      </c>
      <c r="AA39" s="40">
        <v>0</v>
      </c>
      <c r="AB39" s="35" t="s">
        <v>5131</v>
      </c>
    </row>
    <row r="40" spans="1:28">
      <c r="A40" s="9" t="s">
        <v>130</v>
      </c>
      <c r="B40" s="10" t="s">
        <v>131</v>
      </c>
      <c r="C40" s="10" t="s">
        <v>132</v>
      </c>
      <c r="D40" s="10"/>
      <c r="E40" s="10" t="s">
        <v>129</v>
      </c>
      <c r="F40" s="10" t="s">
        <v>128</v>
      </c>
      <c r="G40" s="10">
        <v>1</v>
      </c>
      <c r="H40" s="10" t="s">
        <v>128</v>
      </c>
      <c r="I40" s="48"/>
      <c r="J40" s="10">
        <f t="shared" si="0"/>
        <v>0</v>
      </c>
      <c r="L40" s="48" t="s">
        <v>4870</v>
      </c>
      <c r="M40" s="10" t="s">
        <v>277</v>
      </c>
      <c r="N40" s="10" t="s">
        <v>5788</v>
      </c>
      <c r="O40" s="10"/>
      <c r="P40" s="10" t="s">
        <v>5227</v>
      </c>
      <c r="Q40" s="10" t="s">
        <v>5225</v>
      </c>
      <c r="R40" s="10" t="s">
        <v>5225</v>
      </c>
      <c r="S40" s="10" t="s">
        <v>5225</v>
      </c>
      <c r="T40" s="9"/>
      <c r="V40" s="37" t="s">
        <v>5357</v>
      </c>
      <c r="W40" s="37" t="s">
        <v>5051</v>
      </c>
      <c r="X40" s="200" t="s">
        <v>5041</v>
      </c>
      <c r="Y40" s="38">
        <v>8</v>
      </c>
      <c r="Z40" s="38">
        <v>200</v>
      </c>
      <c r="AA40" s="39">
        <v>2</v>
      </c>
      <c r="AB40" s="37" t="s">
        <v>5042</v>
      </c>
    </row>
    <row r="41" spans="1:28">
      <c r="A41" s="9" t="s">
        <v>20</v>
      </c>
      <c r="B41" s="10" t="s">
        <v>21</v>
      </c>
      <c r="C41" s="10" t="s">
        <v>22</v>
      </c>
      <c r="D41" s="10">
        <v>8</v>
      </c>
      <c r="E41" s="10" t="s">
        <v>23</v>
      </c>
      <c r="F41" s="10" t="s">
        <v>24</v>
      </c>
      <c r="G41" s="10" t="s">
        <v>23</v>
      </c>
      <c r="H41" s="10" t="s">
        <v>23</v>
      </c>
      <c r="I41" s="48"/>
      <c r="J41" s="10">
        <f t="shared" si="0"/>
        <v>0</v>
      </c>
      <c r="L41" s="48" t="s">
        <v>4695</v>
      </c>
      <c r="M41" s="10" t="s">
        <v>4720</v>
      </c>
      <c r="N41" s="10" t="s">
        <v>5788</v>
      </c>
      <c r="O41" s="10"/>
      <c r="P41" s="10" t="s">
        <v>5227</v>
      </c>
      <c r="Q41" s="10" t="s">
        <v>5225</v>
      </c>
      <c r="R41" s="10" t="s">
        <v>5225</v>
      </c>
      <c r="S41" s="10" t="s">
        <v>5227</v>
      </c>
      <c r="T41" s="9"/>
      <c r="V41" s="35" t="s">
        <v>4726</v>
      </c>
      <c r="W41" s="35" t="s">
        <v>4727</v>
      </c>
      <c r="X41" s="199" t="s">
        <v>4728</v>
      </c>
      <c r="Y41" s="36">
        <v>3</v>
      </c>
      <c r="Z41" s="36">
        <v>100</v>
      </c>
      <c r="AA41" s="36" t="s">
        <v>4729</v>
      </c>
      <c r="AB41" s="41" t="s">
        <v>4730</v>
      </c>
    </row>
    <row r="42" spans="1:28">
      <c r="A42" s="9" t="s">
        <v>4769</v>
      </c>
      <c r="B42" s="10" t="s">
        <v>4856</v>
      </c>
      <c r="C42" s="10" t="s">
        <v>5390</v>
      </c>
      <c r="D42" s="10">
        <v>0</v>
      </c>
      <c r="E42" s="10" t="s">
        <v>5227</v>
      </c>
      <c r="F42" s="10" t="s">
        <v>5225</v>
      </c>
      <c r="G42" s="10">
        <v>1</v>
      </c>
      <c r="H42" s="10" t="s">
        <v>5225</v>
      </c>
      <c r="I42" s="48"/>
      <c r="J42" s="10">
        <f t="shared" si="0"/>
        <v>0</v>
      </c>
      <c r="L42" s="48" t="s">
        <v>25</v>
      </c>
      <c r="M42" s="10" t="s">
        <v>26</v>
      </c>
      <c r="N42" s="10" t="s">
        <v>27</v>
      </c>
      <c r="O42" s="10"/>
      <c r="P42" s="10" t="s">
        <v>5227</v>
      </c>
      <c r="Q42" s="10" t="s">
        <v>5225</v>
      </c>
      <c r="R42" s="10" t="s">
        <v>5225</v>
      </c>
      <c r="S42" s="10" t="s">
        <v>5225</v>
      </c>
      <c r="T42" s="9"/>
      <c r="V42" s="35" t="s">
        <v>4726</v>
      </c>
      <c r="W42" s="35" t="s">
        <v>5226</v>
      </c>
      <c r="X42" s="199" t="s">
        <v>4875</v>
      </c>
      <c r="Y42" s="36">
        <v>4</v>
      </c>
      <c r="Z42" s="36">
        <v>100</v>
      </c>
      <c r="AA42" s="36">
        <v>0</v>
      </c>
      <c r="AB42" s="35" t="s">
        <v>4736</v>
      </c>
    </row>
    <row r="43" spans="1:28">
      <c r="A43" s="9" t="s">
        <v>4587</v>
      </c>
      <c r="B43" s="10" t="s">
        <v>4588</v>
      </c>
      <c r="C43" s="10" t="s">
        <v>5786</v>
      </c>
      <c r="D43" s="10"/>
      <c r="E43" s="10" t="s">
        <v>5225</v>
      </c>
      <c r="F43" s="10" t="s">
        <v>5225</v>
      </c>
      <c r="G43" s="10" t="s">
        <v>5225</v>
      </c>
      <c r="H43" s="10" t="s">
        <v>5225</v>
      </c>
      <c r="I43" s="48"/>
      <c r="J43" s="10">
        <f t="shared" si="0"/>
        <v>0</v>
      </c>
      <c r="L43" s="48" t="s">
        <v>5137</v>
      </c>
      <c r="M43" s="10" t="s">
        <v>277</v>
      </c>
      <c r="N43" s="10" t="s">
        <v>5390</v>
      </c>
      <c r="O43" s="10"/>
      <c r="P43" s="10" t="s">
        <v>5225</v>
      </c>
      <c r="Q43" s="10" t="s">
        <v>5225</v>
      </c>
      <c r="R43" s="10">
        <v>1</v>
      </c>
      <c r="S43" s="10" t="s">
        <v>5227</v>
      </c>
      <c r="T43" s="9"/>
      <c r="V43" s="35" t="s">
        <v>4726</v>
      </c>
      <c r="W43" s="35" t="s">
        <v>4739</v>
      </c>
      <c r="X43" s="199" t="s">
        <v>4872</v>
      </c>
      <c r="Y43" s="36">
        <v>5</v>
      </c>
      <c r="Z43" s="36">
        <v>100</v>
      </c>
      <c r="AA43" s="36">
        <v>0</v>
      </c>
      <c r="AB43" s="35" t="s">
        <v>4740</v>
      </c>
    </row>
    <row r="44" spans="1:28">
      <c r="A44" s="9" t="s">
        <v>4589</v>
      </c>
      <c r="B44" s="10" t="s">
        <v>4809</v>
      </c>
      <c r="C44" s="10" t="s">
        <v>5788</v>
      </c>
      <c r="D44" s="10"/>
      <c r="E44" s="10" t="s">
        <v>5227</v>
      </c>
      <c r="F44" s="10" t="s">
        <v>5225</v>
      </c>
      <c r="G44" s="10">
        <v>1</v>
      </c>
      <c r="H44" s="10" t="s">
        <v>5227</v>
      </c>
      <c r="I44" s="48"/>
      <c r="J44" s="10">
        <f t="shared" si="0"/>
        <v>0</v>
      </c>
      <c r="L44" s="48" t="s">
        <v>28</v>
      </c>
      <c r="M44" s="10" t="s">
        <v>251</v>
      </c>
      <c r="N44" s="10" t="s">
        <v>29</v>
      </c>
      <c r="O44" s="10"/>
      <c r="P44" s="10" t="s">
        <v>182</v>
      </c>
      <c r="Q44" s="10" t="s">
        <v>182</v>
      </c>
      <c r="R44" s="10" t="s">
        <v>182</v>
      </c>
      <c r="S44" s="10" t="s">
        <v>183</v>
      </c>
      <c r="T44" s="9"/>
      <c r="V44" s="35" t="s">
        <v>4726</v>
      </c>
      <c r="W44" s="35" t="s">
        <v>4727</v>
      </c>
      <c r="X44" s="199" t="s">
        <v>4745</v>
      </c>
      <c r="Y44" s="36">
        <v>5</v>
      </c>
      <c r="Z44" s="36">
        <v>100</v>
      </c>
      <c r="AA44" s="36">
        <v>2</v>
      </c>
      <c r="AB44" s="35" t="s">
        <v>4619</v>
      </c>
    </row>
    <row r="45" spans="1:28">
      <c r="A45" s="9" t="s">
        <v>5038</v>
      </c>
      <c r="B45" s="10" t="s">
        <v>4809</v>
      </c>
      <c r="C45" s="10" t="s">
        <v>5788</v>
      </c>
      <c r="D45" s="10"/>
      <c r="E45" s="10" t="s">
        <v>5227</v>
      </c>
      <c r="F45" s="10" t="s">
        <v>5225</v>
      </c>
      <c r="G45" s="10">
        <v>1</v>
      </c>
      <c r="H45" s="10" t="s">
        <v>5225</v>
      </c>
      <c r="I45" s="48"/>
      <c r="J45" s="10">
        <f t="shared" si="0"/>
        <v>0</v>
      </c>
      <c r="L45" s="48" t="s">
        <v>4589</v>
      </c>
      <c r="M45" s="10" t="s">
        <v>4809</v>
      </c>
      <c r="N45" s="10" t="s">
        <v>5788</v>
      </c>
      <c r="O45" s="10"/>
      <c r="P45" s="10" t="s">
        <v>5227</v>
      </c>
      <c r="Q45" s="10" t="s">
        <v>5225</v>
      </c>
      <c r="R45" s="10">
        <v>1</v>
      </c>
      <c r="S45" s="10" t="s">
        <v>5227</v>
      </c>
      <c r="T45" s="9"/>
      <c r="V45" s="35" t="s">
        <v>4726</v>
      </c>
      <c r="W45" s="35" t="s">
        <v>4727</v>
      </c>
      <c r="X45" s="199" t="s">
        <v>4622</v>
      </c>
      <c r="Y45" s="36">
        <v>5</v>
      </c>
      <c r="Z45" s="36">
        <v>100</v>
      </c>
      <c r="AA45" s="36">
        <v>3</v>
      </c>
      <c r="AB45" s="35" t="s">
        <v>4623</v>
      </c>
    </row>
    <row r="46" spans="1:28">
      <c r="A46" s="9" t="s">
        <v>5039</v>
      </c>
      <c r="B46" s="10" t="s">
        <v>4856</v>
      </c>
      <c r="C46" s="10" t="s">
        <v>5788</v>
      </c>
      <c r="D46" s="10"/>
      <c r="E46" s="10" t="s">
        <v>5225</v>
      </c>
      <c r="F46" s="10" t="s">
        <v>5225</v>
      </c>
      <c r="G46" s="10">
        <v>1</v>
      </c>
      <c r="H46" s="10" t="s">
        <v>5225</v>
      </c>
      <c r="I46" s="48"/>
      <c r="J46" s="10">
        <f t="shared" si="0"/>
        <v>0</v>
      </c>
      <c r="L46" s="48" t="s">
        <v>5039</v>
      </c>
      <c r="M46" s="10" t="s">
        <v>162</v>
      </c>
      <c r="N46" s="10" t="s">
        <v>5788</v>
      </c>
      <c r="O46" s="10"/>
      <c r="P46" s="10" t="s">
        <v>5227</v>
      </c>
      <c r="Q46" s="10" t="s">
        <v>5225</v>
      </c>
      <c r="R46" s="10">
        <v>2</v>
      </c>
      <c r="S46" s="10" t="s">
        <v>5227</v>
      </c>
      <c r="T46" s="9"/>
      <c r="V46" s="35" t="s">
        <v>4726</v>
      </c>
      <c r="W46" s="35" t="s">
        <v>4626</v>
      </c>
      <c r="X46" s="199" t="s">
        <v>4487</v>
      </c>
      <c r="Y46" s="36">
        <v>6</v>
      </c>
      <c r="Z46" s="36">
        <v>200</v>
      </c>
      <c r="AA46" s="36">
        <v>2</v>
      </c>
      <c r="AB46" s="35" t="s">
        <v>4488</v>
      </c>
    </row>
    <row r="47" spans="1:28">
      <c r="A47" s="9" t="s">
        <v>5040</v>
      </c>
      <c r="B47" s="10" t="s">
        <v>4856</v>
      </c>
      <c r="C47" s="10" t="s">
        <v>5788</v>
      </c>
      <c r="D47" s="10"/>
      <c r="E47" s="10" t="s">
        <v>5225</v>
      </c>
      <c r="F47" s="10" t="s">
        <v>5225</v>
      </c>
      <c r="G47" s="10">
        <v>1</v>
      </c>
      <c r="H47" s="10" t="s">
        <v>183</v>
      </c>
      <c r="I47" s="48"/>
      <c r="J47" s="10">
        <f t="shared" si="0"/>
        <v>0</v>
      </c>
      <c r="L47" s="48" t="s">
        <v>5040</v>
      </c>
      <c r="M47" s="10" t="s">
        <v>277</v>
      </c>
      <c r="N47" s="10" t="s">
        <v>5788</v>
      </c>
      <c r="O47" s="10"/>
      <c r="P47" s="10" t="s">
        <v>5225</v>
      </c>
      <c r="Q47" s="10" t="s">
        <v>5225</v>
      </c>
      <c r="R47" s="10">
        <v>1</v>
      </c>
      <c r="S47" s="10" t="s">
        <v>5227</v>
      </c>
      <c r="T47" s="9"/>
      <c r="V47" s="222" t="s">
        <v>4726</v>
      </c>
      <c r="W47" s="222" t="s">
        <v>4727</v>
      </c>
      <c r="X47" s="223" t="s">
        <v>4492</v>
      </c>
      <c r="Y47" s="224">
        <v>6</v>
      </c>
      <c r="Z47" s="224">
        <v>100</v>
      </c>
      <c r="AA47" s="225">
        <v>2</v>
      </c>
      <c r="AB47" s="222" t="s">
        <v>4637</v>
      </c>
    </row>
    <row r="48" spans="1:28">
      <c r="A48" s="9" t="s">
        <v>4731</v>
      </c>
      <c r="B48" s="10" t="s">
        <v>5047</v>
      </c>
      <c r="C48" s="10" t="s">
        <v>5786</v>
      </c>
      <c r="D48" s="10"/>
      <c r="E48" s="10" t="s">
        <v>5225</v>
      </c>
      <c r="F48" s="10" t="s">
        <v>5225</v>
      </c>
      <c r="G48" s="10">
        <v>1</v>
      </c>
      <c r="H48" s="10" t="s">
        <v>5225</v>
      </c>
      <c r="I48" s="48"/>
      <c r="J48" s="10">
        <f t="shared" si="0"/>
        <v>0</v>
      </c>
      <c r="K48" s="9"/>
      <c r="L48" s="48" t="s">
        <v>4725</v>
      </c>
      <c r="M48" s="10" t="s">
        <v>4620</v>
      </c>
      <c r="N48" s="10" t="s">
        <v>5390</v>
      </c>
      <c r="O48" s="10"/>
      <c r="P48" s="10" t="s">
        <v>5227</v>
      </c>
      <c r="Q48" s="10" t="s">
        <v>5225</v>
      </c>
      <c r="R48" s="10">
        <v>1</v>
      </c>
      <c r="S48" s="10" t="s">
        <v>5227</v>
      </c>
      <c r="T48" s="9"/>
      <c r="V48" s="35" t="s">
        <v>4726</v>
      </c>
      <c r="W48" s="35" t="s">
        <v>4727</v>
      </c>
      <c r="X48" s="199" t="s">
        <v>4640</v>
      </c>
      <c r="Y48" s="36">
        <v>6</v>
      </c>
      <c r="Z48" s="36">
        <v>100</v>
      </c>
      <c r="AA48" s="36" t="s">
        <v>4641</v>
      </c>
      <c r="AB48" s="35" t="s">
        <v>4642</v>
      </c>
    </row>
    <row r="49" spans="1:28">
      <c r="A49" s="9" t="s">
        <v>4737</v>
      </c>
      <c r="B49" s="10" t="s">
        <v>4633</v>
      </c>
      <c r="C49" s="10" t="s">
        <v>5788</v>
      </c>
      <c r="D49" s="10"/>
      <c r="E49" s="10" t="s">
        <v>5227</v>
      </c>
      <c r="F49" s="10" t="s">
        <v>5225</v>
      </c>
      <c r="G49" s="10" t="s">
        <v>5225</v>
      </c>
      <c r="H49" s="10" t="s">
        <v>5225</v>
      </c>
      <c r="I49" s="48" t="s">
        <v>4634</v>
      </c>
      <c r="J49" s="10">
        <f t="shared" si="0"/>
        <v>0</v>
      </c>
      <c r="K49" s="9"/>
      <c r="L49" s="48" t="s">
        <v>4873</v>
      </c>
      <c r="M49" s="10" t="s">
        <v>4874</v>
      </c>
      <c r="N49" s="10" t="s">
        <v>5786</v>
      </c>
      <c r="O49" s="10"/>
      <c r="P49" s="10" t="s">
        <v>5225</v>
      </c>
      <c r="Q49" s="10" t="s">
        <v>5225</v>
      </c>
      <c r="R49" s="10" t="s">
        <v>5225</v>
      </c>
      <c r="S49" s="10" t="s">
        <v>5225</v>
      </c>
      <c r="T49" s="9"/>
      <c r="V49" s="35" t="s">
        <v>4726</v>
      </c>
      <c r="W49" s="35" t="s">
        <v>4727</v>
      </c>
      <c r="X49" s="199" t="s">
        <v>4645</v>
      </c>
      <c r="Y49" s="36">
        <v>7</v>
      </c>
      <c r="Z49" s="36">
        <v>200</v>
      </c>
      <c r="AA49" s="36">
        <v>1</v>
      </c>
      <c r="AB49" s="35" t="s">
        <v>4777</v>
      </c>
    </row>
    <row r="50" spans="1:28">
      <c r="A50" s="9" t="s">
        <v>4741</v>
      </c>
      <c r="B50" s="10" t="s">
        <v>4742</v>
      </c>
      <c r="C50" s="10" t="s">
        <v>5349</v>
      </c>
      <c r="D50" s="10"/>
      <c r="E50" s="10" t="s">
        <v>5225</v>
      </c>
      <c r="F50" s="10" t="s">
        <v>5225</v>
      </c>
      <c r="G50" s="10" t="s">
        <v>4743</v>
      </c>
      <c r="H50" s="10" t="s">
        <v>5225</v>
      </c>
      <c r="I50" s="48"/>
      <c r="J50" s="10" t="str">
        <f t="shared" si="0"/>
        <v>NA</v>
      </c>
      <c r="K50" s="9"/>
      <c r="L50" s="48" t="s">
        <v>4738</v>
      </c>
      <c r="M50" s="10" t="s">
        <v>4720</v>
      </c>
      <c r="N50" s="10" t="s">
        <v>5390</v>
      </c>
      <c r="O50" s="10"/>
      <c r="P50" s="10" t="s">
        <v>5225</v>
      </c>
      <c r="Q50" s="10" t="s">
        <v>5225</v>
      </c>
      <c r="R50" s="10">
        <v>2</v>
      </c>
      <c r="S50" s="10" t="s">
        <v>5227</v>
      </c>
      <c r="T50" s="9"/>
      <c r="V50" s="35" t="s">
        <v>4726</v>
      </c>
      <c r="W50" s="35" t="s">
        <v>4626</v>
      </c>
      <c r="X50" s="199" t="s">
        <v>4781</v>
      </c>
      <c r="Y50" s="36">
        <v>9</v>
      </c>
      <c r="Z50" s="36">
        <v>100</v>
      </c>
      <c r="AA50" s="36">
        <v>4</v>
      </c>
      <c r="AB50" s="35" t="s">
        <v>4782</v>
      </c>
    </row>
    <row r="51" spans="1:28">
      <c r="A51" s="9" t="s">
        <v>4898</v>
      </c>
      <c r="B51" s="10" t="s">
        <v>4620</v>
      </c>
      <c r="C51" s="10" t="s">
        <v>5597</v>
      </c>
      <c r="D51" s="10"/>
      <c r="E51" s="10" t="s">
        <v>5227</v>
      </c>
      <c r="F51" s="10" t="s">
        <v>5225</v>
      </c>
      <c r="G51" s="10" t="s">
        <v>5225</v>
      </c>
      <c r="H51" s="10" t="s">
        <v>5225</v>
      </c>
      <c r="I51" s="48"/>
      <c r="J51" s="10">
        <f t="shared" si="0"/>
        <v>0</v>
      </c>
      <c r="K51" s="9"/>
      <c r="L51" s="48" t="s">
        <v>4744</v>
      </c>
      <c r="M51" s="10" t="s">
        <v>235</v>
      </c>
      <c r="N51" s="10" t="s">
        <v>5788</v>
      </c>
      <c r="O51" s="10"/>
      <c r="P51" s="10" t="s">
        <v>5227</v>
      </c>
      <c r="Q51" s="10" t="s">
        <v>5225</v>
      </c>
      <c r="R51" s="10" t="s">
        <v>5225</v>
      </c>
      <c r="S51" s="10" t="s">
        <v>5225</v>
      </c>
      <c r="T51" s="9"/>
      <c r="V51" s="42" t="s">
        <v>4726</v>
      </c>
      <c r="W51" s="42" t="s">
        <v>4784</v>
      </c>
      <c r="X51" s="201" t="s">
        <v>4785</v>
      </c>
      <c r="Y51" s="43">
        <v>9</v>
      </c>
      <c r="Z51" s="43">
        <v>100</v>
      </c>
      <c r="AA51" s="43">
        <v>1</v>
      </c>
      <c r="AB51" s="42" t="s">
        <v>4786</v>
      </c>
    </row>
    <row r="52" spans="1:28">
      <c r="A52" s="9" t="s">
        <v>4892</v>
      </c>
      <c r="B52" s="10" t="s">
        <v>4620</v>
      </c>
      <c r="C52" s="10" t="s">
        <v>5597</v>
      </c>
      <c r="D52" s="10"/>
      <c r="E52" s="10" t="s">
        <v>5225</v>
      </c>
      <c r="F52" s="10" t="s">
        <v>5227</v>
      </c>
      <c r="G52" s="10" t="s">
        <v>5225</v>
      </c>
      <c r="H52" s="10" t="s">
        <v>5225</v>
      </c>
      <c r="I52" s="48"/>
      <c r="J52" s="10">
        <f t="shared" si="0"/>
        <v>0</v>
      </c>
      <c r="K52" s="9"/>
      <c r="L52" s="48" t="s">
        <v>30</v>
      </c>
      <c r="M52" s="10" t="s">
        <v>31</v>
      </c>
      <c r="N52" s="10" t="s">
        <v>29</v>
      </c>
      <c r="O52" s="10"/>
      <c r="P52" s="10" t="s">
        <v>183</v>
      </c>
      <c r="Q52" s="10" t="s">
        <v>182</v>
      </c>
      <c r="R52" s="10" t="s">
        <v>182</v>
      </c>
      <c r="S52" s="10" t="s">
        <v>183</v>
      </c>
      <c r="T52" s="9" t="s">
        <v>32</v>
      </c>
      <c r="V52" s="35" t="s">
        <v>4726</v>
      </c>
      <c r="W52" s="35" t="s">
        <v>4784</v>
      </c>
      <c r="X52" s="199" t="s">
        <v>4939</v>
      </c>
      <c r="Y52" s="36">
        <v>11</v>
      </c>
      <c r="Z52" s="36">
        <v>100</v>
      </c>
      <c r="AA52" s="36" t="s">
        <v>4641</v>
      </c>
      <c r="AB52" s="35" t="s">
        <v>4940</v>
      </c>
    </row>
    <row r="53" spans="1:28">
      <c r="A53" s="9" t="s">
        <v>33</v>
      </c>
      <c r="B53" s="10" t="s">
        <v>278</v>
      </c>
      <c r="C53" s="10" t="s">
        <v>186</v>
      </c>
      <c r="D53" s="10"/>
      <c r="E53" s="10" t="s">
        <v>183</v>
      </c>
      <c r="F53" s="10" t="s">
        <v>183</v>
      </c>
      <c r="G53" s="10">
        <v>0</v>
      </c>
      <c r="H53" s="10" t="s">
        <v>182</v>
      </c>
      <c r="I53" s="48"/>
      <c r="J53" s="10">
        <f t="shared" si="0"/>
        <v>0</v>
      </c>
      <c r="K53" s="9"/>
      <c r="L53" s="48" t="s">
        <v>4621</v>
      </c>
      <c r="M53" s="10" t="s">
        <v>4577</v>
      </c>
      <c r="N53" s="10" t="s">
        <v>5390</v>
      </c>
      <c r="O53" s="10"/>
      <c r="P53" s="10" t="s">
        <v>5227</v>
      </c>
      <c r="Q53" s="10" t="s">
        <v>5225</v>
      </c>
      <c r="R53" s="10">
        <v>1</v>
      </c>
      <c r="S53" s="10" t="s">
        <v>5227</v>
      </c>
      <c r="T53" s="9"/>
      <c r="V53" s="37" t="s">
        <v>4726</v>
      </c>
      <c r="W53" s="37" t="s">
        <v>4727</v>
      </c>
      <c r="X53" s="200" t="s">
        <v>4517</v>
      </c>
      <c r="Y53" s="38">
        <v>13</v>
      </c>
      <c r="Z53" s="38">
        <v>100</v>
      </c>
      <c r="AA53" s="38">
        <v>4</v>
      </c>
      <c r="AB53" s="37" t="s">
        <v>4659</v>
      </c>
    </row>
    <row r="54" spans="1:28">
      <c r="A54" s="9" t="s">
        <v>4489</v>
      </c>
      <c r="B54" s="10" t="s">
        <v>4633</v>
      </c>
      <c r="C54" s="10" t="s">
        <v>5390</v>
      </c>
      <c r="D54" s="10"/>
      <c r="E54" s="10" t="s">
        <v>5227</v>
      </c>
      <c r="F54" s="10" t="s">
        <v>5227</v>
      </c>
      <c r="G54" s="10">
        <v>2</v>
      </c>
      <c r="H54" s="10" t="s">
        <v>5225</v>
      </c>
      <c r="I54" s="48" t="s">
        <v>4490</v>
      </c>
      <c r="J54" s="10">
        <f t="shared" si="0"/>
        <v>0</v>
      </c>
      <c r="K54" s="9"/>
      <c r="L54" s="48" t="s">
        <v>4624</v>
      </c>
      <c r="M54" s="10" t="s">
        <v>184</v>
      </c>
      <c r="N54" s="10" t="s">
        <v>5390</v>
      </c>
      <c r="O54" s="10"/>
      <c r="P54" s="10" t="s">
        <v>5225</v>
      </c>
      <c r="Q54" s="10" t="s">
        <v>5225</v>
      </c>
      <c r="R54" s="10" t="s">
        <v>5225</v>
      </c>
      <c r="S54" s="10" t="s">
        <v>5227</v>
      </c>
      <c r="T54" s="9" t="s">
        <v>4625</v>
      </c>
      <c r="V54" s="42" t="s">
        <v>4662</v>
      </c>
      <c r="W54" s="42" t="s">
        <v>4663</v>
      </c>
      <c r="X54" s="201" t="s">
        <v>4664</v>
      </c>
      <c r="Y54" s="43">
        <v>8</v>
      </c>
      <c r="Z54" s="43">
        <v>200</v>
      </c>
      <c r="AA54" s="43">
        <v>2</v>
      </c>
      <c r="AB54" s="42" t="s">
        <v>4947</v>
      </c>
    </row>
    <row r="55" spans="1:28">
      <c r="A55" s="9" t="s">
        <v>4638</v>
      </c>
      <c r="B55" s="10" t="s">
        <v>4639</v>
      </c>
      <c r="C55" s="10" t="s">
        <v>5786</v>
      </c>
      <c r="D55" s="10"/>
      <c r="E55" s="10" t="s">
        <v>183</v>
      </c>
      <c r="F55" s="10" t="s">
        <v>5227</v>
      </c>
      <c r="G55" s="10">
        <v>1</v>
      </c>
      <c r="H55" s="10" t="s">
        <v>5225</v>
      </c>
      <c r="I55" s="48"/>
      <c r="J55" s="10">
        <f t="shared" si="0"/>
        <v>0</v>
      </c>
      <c r="K55" s="9"/>
      <c r="L55" s="48" t="s">
        <v>4491</v>
      </c>
      <c r="M55" s="10" t="s">
        <v>4715</v>
      </c>
      <c r="N55" s="10" t="s">
        <v>5788</v>
      </c>
      <c r="O55" s="10"/>
      <c r="P55" s="10" t="s">
        <v>5227</v>
      </c>
      <c r="Q55" s="10" t="s">
        <v>5225</v>
      </c>
      <c r="R55" s="10" t="s">
        <v>5225</v>
      </c>
      <c r="S55" s="10" t="s">
        <v>5227</v>
      </c>
      <c r="T55" s="9"/>
      <c r="V55" s="42" t="s">
        <v>4662</v>
      </c>
      <c r="W55" s="42" t="s">
        <v>4791</v>
      </c>
      <c r="X55" s="201" t="s">
        <v>4669</v>
      </c>
      <c r="Y55" s="43">
        <v>9</v>
      </c>
      <c r="Z55" s="43">
        <v>300</v>
      </c>
      <c r="AA55" s="43">
        <v>5</v>
      </c>
      <c r="AB55" s="42" t="s">
        <v>4670</v>
      </c>
    </row>
    <row r="56" spans="1:28">
      <c r="A56" s="9" t="s">
        <v>4725</v>
      </c>
      <c r="B56" s="10" t="s">
        <v>4620</v>
      </c>
      <c r="C56" s="10" t="s">
        <v>5390</v>
      </c>
      <c r="D56" s="10"/>
      <c r="E56" s="10" t="s">
        <v>5227</v>
      </c>
      <c r="F56" s="10" t="s">
        <v>5225</v>
      </c>
      <c r="G56" s="10">
        <v>1</v>
      </c>
      <c r="H56" s="10" t="s">
        <v>5227</v>
      </c>
      <c r="I56" s="48"/>
      <c r="J56" s="10">
        <f t="shared" si="0"/>
        <v>0</v>
      </c>
      <c r="K56" s="9"/>
      <c r="L56" s="48" t="s">
        <v>4626</v>
      </c>
      <c r="M56" s="10" t="s">
        <v>4577</v>
      </c>
      <c r="N56" s="10" t="s">
        <v>5596</v>
      </c>
      <c r="O56" s="10"/>
      <c r="P56" s="10" t="s">
        <v>5225</v>
      </c>
      <c r="Q56" s="10" t="s">
        <v>5225</v>
      </c>
      <c r="R56" s="10" t="s">
        <v>5225</v>
      </c>
      <c r="S56" s="10" t="s">
        <v>5227</v>
      </c>
      <c r="T56" s="9"/>
      <c r="V56" s="37" t="s">
        <v>4662</v>
      </c>
      <c r="W56" s="37" t="s">
        <v>4801</v>
      </c>
      <c r="X56" s="200" t="s">
        <v>4802</v>
      </c>
      <c r="Y56" s="38">
        <v>12</v>
      </c>
      <c r="Z56" s="38">
        <v>300</v>
      </c>
      <c r="AA56" s="39">
        <v>4</v>
      </c>
      <c r="AB56" s="37" t="s">
        <v>4676</v>
      </c>
    </row>
    <row r="57" spans="1:28">
      <c r="A57" s="9" t="s">
        <v>4778</v>
      </c>
      <c r="B57" s="10" t="s">
        <v>4779</v>
      </c>
      <c r="C57" s="10" t="s">
        <v>5390</v>
      </c>
      <c r="D57" s="10">
        <v>0</v>
      </c>
      <c r="E57" s="69" t="s">
        <v>182</v>
      </c>
      <c r="F57" s="10" t="s">
        <v>5227</v>
      </c>
      <c r="G57" s="10" t="s">
        <v>5225</v>
      </c>
      <c r="H57" s="10" t="s">
        <v>5225</v>
      </c>
      <c r="I57" s="48"/>
      <c r="J57" s="10">
        <f t="shared" si="0"/>
        <v>0</v>
      </c>
      <c r="K57" s="9"/>
      <c r="L57" s="48" t="s">
        <v>4644</v>
      </c>
      <c r="M57" s="10" t="s">
        <v>4577</v>
      </c>
      <c r="N57" s="10" t="s">
        <v>5390</v>
      </c>
      <c r="O57" s="10"/>
      <c r="P57" s="10" t="s">
        <v>5227</v>
      </c>
      <c r="Q57" s="10" t="s">
        <v>5225</v>
      </c>
      <c r="R57" s="10" t="s">
        <v>5225</v>
      </c>
      <c r="S57" s="10" t="s">
        <v>5227</v>
      </c>
      <c r="T57" s="9"/>
      <c r="V57" s="35" t="s">
        <v>5232</v>
      </c>
      <c r="W57" s="35" t="s">
        <v>4680</v>
      </c>
      <c r="X57" s="199" t="s">
        <v>4544</v>
      </c>
      <c r="Y57" s="36">
        <v>3</v>
      </c>
      <c r="Z57" s="36">
        <v>100</v>
      </c>
      <c r="AA57" s="36">
        <v>2</v>
      </c>
      <c r="AB57" s="35" t="s">
        <v>4545</v>
      </c>
    </row>
    <row r="58" spans="1:28">
      <c r="A58" s="9" t="s">
        <v>4738</v>
      </c>
      <c r="B58" s="10" t="s">
        <v>4639</v>
      </c>
      <c r="C58" s="10" t="s">
        <v>5390</v>
      </c>
      <c r="D58" s="10"/>
      <c r="E58" s="10" t="s">
        <v>5225</v>
      </c>
      <c r="F58" s="10" t="s">
        <v>5225</v>
      </c>
      <c r="G58" s="10">
        <v>2</v>
      </c>
      <c r="H58" s="10" t="s">
        <v>5227</v>
      </c>
      <c r="I58" s="48"/>
      <c r="J58" s="10">
        <f t="shared" si="0"/>
        <v>0</v>
      </c>
      <c r="K58" s="9"/>
      <c r="L58" s="48" t="s">
        <v>4780</v>
      </c>
      <c r="M58" s="10" t="s">
        <v>4720</v>
      </c>
      <c r="N58" s="10" t="s">
        <v>5390</v>
      </c>
      <c r="O58" s="10"/>
      <c r="P58" s="10" t="s">
        <v>5225</v>
      </c>
      <c r="Q58" s="10" t="s">
        <v>5225</v>
      </c>
      <c r="R58" s="10">
        <v>1</v>
      </c>
      <c r="S58" s="10" t="s">
        <v>5227</v>
      </c>
      <c r="T58" s="9"/>
      <c r="V58" s="35" t="s">
        <v>5232</v>
      </c>
      <c r="W58" s="35" t="s">
        <v>5231</v>
      </c>
      <c r="X58" s="199" t="s">
        <v>4693</v>
      </c>
      <c r="Y58" s="36">
        <v>5</v>
      </c>
      <c r="Z58" s="36">
        <v>100</v>
      </c>
      <c r="AA58" s="36">
        <v>1</v>
      </c>
      <c r="AB58" s="35" t="s">
        <v>4553</v>
      </c>
    </row>
    <row r="59" spans="1:28">
      <c r="A59" s="9" t="s">
        <v>4938</v>
      </c>
      <c r="B59" s="10" t="s">
        <v>4639</v>
      </c>
      <c r="C59" s="10" t="s">
        <v>5787</v>
      </c>
      <c r="D59" s="10"/>
      <c r="E59" s="10" t="s">
        <v>5225</v>
      </c>
      <c r="F59" s="10" t="s">
        <v>5225</v>
      </c>
      <c r="G59" s="10">
        <v>1</v>
      </c>
      <c r="H59" s="10" t="s">
        <v>5225</v>
      </c>
      <c r="I59" s="48" t="s">
        <v>5032</v>
      </c>
      <c r="J59" s="10">
        <f t="shared" si="0"/>
        <v>0</v>
      </c>
      <c r="K59" s="9"/>
      <c r="L59" s="48" t="s">
        <v>4783</v>
      </c>
      <c r="M59" s="10" t="s">
        <v>4375</v>
      </c>
      <c r="N59" s="10" t="s">
        <v>5787</v>
      </c>
      <c r="O59" s="10"/>
      <c r="P59" s="10" t="s">
        <v>5227</v>
      </c>
      <c r="Q59" s="10" t="s">
        <v>5225</v>
      </c>
      <c r="R59" s="10" t="s">
        <v>5225</v>
      </c>
      <c r="S59" s="10" t="s">
        <v>5227</v>
      </c>
      <c r="T59" s="9"/>
      <c r="V59" s="35" t="s">
        <v>5232</v>
      </c>
      <c r="W59" s="35" t="s">
        <v>4783</v>
      </c>
      <c r="X59" s="199" t="s">
        <v>4556</v>
      </c>
      <c r="Y59" s="36">
        <v>5</v>
      </c>
      <c r="Z59" s="36">
        <v>200</v>
      </c>
      <c r="AA59" s="36">
        <v>2</v>
      </c>
      <c r="AB59" s="35" t="s">
        <v>4557</v>
      </c>
    </row>
    <row r="60" spans="1:28">
      <c r="A60" s="9" t="s">
        <v>4941</v>
      </c>
      <c r="B60" s="10" t="s">
        <v>4779</v>
      </c>
      <c r="C60" s="10" t="s">
        <v>5786</v>
      </c>
      <c r="D60" s="10"/>
      <c r="E60" s="10" t="s">
        <v>5227</v>
      </c>
      <c r="F60" s="10" t="s">
        <v>5225</v>
      </c>
      <c r="G60" s="10">
        <v>5</v>
      </c>
      <c r="H60" s="10" t="s">
        <v>5225</v>
      </c>
      <c r="I60" s="48"/>
      <c r="J60" s="10">
        <f t="shared" si="0"/>
        <v>0</v>
      </c>
      <c r="K60" s="9"/>
      <c r="L60" s="48" t="s">
        <v>4891</v>
      </c>
      <c r="M60" s="10" t="s">
        <v>34</v>
      </c>
      <c r="N60" s="10" t="s">
        <v>5786</v>
      </c>
      <c r="O60" s="10"/>
      <c r="P60" s="10" t="s">
        <v>5227</v>
      </c>
      <c r="Q60" s="10" t="s">
        <v>5225</v>
      </c>
      <c r="R60" s="10">
        <v>1</v>
      </c>
      <c r="S60" s="10" t="s">
        <v>5227</v>
      </c>
      <c r="T60" s="9"/>
      <c r="V60" s="35" t="s">
        <v>5232</v>
      </c>
      <c r="W60" s="35" t="s">
        <v>4680</v>
      </c>
      <c r="X60" s="199" t="s">
        <v>4560</v>
      </c>
      <c r="Y60" s="36">
        <v>5</v>
      </c>
      <c r="Z60" s="36">
        <v>100</v>
      </c>
      <c r="AA60" s="36" t="s">
        <v>4561</v>
      </c>
      <c r="AB60" s="35" t="s">
        <v>4562</v>
      </c>
    </row>
    <row r="61" spans="1:28">
      <c r="A61" s="9" t="s">
        <v>4739</v>
      </c>
      <c r="B61" s="10" t="s">
        <v>4660</v>
      </c>
      <c r="C61" s="10" t="s">
        <v>5597</v>
      </c>
      <c r="D61" s="10"/>
      <c r="E61" s="10" t="s">
        <v>5227</v>
      </c>
      <c r="F61" s="10" t="s">
        <v>5225</v>
      </c>
      <c r="G61" s="10" t="s">
        <v>5225</v>
      </c>
      <c r="H61" s="10" t="s">
        <v>5225</v>
      </c>
      <c r="I61" s="48"/>
      <c r="J61" s="10">
        <f t="shared" si="0"/>
        <v>0</v>
      </c>
      <c r="K61" s="9"/>
      <c r="L61" s="48" t="s">
        <v>4942</v>
      </c>
      <c r="M61" s="10" t="s">
        <v>4375</v>
      </c>
      <c r="N61" s="10" t="s">
        <v>5786</v>
      </c>
      <c r="O61" s="10"/>
      <c r="P61" s="10" t="s">
        <v>5227</v>
      </c>
      <c r="Q61" s="10" t="s">
        <v>5225</v>
      </c>
      <c r="R61" s="10">
        <v>1</v>
      </c>
      <c r="S61" s="10" t="s">
        <v>5227</v>
      </c>
      <c r="T61" s="9"/>
      <c r="V61" s="35" t="s">
        <v>5232</v>
      </c>
      <c r="W61" s="35" t="s">
        <v>5170</v>
      </c>
      <c r="X61" s="199" t="s">
        <v>4564</v>
      </c>
      <c r="Y61" s="36">
        <v>5</v>
      </c>
      <c r="Z61" s="36">
        <v>100</v>
      </c>
      <c r="AA61" s="36">
        <v>0</v>
      </c>
      <c r="AB61" s="35" t="s">
        <v>4422</v>
      </c>
    </row>
    <row r="62" spans="1:28">
      <c r="A62" s="9" t="s">
        <v>4948</v>
      </c>
      <c r="B62" s="10" t="s">
        <v>4779</v>
      </c>
      <c r="C62" s="10" t="s">
        <v>5596</v>
      </c>
      <c r="D62" s="10"/>
      <c r="E62" s="10" t="s">
        <v>5225</v>
      </c>
      <c r="F62" s="10" t="s">
        <v>5227</v>
      </c>
      <c r="G62" s="10">
        <v>1</v>
      </c>
      <c r="H62" s="10" t="s">
        <v>5225</v>
      </c>
      <c r="I62" s="48"/>
      <c r="J62" s="10">
        <f t="shared" si="0"/>
        <v>0</v>
      </c>
      <c r="K62" s="9"/>
      <c r="L62" s="48" t="s">
        <v>4661</v>
      </c>
      <c r="M62" s="10" t="s">
        <v>4393</v>
      </c>
      <c r="N62" s="10" t="s">
        <v>5788</v>
      </c>
      <c r="O62" s="10"/>
      <c r="P62" s="10" t="s">
        <v>5227</v>
      </c>
      <c r="Q62" s="10" t="s">
        <v>5225</v>
      </c>
      <c r="R62" s="10" t="s">
        <v>5225</v>
      </c>
      <c r="S62" s="10" t="s">
        <v>5227</v>
      </c>
      <c r="T62" s="9"/>
      <c r="V62" s="35" t="s">
        <v>5232</v>
      </c>
      <c r="W62" s="35" t="s">
        <v>4424</v>
      </c>
      <c r="X62" s="199" t="s">
        <v>4567</v>
      </c>
      <c r="Y62" s="36">
        <v>5</v>
      </c>
      <c r="Z62" s="36">
        <v>200</v>
      </c>
      <c r="AA62" s="36">
        <v>2</v>
      </c>
      <c r="AB62" s="35" t="s">
        <v>4568</v>
      </c>
    </row>
    <row r="63" spans="1:28">
      <c r="A63" s="9" t="s">
        <v>35</v>
      </c>
      <c r="B63" s="10" t="s">
        <v>4672</v>
      </c>
      <c r="C63" s="10" t="s">
        <v>5596</v>
      </c>
      <c r="D63" s="10"/>
      <c r="E63" s="10" t="s">
        <v>5225</v>
      </c>
      <c r="F63" s="10" t="s">
        <v>5225</v>
      </c>
      <c r="G63" s="10">
        <v>1</v>
      </c>
      <c r="H63" s="10" t="s">
        <v>5225</v>
      </c>
      <c r="I63" s="48" t="s">
        <v>5284</v>
      </c>
      <c r="J63" s="10">
        <f t="shared" si="0"/>
        <v>0</v>
      </c>
      <c r="K63" s="9"/>
      <c r="L63" s="48" t="s">
        <v>4790</v>
      </c>
      <c r="M63" s="10" t="s">
        <v>36</v>
      </c>
      <c r="N63" s="10" t="s">
        <v>5786</v>
      </c>
      <c r="O63" s="10"/>
      <c r="P63" s="10" t="s">
        <v>5227</v>
      </c>
      <c r="Q63" s="10" t="s">
        <v>5225</v>
      </c>
      <c r="R63" s="10" t="s">
        <v>5225</v>
      </c>
      <c r="S63" s="10" t="s">
        <v>5225</v>
      </c>
      <c r="T63" s="9"/>
      <c r="V63" s="222" t="s">
        <v>5232</v>
      </c>
      <c r="W63" s="222" t="s">
        <v>4572</v>
      </c>
      <c r="X63" s="223" t="s">
        <v>4573</v>
      </c>
      <c r="Y63" s="224">
        <v>6</v>
      </c>
      <c r="Z63" s="224">
        <v>100</v>
      </c>
      <c r="AA63" s="225">
        <v>1</v>
      </c>
      <c r="AB63" s="222" t="s">
        <v>4574</v>
      </c>
    </row>
    <row r="64" spans="1:28">
      <c r="A64" s="9" t="s">
        <v>4677</v>
      </c>
      <c r="B64" s="10" t="s">
        <v>4678</v>
      </c>
      <c r="C64" s="10" t="s">
        <v>5788</v>
      </c>
      <c r="D64" s="10"/>
      <c r="E64" s="10" t="s">
        <v>5227</v>
      </c>
      <c r="F64" s="10" t="s">
        <v>5227</v>
      </c>
      <c r="G64" s="10">
        <v>0</v>
      </c>
      <c r="H64" s="10" t="s">
        <v>5225</v>
      </c>
      <c r="I64" s="48"/>
      <c r="J64" s="10">
        <f t="shared" si="0"/>
        <v>0</v>
      </c>
      <c r="K64" s="9"/>
      <c r="L64" s="48" t="s">
        <v>4800</v>
      </c>
      <c r="M64" s="10" t="s">
        <v>36</v>
      </c>
      <c r="N64" s="10" t="s">
        <v>5786</v>
      </c>
      <c r="O64" s="10"/>
      <c r="P64" s="10" t="s">
        <v>5227</v>
      </c>
      <c r="Q64" s="10" t="s">
        <v>5225</v>
      </c>
      <c r="R64" s="10" t="s">
        <v>5225</v>
      </c>
      <c r="S64" s="10" t="s">
        <v>5225</v>
      </c>
      <c r="T64" s="9"/>
      <c r="V64" s="35" t="s">
        <v>5232</v>
      </c>
      <c r="W64" s="35" t="s">
        <v>4829</v>
      </c>
      <c r="X64" s="199" t="s">
        <v>4564</v>
      </c>
      <c r="Y64" s="36">
        <v>5</v>
      </c>
      <c r="Z64" s="36">
        <v>100</v>
      </c>
      <c r="AA64" s="36">
        <v>0</v>
      </c>
      <c r="AB64" s="35" t="s">
        <v>4422</v>
      </c>
    </row>
    <row r="65" spans="1:28">
      <c r="A65" s="9" t="s">
        <v>4546</v>
      </c>
      <c r="B65" s="231" t="s">
        <v>37</v>
      </c>
      <c r="C65" s="10" t="s">
        <v>5786</v>
      </c>
      <c r="D65" s="10"/>
      <c r="E65" s="10" t="s">
        <v>5227</v>
      </c>
      <c r="F65" s="10" t="s">
        <v>5227</v>
      </c>
      <c r="G65" s="10">
        <v>2</v>
      </c>
      <c r="H65" s="10" t="s">
        <v>5225</v>
      </c>
      <c r="I65" s="48"/>
      <c r="J65" s="10">
        <f t="shared" si="0"/>
        <v>0</v>
      </c>
      <c r="K65" s="9"/>
      <c r="L65" s="48" t="s">
        <v>4679</v>
      </c>
      <c r="M65" s="10" t="s">
        <v>4393</v>
      </c>
      <c r="N65" s="10" t="s">
        <v>5390</v>
      </c>
      <c r="O65" s="10"/>
      <c r="P65" s="10" t="s">
        <v>5227</v>
      </c>
      <c r="Q65" s="10" t="s">
        <v>5225</v>
      </c>
      <c r="R65" s="10" t="s">
        <v>5225</v>
      </c>
      <c r="S65" s="10" t="s">
        <v>5225</v>
      </c>
      <c r="T65" s="9"/>
      <c r="V65" s="35" t="s">
        <v>5232</v>
      </c>
      <c r="W65" s="35" t="s">
        <v>4579</v>
      </c>
      <c r="X65" s="199" t="s">
        <v>4580</v>
      </c>
      <c r="Y65" s="36">
        <v>6</v>
      </c>
      <c r="Z65" s="36">
        <v>200</v>
      </c>
      <c r="AA65" s="36">
        <v>1</v>
      </c>
      <c r="AB65" s="35" t="s">
        <v>4713</v>
      </c>
    </row>
    <row r="66" spans="1:28">
      <c r="A66" s="9" t="s">
        <v>38</v>
      </c>
      <c r="B66" s="10" t="s">
        <v>4660</v>
      </c>
      <c r="C66" s="10" t="s">
        <v>5787</v>
      </c>
      <c r="D66" s="10"/>
      <c r="E66" s="10" t="s">
        <v>5227</v>
      </c>
      <c r="F66" s="10" t="s">
        <v>5225</v>
      </c>
      <c r="G66" s="10" t="s">
        <v>5225</v>
      </c>
      <c r="H66" s="10" t="s">
        <v>5225</v>
      </c>
      <c r="I66" s="48"/>
      <c r="J66" s="10">
        <f t="shared" si="0"/>
        <v>0</v>
      </c>
      <c r="K66" s="9"/>
      <c r="L66" s="48" t="s">
        <v>5436</v>
      </c>
      <c r="M66" s="10" t="s">
        <v>4375</v>
      </c>
      <c r="N66" s="10" t="s">
        <v>5786</v>
      </c>
      <c r="O66" s="10"/>
      <c r="P66" s="10" t="s">
        <v>5227</v>
      </c>
      <c r="Q66" s="10" t="s">
        <v>5225</v>
      </c>
      <c r="R66" s="10">
        <v>1</v>
      </c>
      <c r="S66" s="10" t="s">
        <v>5227</v>
      </c>
      <c r="T66" s="9"/>
      <c r="V66" s="35" t="s">
        <v>5232</v>
      </c>
      <c r="W66" s="35" t="s">
        <v>5231</v>
      </c>
      <c r="X66" s="199" t="s">
        <v>4573</v>
      </c>
      <c r="Y66" s="36">
        <v>6</v>
      </c>
      <c r="Z66" s="36">
        <v>100</v>
      </c>
      <c r="AA66" s="36" t="s">
        <v>4729</v>
      </c>
      <c r="AB66" s="35" t="s">
        <v>4717</v>
      </c>
    </row>
    <row r="67" spans="1:28">
      <c r="A67" s="9" t="s">
        <v>4558</v>
      </c>
      <c r="B67" s="10" t="s">
        <v>4660</v>
      </c>
      <c r="C67" s="10" t="s">
        <v>5786</v>
      </c>
      <c r="D67" s="10"/>
      <c r="E67" s="10" t="s">
        <v>5227</v>
      </c>
      <c r="F67" s="10" t="s">
        <v>5225</v>
      </c>
      <c r="G67" s="10">
        <v>1</v>
      </c>
      <c r="H67" s="10" t="s">
        <v>5225</v>
      </c>
      <c r="I67" s="48"/>
      <c r="J67" s="10">
        <f t="shared" ref="J67:J130" si="1">IF(C67="Rank","NA",0)</f>
        <v>0</v>
      </c>
      <c r="K67" s="9"/>
      <c r="L67" s="48" t="s">
        <v>4965</v>
      </c>
      <c r="M67" s="10" t="s">
        <v>4405</v>
      </c>
      <c r="N67" s="10" t="s">
        <v>5349</v>
      </c>
      <c r="O67" s="10"/>
      <c r="P67" s="10" t="s">
        <v>5225</v>
      </c>
      <c r="Q67" s="10" t="s">
        <v>5225</v>
      </c>
      <c r="R67" s="10" t="s">
        <v>5225</v>
      </c>
      <c r="S67" s="10" t="s">
        <v>5227</v>
      </c>
      <c r="T67" s="9"/>
      <c r="V67" s="35" t="s">
        <v>5232</v>
      </c>
      <c r="W67" s="42" t="s">
        <v>4868</v>
      </c>
      <c r="X67" s="201" t="s">
        <v>4869</v>
      </c>
      <c r="Y67" s="43">
        <v>7</v>
      </c>
      <c r="Z67" s="43">
        <v>100</v>
      </c>
      <c r="AA67" s="50">
        <v>1</v>
      </c>
      <c r="AB67" s="42" t="s">
        <v>4864</v>
      </c>
    </row>
    <row r="68" spans="1:28">
      <c r="A68" s="9" t="s">
        <v>5237</v>
      </c>
      <c r="B68" s="10" t="s">
        <v>4660</v>
      </c>
      <c r="C68" s="10" t="s">
        <v>5787</v>
      </c>
      <c r="D68" s="10"/>
      <c r="E68" s="10" t="s">
        <v>5227</v>
      </c>
      <c r="F68" s="10" t="s">
        <v>5225</v>
      </c>
      <c r="G68" s="10" t="s">
        <v>5225</v>
      </c>
      <c r="H68" s="10" t="s">
        <v>5225</v>
      </c>
      <c r="I68" s="48"/>
      <c r="J68" s="10">
        <f t="shared" si="1"/>
        <v>0</v>
      </c>
      <c r="K68" s="9"/>
      <c r="L68" s="48" t="s">
        <v>39</v>
      </c>
      <c r="M68" s="10" t="s">
        <v>40</v>
      </c>
      <c r="N68" s="10" t="s">
        <v>29</v>
      </c>
      <c r="O68" s="10"/>
      <c r="P68" s="10" t="s">
        <v>5225</v>
      </c>
      <c r="Q68" s="10" t="s">
        <v>5225</v>
      </c>
      <c r="R68" s="10" t="s">
        <v>5225</v>
      </c>
      <c r="S68" s="10" t="s">
        <v>5227</v>
      </c>
      <c r="T68" s="9"/>
      <c r="V68" s="35" t="s">
        <v>5232</v>
      </c>
      <c r="W68" s="35" t="s">
        <v>5170</v>
      </c>
      <c r="X68" s="199" t="s">
        <v>4591</v>
      </c>
      <c r="Y68" s="36">
        <v>7</v>
      </c>
      <c r="Z68" s="36">
        <v>100</v>
      </c>
      <c r="AA68" s="36" t="s">
        <v>4592</v>
      </c>
      <c r="AB68" s="35" t="s">
        <v>4593</v>
      </c>
    </row>
    <row r="69" spans="1:28">
      <c r="A69" s="9" t="s">
        <v>41</v>
      </c>
      <c r="B69" s="10" t="s">
        <v>145</v>
      </c>
      <c r="C69" s="10" t="s">
        <v>252</v>
      </c>
      <c r="D69" s="10"/>
      <c r="E69" s="10" t="s">
        <v>183</v>
      </c>
      <c r="F69" s="10" t="s">
        <v>183</v>
      </c>
      <c r="G69" s="10">
        <v>3</v>
      </c>
      <c r="H69" s="10" t="s">
        <v>182</v>
      </c>
      <c r="I69" s="48"/>
      <c r="J69" s="10">
        <f t="shared" si="1"/>
        <v>0</v>
      </c>
      <c r="K69" s="9"/>
      <c r="L69" s="48" t="s">
        <v>4559</v>
      </c>
      <c r="M69" s="10" t="s">
        <v>4375</v>
      </c>
      <c r="N69" s="10" t="s">
        <v>5787</v>
      </c>
      <c r="O69" s="10"/>
      <c r="P69" s="10" t="s">
        <v>5225</v>
      </c>
      <c r="Q69" s="10" t="s">
        <v>5225</v>
      </c>
      <c r="R69" s="10" t="s">
        <v>5225</v>
      </c>
      <c r="S69" s="10" t="s">
        <v>5227</v>
      </c>
      <c r="T69" s="9"/>
      <c r="V69" s="222" t="s">
        <v>5232</v>
      </c>
      <c r="W69" s="222" t="s">
        <v>5170</v>
      </c>
      <c r="X69" s="223" t="s">
        <v>4724</v>
      </c>
      <c r="Y69" s="224">
        <v>7</v>
      </c>
      <c r="Z69" s="224">
        <v>100</v>
      </c>
      <c r="AA69" s="225" t="s">
        <v>4561</v>
      </c>
      <c r="AB69" s="222" t="s">
        <v>4599</v>
      </c>
    </row>
    <row r="70" spans="1:28">
      <c r="A70" s="9" t="s">
        <v>4744</v>
      </c>
      <c r="B70" s="10" t="s">
        <v>4639</v>
      </c>
      <c r="C70" s="10" t="s">
        <v>5788</v>
      </c>
      <c r="D70" s="10"/>
      <c r="E70" s="10" t="s">
        <v>5227</v>
      </c>
      <c r="F70" s="10" t="s">
        <v>5225</v>
      </c>
      <c r="G70" s="10" t="s">
        <v>5225</v>
      </c>
      <c r="H70" s="10" t="s">
        <v>5227</v>
      </c>
      <c r="I70" s="48"/>
      <c r="J70" s="10">
        <f t="shared" si="1"/>
        <v>0</v>
      </c>
      <c r="K70" s="9"/>
      <c r="L70" s="48" t="s">
        <v>4563</v>
      </c>
      <c r="M70" s="10" t="s">
        <v>4375</v>
      </c>
      <c r="N70" s="10" t="s">
        <v>5786</v>
      </c>
      <c r="O70" s="10"/>
      <c r="P70" s="10" t="s">
        <v>5227</v>
      </c>
      <c r="Q70" s="10" t="s">
        <v>5225</v>
      </c>
      <c r="R70" s="10">
        <v>1</v>
      </c>
      <c r="S70" s="10" t="s">
        <v>5227</v>
      </c>
      <c r="T70" s="9"/>
      <c r="V70" s="35" t="s">
        <v>5232</v>
      </c>
      <c r="W70" s="35" t="s">
        <v>5170</v>
      </c>
      <c r="X70" s="199" t="s">
        <v>4602</v>
      </c>
      <c r="Y70" s="36">
        <v>7</v>
      </c>
      <c r="Z70" s="36">
        <v>100</v>
      </c>
      <c r="AA70" s="36" t="s">
        <v>4561</v>
      </c>
      <c r="AB70" s="35" t="s">
        <v>4603</v>
      </c>
    </row>
    <row r="71" spans="1:28">
      <c r="A71" s="9" t="s">
        <v>4569</v>
      </c>
      <c r="B71" s="10" t="s">
        <v>4570</v>
      </c>
      <c r="C71" s="10" t="s">
        <v>5596</v>
      </c>
      <c r="D71" s="10"/>
      <c r="E71" s="10" t="s">
        <v>5227</v>
      </c>
      <c r="F71" s="10" t="s">
        <v>5227</v>
      </c>
      <c r="G71" s="10">
        <v>2</v>
      </c>
      <c r="H71" s="10" t="s">
        <v>5225</v>
      </c>
      <c r="I71" s="48"/>
      <c r="J71" s="10">
        <f t="shared" si="1"/>
        <v>0</v>
      </c>
      <c r="K71" s="9"/>
      <c r="L71" s="48" t="s">
        <v>4423</v>
      </c>
      <c r="M71" s="10" t="s">
        <v>4473</v>
      </c>
      <c r="N71" s="10" t="s">
        <v>5786</v>
      </c>
      <c r="O71" s="10"/>
      <c r="P71" s="10" t="s">
        <v>5227</v>
      </c>
      <c r="Q71" s="10" t="s">
        <v>5225</v>
      </c>
      <c r="R71" s="10">
        <v>1</v>
      </c>
      <c r="S71" s="10" t="s">
        <v>5227</v>
      </c>
      <c r="T71" s="9"/>
      <c r="V71" s="35" t="s">
        <v>5232</v>
      </c>
      <c r="W71" s="35" t="s">
        <v>5170</v>
      </c>
      <c r="X71" s="199" t="s">
        <v>4733</v>
      </c>
      <c r="Y71" s="36">
        <v>7</v>
      </c>
      <c r="Z71" s="36">
        <v>100</v>
      </c>
      <c r="AA71" s="36">
        <v>0</v>
      </c>
      <c r="AB71" s="35" t="s">
        <v>4734</v>
      </c>
    </row>
    <row r="72" spans="1:28">
      <c r="A72" s="9" t="s">
        <v>30</v>
      </c>
      <c r="B72" s="10" t="s">
        <v>146</v>
      </c>
      <c r="C72" s="10" t="s">
        <v>29</v>
      </c>
      <c r="D72" s="10"/>
      <c r="E72" s="10" t="s">
        <v>183</v>
      </c>
      <c r="F72" s="10" t="s">
        <v>182</v>
      </c>
      <c r="G72" s="10">
        <v>0</v>
      </c>
      <c r="H72" s="10" t="s">
        <v>182</v>
      </c>
      <c r="I72" s="48"/>
      <c r="J72" s="10">
        <f t="shared" si="1"/>
        <v>0</v>
      </c>
      <c r="K72" s="9"/>
      <c r="L72" s="48" t="s">
        <v>4571</v>
      </c>
      <c r="M72" s="10" t="s">
        <v>164</v>
      </c>
      <c r="N72" s="10" t="s">
        <v>5788</v>
      </c>
      <c r="O72" s="10"/>
      <c r="P72" s="10" t="s">
        <v>5227</v>
      </c>
      <c r="Q72" s="10" t="s">
        <v>5225</v>
      </c>
      <c r="R72" s="10">
        <v>0</v>
      </c>
      <c r="S72" s="10" t="s">
        <v>5227</v>
      </c>
      <c r="T72" s="9"/>
      <c r="V72" s="35" t="s">
        <v>5232</v>
      </c>
      <c r="W72" s="35" t="s">
        <v>5170</v>
      </c>
      <c r="X72" s="199" t="s">
        <v>4604</v>
      </c>
      <c r="Y72" s="36">
        <v>7</v>
      </c>
      <c r="Z72" s="36">
        <v>100</v>
      </c>
      <c r="AA72" s="36">
        <v>0</v>
      </c>
      <c r="AB72" s="35" t="s">
        <v>4605</v>
      </c>
    </row>
    <row r="73" spans="1:28">
      <c r="A73" s="9" t="s">
        <v>4575</v>
      </c>
      <c r="B73" s="10" t="s">
        <v>275</v>
      </c>
      <c r="C73" s="10" t="s">
        <v>5787</v>
      </c>
      <c r="D73" s="10"/>
      <c r="E73" s="10" t="s">
        <v>5227</v>
      </c>
      <c r="F73" s="10" t="s">
        <v>5225</v>
      </c>
      <c r="G73" s="10">
        <v>1</v>
      </c>
      <c r="H73" s="10" t="s">
        <v>5225</v>
      </c>
      <c r="I73" s="48"/>
      <c r="J73" s="10">
        <f t="shared" si="1"/>
        <v>0</v>
      </c>
      <c r="K73" s="9"/>
      <c r="L73" s="48" t="s">
        <v>4576</v>
      </c>
      <c r="M73" s="10" t="s">
        <v>4473</v>
      </c>
      <c r="N73" s="10" t="s">
        <v>5390</v>
      </c>
      <c r="O73" s="10"/>
      <c r="P73" s="10" t="s">
        <v>5227</v>
      </c>
      <c r="Q73" s="10" t="s">
        <v>5225</v>
      </c>
      <c r="R73" s="10">
        <v>1</v>
      </c>
      <c r="S73" s="10" t="s">
        <v>5227</v>
      </c>
      <c r="T73" s="9"/>
      <c r="V73" s="35" t="s">
        <v>5232</v>
      </c>
      <c r="W73" s="35" t="s">
        <v>4477</v>
      </c>
      <c r="X73" s="199" t="s">
        <v>4478</v>
      </c>
      <c r="Y73" s="36">
        <v>8</v>
      </c>
      <c r="Z73" s="36">
        <v>200</v>
      </c>
      <c r="AA73" s="36">
        <v>2</v>
      </c>
      <c r="AB73" s="35" t="s">
        <v>4613</v>
      </c>
    </row>
    <row r="74" spans="1:28">
      <c r="A74" s="9" t="s">
        <v>4636</v>
      </c>
      <c r="B74" s="10" t="s">
        <v>4577</v>
      </c>
      <c r="C74" s="10" t="s">
        <v>5786</v>
      </c>
      <c r="D74" s="10"/>
      <c r="E74" s="10" t="s">
        <v>5227</v>
      </c>
      <c r="F74" s="10" t="s">
        <v>5225</v>
      </c>
      <c r="G74" s="10" t="s">
        <v>5225</v>
      </c>
      <c r="H74" s="10" t="s">
        <v>5225</v>
      </c>
      <c r="I74" s="48"/>
      <c r="J74" s="10">
        <f t="shared" si="1"/>
        <v>0</v>
      </c>
      <c r="K74" s="9"/>
      <c r="L74" s="48" t="s">
        <v>4578</v>
      </c>
      <c r="M74" s="10" t="s">
        <v>4473</v>
      </c>
      <c r="N74" s="10" t="s">
        <v>5390</v>
      </c>
      <c r="O74" s="10"/>
      <c r="P74" s="10" t="s">
        <v>5227</v>
      </c>
      <c r="Q74" s="10" t="s">
        <v>5225</v>
      </c>
      <c r="R74" s="10">
        <v>1</v>
      </c>
      <c r="S74" s="10" t="s">
        <v>5227</v>
      </c>
      <c r="T74" s="10"/>
      <c r="V74" s="35" t="s">
        <v>5232</v>
      </c>
      <c r="W74" s="35" t="s">
        <v>5170</v>
      </c>
      <c r="X74" s="199" t="s">
        <v>4615</v>
      </c>
      <c r="Y74" s="36">
        <v>9</v>
      </c>
      <c r="Z74" s="36">
        <v>100</v>
      </c>
      <c r="AA74" s="36" t="s">
        <v>5369</v>
      </c>
      <c r="AB74" s="35" t="s">
        <v>4616</v>
      </c>
    </row>
    <row r="75" spans="1:28">
      <c r="A75" s="9" t="s">
        <v>147</v>
      </c>
      <c r="B75" s="10" t="s">
        <v>148</v>
      </c>
      <c r="C75" s="10" t="s">
        <v>186</v>
      </c>
      <c r="D75" s="10"/>
      <c r="E75" s="10" t="s">
        <v>5227</v>
      </c>
      <c r="F75" s="10" t="s">
        <v>5225</v>
      </c>
      <c r="G75" s="10">
        <v>1</v>
      </c>
      <c r="H75" s="10" t="s">
        <v>149</v>
      </c>
      <c r="I75" s="48"/>
      <c r="J75" s="10">
        <f t="shared" si="1"/>
        <v>0</v>
      </c>
      <c r="K75" s="9"/>
      <c r="L75" s="48" t="s">
        <v>4716</v>
      </c>
      <c r="M75" s="10" t="s">
        <v>4393</v>
      </c>
      <c r="N75" s="10" t="s">
        <v>5786</v>
      </c>
      <c r="O75" s="10"/>
      <c r="P75" s="10" t="s">
        <v>5227</v>
      </c>
      <c r="Q75" s="10" t="s">
        <v>5225</v>
      </c>
      <c r="R75" s="10" t="s">
        <v>5225</v>
      </c>
      <c r="S75" s="10" t="s">
        <v>5225</v>
      </c>
      <c r="T75" s="9"/>
      <c r="V75" s="37" t="s">
        <v>5232</v>
      </c>
      <c r="W75" s="37" t="s">
        <v>5170</v>
      </c>
      <c r="X75" s="200" t="s">
        <v>4618</v>
      </c>
      <c r="Y75" s="38">
        <v>9</v>
      </c>
      <c r="Z75" s="38">
        <v>100</v>
      </c>
      <c r="AA75" s="38" t="s">
        <v>4561</v>
      </c>
      <c r="AB75" s="37" t="s">
        <v>4482</v>
      </c>
    </row>
    <row r="76" spans="1:28">
      <c r="A76" s="9" t="s">
        <v>4714</v>
      </c>
      <c r="B76" s="10" t="s">
        <v>4715</v>
      </c>
      <c r="C76" s="10" t="s">
        <v>5787</v>
      </c>
      <c r="D76" s="10"/>
      <c r="E76" s="10" t="s">
        <v>5227</v>
      </c>
      <c r="F76" s="10" t="s">
        <v>5225</v>
      </c>
      <c r="G76" s="10">
        <v>1</v>
      </c>
      <c r="H76" s="10" t="s">
        <v>5225</v>
      </c>
      <c r="I76" s="48"/>
      <c r="J76" s="10">
        <f t="shared" si="1"/>
        <v>0</v>
      </c>
      <c r="K76" s="9"/>
      <c r="L76" s="48" t="s">
        <v>4867</v>
      </c>
      <c r="M76" s="10" t="s">
        <v>275</v>
      </c>
      <c r="N76" s="10" t="s">
        <v>5788</v>
      </c>
      <c r="O76" s="10"/>
      <c r="P76" s="10" t="s">
        <v>5227</v>
      </c>
      <c r="Q76" s="10" t="s">
        <v>5225</v>
      </c>
      <c r="R76" s="10" t="s">
        <v>5225</v>
      </c>
      <c r="S76" s="10" t="s">
        <v>5227</v>
      </c>
      <c r="T76" s="9"/>
      <c r="V76" s="42" t="s">
        <v>4876</v>
      </c>
      <c r="W76" s="42" t="s">
        <v>4484</v>
      </c>
      <c r="X76" s="201" t="s">
        <v>4485</v>
      </c>
      <c r="Y76" s="43">
        <v>8</v>
      </c>
      <c r="Z76" s="43">
        <v>300</v>
      </c>
      <c r="AA76" s="43">
        <v>3</v>
      </c>
      <c r="AB76" s="42" t="s">
        <v>4486</v>
      </c>
    </row>
    <row r="77" spans="1:28">
      <c r="A77" s="9" t="s">
        <v>4621</v>
      </c>
      <c r="B77" s="10" t="s">
        <v>4577</v>
      </c>
      <c r="C77" s="10" t="s">
        <v>5390</v>
      </c>
      <c r="D77" s="86">
        <v>0</v>
      </c>
      <c r="E77" s="10" t="s">
        <v>5227</v>
      </c>
      <c r="F77" s="10" t="s">
        <v>5225</v>
      </c>
      <c r="G77" s="10">
        <v>1</v>
      </c>
      <c r="H77" s="10" t="s">
        <v>5227</v>
      </c>
      <c r="I77" s="48"/>
      <c r="J77" s="10">
        <f t="shared" si="1"/>
        <v>0</v>
      </c>
      <c r="K77" s="9"/>
      <c r="L77" s="48" t="s">
        <v>150</v>
      </c>
      <c r="M77" s="10" t="s">
        <v>163</v>
      </c>
      <c r="N77" s="10" t="s">
        <v>151</v>
      </c>
      <c r="O77" s="10"/>
      <c r="P77" s="10" t="s">
        <v>128</v>
      </c>
      <c r="Q77" s="10" t="s">
        <v>152</v>
      </c>
      <c r="R77" s="10">
        <v>1</v>
      </c>
      <c r="S77" s="10" t="s">
        <v>129</v>
      </c>
      <c r="T77" s="9" t="s">
        <v>153</v>
      </c>
      <c r="V77" s="42" t="s">
        <v>4876</v>
      </c>
      <c r="W77" s="42" t="s">
        <v>4502</v>
      </c>
      <c r="X77" s="201" t="s">
        <v>4503</v>
      </c>
      <c r="Y77" s="43">
        <v>10</v>
      </c>
      <c r="Z77" s="43">
        <v>300</v>
      </c>
      <c r="AA77" s="50">
        <v>4</v>
      </c>
      <c r="AB77" s="42" t="s">
        <v>4504</v>
      </c>
    </row>
    <row r="78" spans="1:28">
      <c r="A78" s="9" t="s">
        <v>4865</v>
      </c>
      <c r="B78" s="10" t="s">
        <v>4639</v>
      </c>
      <c r="C78" s="10" t="s">
        <v>5788</v>
      </c>
      <c r="D78" s="86"/>
      <c r="E78" s="10" t="s">
        <v>5227</v>
      </c>
      <c r="F78" s="10" t="s">
        <v>5225</v>
      </c>
      <c r="G78" s="10" t="s">
        <v>5225</v>
      </c>
      <c r="H78" s="10" t="s">
        <v>5225</v>
      </c>
      <c r="I78" s="48" t="s">
        <v>4634</v>
      </c>
      <c r="J78" s="10">
        <f t="shared" si="1"/>
        <v>0</v>
      </c>
      <c r="K78" s="9"/>
      <c r="L78" s="48" t="s">
        <v>4866</v>
      </c>
      <c r="M78" s="10" t="s">
        <v>4590</v>
      </c>
      <c r="N78" s="10" t="s">
        <v>5786</v>
      </c>
      <c r="O78" s="10"/>
      <c r="P78" s="10" t="s">
        <v>5227</v>
      </c>
      <c r="Q78" s="10" t="s">
        <v>5225</v>
      </c>
      <c r="R78" s="10">
        <v>1</v>
      </c>
      <c r="S78" s="10" t="s">
        <v>5227</v>
      </c>
      <c r="T78" s="9"/>
      <c r="V78" s="37" t="s">
        <v>4876</v>
      </c>
      <c r="W78" s="37" t="s">
        <v>4506</v>
      </c>
      <c r="X78" s="200" t="s">
        <v>4507</v>
      </c>
      <c r="Y78" s="38">
        <v>12</v>
      </c>
      <c r="Z78" s="38">
        <v>200</v>
      </c>
      <c r="AA78" s="38">
        <v>2</v>
      </c>
      <c r="AB78" s="37" t="s">
        <v>4508</v>
      </c>
    </row>
    <row r="79" spans="1:28">
      <c r="A79" s="9" t="s">
        <v>4624</v>
      </c>
      <c r="B79" s="10" t="s">
        <v>5233</v>
      </c>
      <c r="C79" s="10" t="s">
        <v>5390</v>
      </c>
      <c r="D79" s="10">
        <v>0</v>
      </c>
      <c r="E79" s="10" t="s">
        <v>5225</v>
      </c>
      <c r="F79" s="10" t="s">
        <v>5225</v>
      </c>
      <c r="G79" s="10" t="s">
        <v>5225</v>
      </c>
      <c r="H79" s="10" t="s">
        <v>5227</v>
      </c>
      <c r="I79" s="48" t="s">
        <v>4625</v>
      </c>
      <c r="J79" s="10">
        <f t="shared" si="1"/>
        <v>0</v>
      </c>
      <c r="K79" s="9"/>
      <c r="L79" s="48" t="s">
        <v>4723</v>
      </c>
      <c r="M79" s="10" t="s">
        <v>4400</v>
      </c>
      <c r="N79" s="10" t="s">
        <v>5596</v>
      </c>
      <c r="O79" s="10">
        <v>3</v>
      </c>
      <c r="P79" s="10" t="s">
        <v>5225</v>
      </c>
      <c r="Q79" s="10" t="s">
        <v>5225</v>
      </c>
      <c r="R79" s="10">
        <v>1</v>
      </c>
      <c r="S79" s="10" t="s">
        <v>5227</v>
      </c>
      <c r="T79" s="9"/>
      <c r="V79" s="35" t="s">
        <v>4369</v>
      </c>
      <c r="W79" s="35" t="s">
        <v>5170</v>
      </c>
      <c r="X79" s="199" t="s">
        <v>4724</v>
      </c>
      <c r="Y79" s="36">
        <v>5</v>
      </c>
      <c r="Z79" s="36">
        <v>100</v>
      </c>
      <c r="AA79" s="36" t="s">
        <v>4561</v>
      </c>
      <c r="AB79" s="35" t="s">
        <v>4599</v>
      </c>
    </row>
    <row r="80" spans="1:28">
      <c r="A80" s="9" t="s">
        <v>4600</v>
      </c>
      <c r="B80" s="10" t="s">
        <v>4715</v>
      </c>
      <c r="C80" s="10" t="s">
        <v>5786</v>
      </c>
      <c r="D80" s="10"/>
      <c r="E80" s="10" t="s">
        <v>5227</v>
      </c>
      <c r="F80" s="10" t="s">
        <v>5225</v>
      </c>
      <c r="G80" s="10">
        <v>1</v>
      </c>
      <c r="H80" s="10" t="s">
        <v>5225</v>
      </c>
      <c r="I80" s="48"/>
      <c r="J80" s="10">
        <f t="shared" si="1"/>
        <v>0</v>
      </c>
      <c r="K80" s="9"/>
      <c r="L80" s="48" t="s">
        <v>4601</v>
      </c>
      <c r="M80" s="10" t="s">
        <v>4309</v>
      </c>
      <c r="N80" s="10" t="s">
        <v>5788</v>
      </c>
      <c r="O80" s="10"/>
      <c r="P80" s="10" t="s">
        <v>5227</v>
      </c>
      <c r="Q80" s="10" t="s">
        <v>5225</v>
      </c>
      <c r="R80" s="10" t="s">
        <v>5225</v>
      </c>
      <c r="S80" s="10" t="s">
        <v>5227</v>
      </c>
      <c r="T80" s="9"/>
      <c r="V80" s="35" t="s">
        <v>4369</v>
      </c>
      <c r="W80" s="35" t="s">
        <v>5170</v>
      </c>
      <c r="X80" s="199" t="s">
        <v>4602</v>
      </c>
      <c r="Y80" s="36">
        <v>5</v>
      </c>
      <c r="Z80" s="36">
        <v>100</v>
      </c>
      <c r="AA80" s="36" t="s">
        <v>4561</v>
      </c>
      <c r="AB80" s="35" t="s">
        <v>4603</v>
      </c>
    </row>
    <row r="81" spans="1:28">
      <c r="A81" s="9" t="s">
        <v>5048</v>
      </c>
      <c r="B81" s="10" t="s">
        <v>4577</v>
      </c>
      <c r="C81" s="10" t="s">
        <v>5390</v>
      </c>
      <c r="D81" s="10"/>
      <c r="E81" s="10" t="s">
        <v>5225</v>
      </c>
      <c r="F81" s="10" t="s">
        <v>5225</v>
      </c>
      <c r="G81" s="10">
        <v>1</v>
      </c>
      <c r="H81" s="10" t="s">
        <v>5225</v>
      </c>
      <c r="I81" s="48"/>
      <c r="J81" s="10">
        <f t="shared" si="1"/>
        <v>0</v>
      </c>
      <c r="K81" s="9"/>
      <c r="L81" s="48" t="s">
        <v>4732</v>
      </c>
      <c r="M81" s="10" t="s">
        <v>4352</v>
      </c>
      <c r="N81" s="10" t="s">
        <v>5786</v>
      </c>
      <c r="O81" s="10"/>
      <c r="P81" s="10" t="s">
        <v>5227</v>
      </c>
      <c r="Q81" s="10" t="s">
        <v>5225</v>
      </c>
      <c r="R81" s="10" t="s">
        <v>5225</v>
      </c>
      <c r="S81" s="10" t="s">
        <v>5227</v>
      </c>
      <c r="T81" s="9"/>
      <c r="V81" s="35" t="s">
        <v>4369</v>
      </c>
      <c r="W81" s="35" t="s">
        <v>5170</v>
      </c>
      <c r="X81" s="199" t="s">
        <v>4564</v>
      </c>
      <c r="Y81" s="36">
        <v>5</v>
      </c>
      <c r="Z81" s="36">
        <v>100</v>
      </c>
      <c r="AA81" s="36">
        <v>0</v>
      </c>
      <c r="AB81" s="35" t="s">
        <v>4422</v>
      </c>
    </row>
    <row r="82" spans="1:28">
      <c r="A82" s="9" t="s">
        <v>4899</v>
      </c>
      <c r="B82" s="10" t="s">
        <v>4715</v>
      </c>
      <c r="C82" s="10" t="s">
        <v>5787</v>
      </c>
      <c r="D82" s="10"/>
      <c r="E82" s="10" t="s">
        <v>5225</v>
      </c>
      <c r="F82" s="10" t="s">
        <v>5225</v>
      </c>
      <c r="G82" s="10">
        <v>1</v>
      </c>
      <c r="H82" s="10" t="s">
        <v>5225</v>
      </c>
      <c r="I82" s="48"/>
      <c r="J82" s="10">
        <f t="shared" si="1"/>
        <v>0</v>
      </c>
      <c r="K82" s="9"/>
      <c r="L82" s="48" t="s">
        <v>4735</v>
      </c>
      <c r="M82" s="10" t="s">
        <v>4348</v>
      </c>
      <c r="N82" s="10" t="s">
        <v>5788</v>
      </c>
      <c r="O82" s="10"/>
      <c r="P82" s="10" t="s">
        <v>5227</v>
      </c>
      <c r="Q82" s="10" t="s">
        <v>5225</v>
      </c>
      <c r="R82" s="10">
        <v>1</v>
      </c>
      <c r="S82" s="10" t="s">
        <v>5227</v>
      </c>
      <c r="T82" s="9"/>
      <c r="V82" s="35" t="s">
        <v>4369</v>
      </c>
      <c r="W82" s="35" t="s">
        <v>4829</v>
      </c>
      <c r="X82" s="199" t="s">
        <v>4564</v>
      </c>
      <c r="Y82" s="36">
        <v>5</v>
      </c>
      <c r="Z82" s="36">
        <v>100</v>
      </c>
      <c r="AA82" s="40">
        <v>0</v>
      </c>
      <c r="AB82" s="35" t="s">
        <v>4422</v>
      </c>
    </row>
    <row r="83" spans="1:28">
      <c r="A83" s="9" t="s">
        <v>4491</v>
      </c>
      <c r="B83" s="10" t="s">
        <v>4715</v>
      </c>
      <c r="C83" s="10" t="s">
        <v>5788</v>
      </c>
      <c r="D83" s="10"/>
      <c r="E83" s="10" t="s">
        <v>5227</v>
      </c>
      <c r="F83" s="10" t="s">
        <v>5227</v>
      </c>
      <c r="G83" s="10" t="s">
        <v>5225</v>
      </c>
      <c r="H83" s="10" t="s">
        <v>5227</v>
      </c>
      <c r="I83" s="48"/>
      <c r="J83" s="10">
        <f t="shared" si="1"/>
        <v>0</v>
      </c>
      <c r="K83" s="9"/>
      <c r="L83" s="48" t="s">
        <v>4476</v>
      </c>
      <c r="M83" s="10" t="s">
        <v>165</v>
      </c>
      <c r="N83" s="10" t="s">
        <v>5788</v>
      </c>
      <c r="O83" s="10"/>
      <c r="P83" s="10" t="s">
        <v>5227</v>
      </c>
      <c r="Q83" s="10" t="s">
        <v>5225</v>
      </c>
      <c r="R83" s="10">
        <v>0</v>
      </c>
      <c r="S83" s="10" t="s">
        <v>5225</v>
      </c>
      <c r="T83" s="9"/>
      <c r="V83" s="35" t="s">
        <v>4369</v>
      </c>
      <c r="W83" s="35" t="s">
        <v>4650</v>
      </c>
      <c r="X83" s="199" t="s">
        <v>4651</v>
      </c>
      <c r="Y83" s="36">
        <v>5</v>
      </c>
      <c r="Z83" s="36">
        <v>200</v>
      </c>
      <c r="AA83" s="36" t="s">
        <v>4652</v>
      </c>
      <c r="AB83" s="35" t="s">
        <v>4653</v>
      </c>
    </row>
    <row r="84" spans="1:28">
      <c r="A84" s="9" t="s">
        <v>4626</v>
      </c>
      <c r="B84" s="10" t="s">
        <v>4577</v>
      </c>
      <c r="C84" s="10" t="s">
        <v>5596</v>
      </c>
      <c r="D84" s="10"/>
      <c r="E84" s="10" t="s">
        <v>5225</v>
      </c>
      <c r="F84" s="10" t="s">
        <v>5225</v>
      </c>
      <c r="G84" s="10" t="s">
        <v>5225</v>
      </c>
      <c r="H84" s="10" t="s">
        <v>5227</v>
      </c>
      <c r="I84" s="48"/>
      <c r="J84" s="10">
        <f t="shared" si="1"/>
        <v>0</v>
      </c>
      <c r="K84" s="9"/>
      <c r="L84" s="48" t="s">
        <v>4614</v>
      </c>
      <c r="M84" s="10" t="s">
        <v>4393</v>
      </c>
      <c r="N84" s="10" t="s">
        <v>5788</v>
      </c>
      <c r="O84" s="10"/>
      <c r="P84" s="10" t="s">
        <v>5227</v>
      </c>
      <c r="Q84" s="10" t="s">
        <v>5225</v>
      </c>
      <c r="R84" s="10" t="s">
        <v>5225</v>
      </c>
      <c r="S84" s="10" t="s">
        <v>5227</v>
      </c>
      <c r="T84" s="9"/>
      <c r="V84" s="222" t="s">
        <v>4369</v>
      </c>
      <c r="W84" s="222" t="s">
        <v>4512</v>
      </c>
      <c r="X84" s="223" t="s">
        <v>4787</v>
      </c>
      <c r="Y84" s="224">
        <v>6</v>
      </c>
      <c r="Z84" s="224">
        <v>100</v>
      </c>
      <c r="AA84" s="224">
        <v>1</v>
      </c>
      <c r="AB84" s="222" t="s">
        <v>4516</v>
      </c>
    </row>
    <row r="85" spans="1:28">
      <c r="A85" s="9" t="s">
        <v>4880</v>
      </c>
      <c r="B85" s="10" t="s">
        <v>4577</v>
      </c>
      <c r="C85" s="10" t="s">
        <v>5390</v>
      </c>
      <c r="D85" s="10"/>
      <c r="E85" s="10" t="s">
        <v>5227</v>
      </c>
      <c r="F85" s="10" t="s">
        <v>5227</v>
      </c>
      <c r="G85" s="10">
        <v>1</v>
      </c>
      <c r="H85" s="10" t="s">
        <v>5225</v>
      </c>
      <c r="I85" s="48"/>
      <c r="J85" s="10">
        <f t="shared" si="1"/>
        <v>0</v>
      </c>
      <c r="K85" s="9"/>
      <c r="L85" s="48" t="s">
        <v>4617</v>
      </c>
      <c r="M85" s="10" t="s">
        <v>5233</v>
      </c>
      <c r="N85" s="10" t="s">
        <v>5786</v>
      </c>
      <c r="O85" s="10"/>
      <c r="P85" s="10" t="s">
        <v>5225</v>
      </c>
      <c r="Q85" s="10" t="s">
        <v>5225</v>
      </c>
      <c r="R85" s="10" t="s">
        <v>5225</v>
      </c>
      <c r="S85" s="10" t="s">
        <v>5227</v>
      </c>
      <c r="T85" s="9" t="s">
        <v>4625</v>
      </c>
      <c r="V85" s="35" t="s">
        <v>4369</v>
      </c>
      <c r="W85" s="35" t="s">
        <v>5170</v>
      </c>
      <c r="X85" s="199" t="s">
        <v>4591</v>
      </c>
      <c r="Y85" s="36">
        <v>6</v>
      </c>
      <c r="Z85" s="36">
        <v>100</v>
      </c>
      <c r="AA85" s="36" t="s">
        <v>4592</v>
      </c>
      <c r="AB85" s="35" t="s">
        <v>4593</v>
      </c>
    </row>
    <row r="86" spans="1:28">
      <c r="A86" s="9" t="s">
        <v>5228</v>
      </c>
      <c r="B86" s="10" t="s">
        <v>4577</v>
      </c>
      <c r="C86" s="10" t="s">
        <v>5596</v>
      </c>
      <c r="D86" s="10">
        <v>3</v>
      </c>
      <c r="E86" s="10" t="s">
        <v>5225</v>
      </c>
      <c r="F86" s="10" t="s">
        <v>5227</v>
      </c>
      <c r="G86" s="10" t="s">
        <v>5225</v>
      </c>
      <c r="H86" s="10" t="s">
        <v>5225</v>
      </c>
      <c r="I86" s="48"/>
      <c r="J86" s="10">
        <f t="shared" si="1"/>
        <v>0</v>
      </c>
      <c r="K86" s="9"/>
      <c r="L86" s="48" t="s">
        <v>4483</v>
      </c>
      <c r="M86" s="10" t="s">
        <v>4348</v>
      </c>
      <c r="N86" s="10" t="s">
        <v>5786</v>
      </c>
      <c r="O86" s="10"/>
      <c r="P86" s="10" t="s">
        <v>5227</v>
      </c>
      <c r="Q86" s="10" t="s">
        <v>5225</v>
      </c>
      <c r="R86" s="10">
        <v>1</v>
      </c>
      <c r="S86" s="10" t="s">
        <v>5227</v>
      </c>
      <c r="T86" s="9"/>
      <c r="V86" s="35" t="s">
        <v>4369</v>
      </c>
      <c r="W86" s="35" t="s">
        <v>5170</v>
      </c>
      <c r="X86" s="199" t="s">
        <v>4789</v>
      </c>
      <c r="Y86" s="36">
        <v>6</v>
      </c>
      <c r="Z86" s="36">
        <v>100</v>
      </c>
      <c r="AA86" s="36">
        <v>2</v>
      </c>
      <c r="AB86" s="35" t="s">
        <v>4654</v>
      </c>
    </row>
    <row r="87" spans="1:28">
      <c r="A87" s="9" t="s">
        <v>4499</v>
      </c>
      <c r="B87" s="10" t="s">
        <v>154</v>
      </c>
      <c r="C87" s="10" t="s">
        <v>5597</v>
      </c>
      <c r="D87" s="10"/>
      <c r="E87" s="10" t="s">
        <v>5227</v>
      </c>
      <c r="F87" s="10" t="s">
        <v>5227</v>
      </c>
      <c r="G87" s="10" t="s">
        <v>5225</v>
      </c>
      <c r="H87" s="10" t="s">
        <v>5225</v>
      </c>
      <c r="I87" s="48"/>
      <c r="J87" s="10">
        <f t="shared" si="1"/>
        <v>0</v>
      </c>
      <c r="L87" s="48" t="s">
        <v>4500</v>
      </c>
      <c r="M87" s="10" t="s">
        <v>4672</v>
      </c>
      <c r="N87" s="10" t="s">
        <v>5390</v>
      </c>
      <c r="O87" s="10"/>
      <c r="P87" s="10" t="s">
        <v>5227</v>
      </c>
      <c r="Q87" s="10" t="s">
        <v>5225</v>
      </c>
      <c r="R87" s="10" t="s">
        <v>5225</v>
      </c>
      <c r="S87" s="10" t="s">
        <v>5227</v>
      </c>
      <c r="T87" s="9" t="s">
        <v>4501</v>
      </c>
      <c r="V87" s="35" t="s">
        <v>4369</v>
      </c>
      <c r="W87" s="35" t="s">
        <v>5170</v>
      </c>
      <c r="X87" s="199" t="s">
        <v>4733</v>
      </c>
      <c r="Y87" s="36">
        <v>6</v>
      </c>
      <c r="Z87" s="36">
        <v>100</v>
      </c>
      <c r="AA87" s="36">
        <v>0</v>
      </c>
      <c r="AB87" s="35" t="s">
        <v>4734</v>
      </c>
    </row>
    <row r="88" spans="1:28">
      <c r="A88" s="9" t="s">
        <v>155</v>
      </c>
      <c r="B88" s="10" t="s">
        <v>156</v>
      </c>
      <c r="C88" s="10" t="s">
        <v>157</v>
      </c>
      <c r="D88" s="10"/>
      <c r="E88" s="10" t="s">
        <v>158</v>
      </c>
      <c r="F88" s="10" t="s">
        <v>159</v>
      </c>
      <c r="G88" s="10" t="s">
        <v>159</v>
      </c>
      <c r="H88" s="10" t="s">
        <v>159</v>
      </c>
      <c r="I88" s="48"/>
      <c r="J88" s="10">
        <f t="shared" si="1"/>
        <v>0</v>
      </c>
      <c r="L88" s="48" t="s">
        <v>160</v>
      </c>
      <c r="M88" s="9" t="s">
        <v>83</v>
      </c>
      <c r="N88" s="10" t="s">
        <v>157</v>
      </c>
      <c r="O88" s="10"/>
      <c r="P88" s="10" t="s">
        <v>158</v>
      </c>
      <c r="Q88" s="10" t="s">
        <v>5225</v>
      </c>
      <c r="R88" s="10">
        <v>1</v>
      </c>
      <c r="S88" s="10" t="s">
        <v>158</v>
      </c>
      <c r="T88" s="9"/>
      <c r="V88" s="35" t="s">
        <v>4369</v>
      </c>
      <c r="W88" s="35" t="s">
        <v>5170</v>
      </c>
      <c r="X88" s="199" t="s">
        <v>4604</v>
      </c>
      <c r="Y88" s="36">
        <v>6</v>
      </c>
      <c r="Z88" s="36">
        <v>100</v>
      </c>
      <c r="AA88" s="36">
        <v>0</v>
      </c>
      <c r="AB88" s="35" t="s">
        <v>4605</v>
      </c>
    </row>
    <row r="89" spans="1:28">
      <c r="A89" s="9" t="s">
        <v>4644</v>
      </c>
      <c r="B89" s="10" t="s">
        <v>4577</v>
      </c>
      <c r="C89" s="10" t="s">
        <v>5390</v>
      </c>
      <c r="D89" s="10"/>
      <c r="E89" s="10" t="s">
        <v>5227</v>
      </c>
      <c r="F89" s="10" t="s">
        <v>5225</v>
      </c>
      <c r="G89" s="10" t="s">
        <v>5225</v>
      </c>
      <c r="H89" s="10" t="s">
        <v>5227</v>
      </c>
      <c r="I89" s="48"/>
      <c r="J89" s="10">
        <f t="shared" si="1"/>
        <v>0</v>
      </c>
      <c r="L89" s="48" t="s">
        <v>4505</v>
      </c>
      <c r="M89" s="10" t="s">
        <v>4296</v>
      </c>
      <c r="N89" s="10" t="s">
        <v>5786</v>
      </c>
      <c r="O89" s="10"/>
      <c r="P89" s="10" t="s">
        <v>5227</v>
      </c>
      <c r="Q89" s="10" t="s">
        <v>5225</v>
      </c>
      <c r="R89" s="10" t="s">
        <v>5225</v>
      </c>
      <c r="S89" s="10" t="s">
        <v>5227</v>
      </c>
      <c r="T89" s="9"/>
      <c r="V89" s="222" t="s">
        <v>4369</v>
      </c>
      <c r="W89" s="222" t="s">
        <v>4524</v>
      </c>
      <c r="X89" s="223" t="s">
        <v>4525</v>
      </c>
      <c r="Y89" s="224">
        <v>7</v>
      </c>
      <c r="Z89" s="224">
        <v>100</v>
      </c>
      <c r="AA89" s="224" t="s">
        <v>4729</v>
      </c>
      <c r="AB89" s="222" t="s">
        <v>4665</v>
      </c>
    </row>
    <row r="90" spans="1:28">
      <c r="A90" s="9" t="s">
        <v>4780</v>
      </c>
      <c r="B90" s="10" t="s">
        <v>4639</v>
      </c>
      <c r="C90" s="10" t="s">
        <v>5390</v>
      </c>
      <c r="D90" s="10"/>
      <c r="E90" s="10" t="s">
        <v>5225</v>
      </c>
      <c r="F90" s="10" t="s">
        <v>5225</v>
      </c>
      <c r="G90" s="10">
        <v>1</v>
      </c>
      <c r="H90" s="10" t="s">
        <v>5227</v>
      </c>
      <c r="I90" s="48"/>
      <c r="J90" s="10">
        <f t="shared" si="1"/>
        <v>0</v>
      </c>
      <c r="L90" s="48" t="s">
        <v>4509</v>
      </c>
      <c r="M90" s="10" t="s">
        <v>4296</v>
      </c>
      <c r="N90" s="10" t="s">
        <v>5788</v>
      </c>
      <c r="O90" s="10"/>
      <c r="P90" s="10" t="s">
        <v>5227</v>
      </c>
      <c r="Q90" s="10" t="s">
        <v>5225</v>
      </c>
      <c r="R90" s="10" t="s">
        <v>5225</v>
      </c>
      <c r="S90" s="10" t="s">
        <v>5227</v>
      </c>
      <c r="T90" s="9"/>
      <c r="V90" s="35" t="s">
        <v>4369</v>
      </c>
      <c r="W90" s="35" t="s">
        <v>4505</v>
      </c>
      <c r="X90" s="199" t="s">
        <v>4535</v>
      </c>
      <c r="Y90" s="36">
        <v>8</v>
      </c>
      <c r="Z90" s="36">
        <v>200</v>
      </c>
      <c r="AA90" s="36" t="s">
        <v>4536</v>
      </c>
      <c r="AB90" s="35" t="s">
        <v>4537</v>
      </c>
    </row>
    <row r="91" spans="1:28">
      <c r="A91" s="9" t="s">
        <v>4370</v>
      </c>
      <c r="B91" s="10" t="s">
        <v>4375</v>
      </c>
      <c r="C91" s="10" t="s">
        <v>5390</v>
      </c>
      <c r="D91" s="10"/>
      <c r="E91" s="10" t="s">
        <v>5225</v>
      </c>
      <c r="F91" s="10" t="s">
        <v>5225</v>
      </c>
      <c r="G91" s="10">
        <v>1</v>
      </c>
      <c r="H91" s="10" t="s">
        <v>5225</v>
      </c>
      <c r="I91" s="48"/>
      <c r="J91" s="10">
        <f t="shared" si="1"/>
        <v>0</v>
      </c>
      <c r="L91" s="48" t="s">
        <v>4376</v>
      </c>
      <c r="M91" s="10" t="s">
        <v>4316</v>
      </c>
      <c r="N91" s="10" t="s">
        <v>5788</v>
      </c>
      <c r="O91" s="10"/>
      <c r="P91" s="10" t="s">
        <v>5227</v>
      </c>
      <c r="Q91" s="10" t="s">
        <v>5225</v>
      </c>
      <c r="R91" s="10" t="s">
        <v>5225</v>
      </c>
      <c r="S91" s="10" t="s">
        <v>5227</v>
      </c>
      <c r="T91" s="9"/>
      <c r="V91" s="35" t="s">
        <v>4369</v>
      </c>
      <c r="W91" s="35" t="s">
        <v>5170</v>
      </c>
      <c r="X91" s="199" t="s">
        <v>4618</v>
      </c>
      <c r="Y91" s="36">
        <v>8</v>
      </c>
      <c r="Z91" s="36">
        <v>100</v>
      </c>
      <c r="AA91" s="36" t="s">
        <v>4561</v>
      </c>
      <c r="AB91" s="35" t="s">
        <v>4482</v>
      </c>
    </row>
    <row r="92" spans="1:28">
      <c r="A92" s="9" t="s">
        <v>4783</v>
      </c>
      <c r="B92" s="10" t="s">
        <v>4375</v>
      </c>
      <c r="C92" s="10" t="s">
        <v>5787</v>
      </c>
      <c r="D92" s="10"/>
      <c r="E92" s="10" t="s">
        <v>5227</v>
      </c>
      <c r="F92" s="10" t="s">
        <v>5225</v>
      </c>
      <c r="G92" s="10" t="s">
        <v>5225</v>
      </c>
      <c r="H92" s="10" t="s">
        <v>5227</v>
      </c>
      <c r="I92" s="48"/>
      <c r="J92" s="10">
        <f t="shared" si="1"/>
        <v>0</v>
      </c>
      <c r="L92" s="48" t="s">
        <v>4377</v>
      </c>
      <c r="M92" s="10" t="s">
        <v>166</v>
      </c>
      <c r="N92" s="10" t="s">
        <v>5786</v>
      </c>
      <c r="O92" s="10"/>
      <c r="P92" s="10" t="s">
        <v>5227</v>
      </c>
      <c r="Q92" s="10" t="s">
        <v>5225</v>
      </c>
      <c r="R92" s="10" t="s">
        <v>5225</v>
      </c>
      <c r="S92" s="10" t="s">
        <v>5225</v>
      </c>
      <c r="T92" s="9"/>
      <c r="V92" s="35" t="s">
        <v>4369</v>
      </c>
      <c r="W92" s="35" t="s">
        <v>4735</v>
      </c>
      <c r="X92" s="199" t="s">
        <v>4543</v>
      </c>
      <c r="Y92" s="36">
        <v>9</v>
      </c>
      <c r="Z92" s="36">
        <v>200</v>
      </c>
      <c r="AA92" s="36">
        <v>1</v>
      </c>
      <c r="AB92" s="35" t="s">
        <v>4673</v>
      </c>
    </row>
    <row r="93" spans="1:28">
      <c r="A93" s="9" t="s">
        <v>4378</v>
      </c>
      <c r="B93" s="10" t="s">
        <v>4639</v>
      </c>
      <c r="C93" s="10" t="s">
        <v>5349</v>
      </c>
      <c r="D93" s="10"/>
      <c r="E93" s="10" t="s">
        <v>5225</v>
      </c>
      <c r="F93" s="10" t="s">
        <v>5227</v>
      </c>
      <c r="G93" s="10">
        <v>1</v>
      </c>
      <c r="H93" s="10" t="s">
        <v>5225</v>
      </c>
      <c r="I93" s="48" t="s">
        <v>5029</v>
      </c>
      <c r="J93" s="10" t="str">
        <f t="shared" si="1"/>
        <v>NA</v>
      </c>
      <c r="L93" s="48" t="s">
        <v>4379</v>
      </c>
      <c r="M93" s="10" t="s">
        <v>166</v>
      </c>
      <c r="N93" s="10" t="s">
        <v>5788</v>
      </c>
      <c r="O93" s="10"/>
      <c r="P93" s="10" t="s">
        <v>5227</v>
      </c>
      <c r="Q93" s="10" t="s">
        <v>5225</v>
      </c>
      <c r="R93" s="10" t="s">
        <v>5225</v>
      </c>
      <c r="S93" s="10" t="s">
        <v>5225</v>
      </c>
      <c r="T93" s="9"/>
      <c r="V93" s="35" t="s">
        <v>4369</v>
      </c>
      <c r="W93" s="35" t="s">
        <v>5170</v>
      </c>
      <c r="X93" s="199" t="s">
        <v>4615</v>
      </c>
      <c r="Y93" s="36">
        <v>9</v>
      </c>
      <c r="Z93" s="36">
        <v>100</v>
      </c>
      <c r="AA93" s="36" t="s">
        <v>5369</v>
      </c>
      <c r="AB93" s="35" t="s">
        <v>4616</v>
      </c>
    </row>
    <row r="94" spans="1:28">
      <c r="A94" s="9" t="s">
        <v>84</v>
      </c>
      <c r="B94" s="10" t="s">
        <v>85</v>
      </c>
      <c r="C94" s="10" t="s">
        <v>86</v>
      </c>
      <c r="D94" s="10"/>
      <c r="E94" s="10" t="s">
        <v>158</v>
      </c>
      <c r="F94" s="10" t="s">
        <v>159</v>
      </c>
      <c r="G94" s="10">
        <v>1</v>
      </c>
      <c r="H94" s="10" t="s">
        <v>159</v>
      </c>
      <c r="I94" s="48"/>
      <c r="J94" s="10">
        <f t="shared" si="1"/>
        <v>0</v>
      </c>
      <c r="L94" s="48" t="s">
        <v>87</v>
      </c>
      <c r="M94" s="10" t="s">
        <v>4187</v>
      </c>
      <c r="N94" s="10" t="s">
        <v>88</v>
      </c>
      <c r="O94" s="10"/>
      <c r="P94" s="10" t="s">
        <v>158</v>
      </c>
      <c r="Q94" s="10" t="s">
        <v>5225</v>
      </c>
      <c r="R94" s="10" t="s">
        <v>5225</v>
      </c>
      <c r="S94" s="10" t="s">
        <v>158</v>
      </c>
      <c r="T94" s="9"/>
      <c r="V94" s="35" t="s">
        <v>4369</v>
      </c>
      <c r="W94" s="42" t="s">
        <v>4407</v>
      </c>
      <c r="X94" s="201" t="s">
        <v>4408</v>
      </c>
      <c r="Y94" s="43">
        <v>10</v>
      </c>
      <c r="Z94" s="43">
        <v>200</v>
      </c>
      <c r="AA94" s="36" t="s">
        <v>4729</v>
      </c>
      <c r="AB94" s="42" t="s">
        <v>4547</v>
      </c>
    </row>
    <row r="95" spans="1:28">
      <c r="A95" s="9" t="s">
        <v>4646</v>
      </c>
      <c r="B95" s="10" t="s">
        <v>4647</v>
      </c>
      <c r="C95" s="10" t="s">
        <v>5786</v>
      </c>
      <c r="D95" s="10"/>
      <c r="E95" s="10" t="s">
        <v>5227</v>
      </c>
      <c r="F95" s="10" t="s">
        <v>5227</v>
      </c>
      <c r="G95" s="10" t="s">
        <v>4648</v>
      </c>
      <c r="H95" s="10" t="s">
        <v>5225</v>
      </c>
      <c r="I95" s="48" t="s">
        <v>5032</v>
      </c>
      <c r="J95" s="10">
        <f t="shared" si="1"/>
        <v>0</v>
      </c>
      <c r="L95" s="48" t="s">
        <v>4649</v>
      </c>
      <c r="M95" s="10" t="s">
        <v>4316</v>
      </c>
      <c r="N95" s="10" t="s">
        <v>5786</v>
      </c>
      <c r="O95" s="10"/>
      <c r="P95" s="10" t="s">
        <v>5227</v>
      </c>
      <c r="Q95" s="10" t="s">
        <v>5225</v>
      </c>
      <c r="R95" s="10" t="s">
        <v>5225</v>
      </c>
      <c r="S95" s="10" t="s">
        <v>5227</v>
      </c>
      <c r="T95" s="9"/>
      <c r="V95" s="37" t="s">
        <v>4369</v>
      </c>
      <c r="W95" s="37" t="s">
        <v>4407</v>
      </c>
      <c r="X95" s="200" t="s">
        <v>4551</v>
      </c>
      <c r="Y95" s="38">
        <v>10</v>
      </c>
      <c r="Z95" s="38">
        <v>200</v>
      </c>
      <c r="AA95" s="38" t="s">
        <v>4552</v>
      </c>
      <c r="AB95" s="37" t="s">
        <v>4418</v>
      </c>
    </row>
    <row r="96" spans="1:28">
      <c r="A96" s="9" t="s">
        <v>4510</v>
      </c>
      <c r="B96" s="10" t="s">
        <v>4647</v>
      </c>
      <c r="C96" s="10" t="s">
        <v>5786</v>
      </c>
      <c r="D96" s="10"/>
      <c r="E96" s="10" t="s">
        <v>5227</v>
      </c>
      <c r="F96" s="10" t="s">
        <v>5227</v>
      </c>
      <c r="G96" s="10">
        <v>1</v>
      </c>
      <c r="H96" s="10" t="s">
        <v>5225</v>
      </c>
      <c r="I96" s="48" t="s">
        <v>4696</v>
      </c>
      <c r="J96" s="10">
        <f t="shared" si="1"/>
        <v>0</v>
      </c>
      <c r="L96" s="48" t="s">
        <v>4511</v>
      </c>
      <c r="M96" s="10" t="s">
        <v>166</v>
      </c>
      <c r="N96" s="10" t="s">
        <v>5390</v>
      </c>
      <c r="O96" s="10"/>
      <c r="P96" s="10" t="s">
        <v>5227</v>
      </c>
      <c r="Q96" s="10" t="s">
        <v>5225</v>
      </c>
      <c r="R96" s="10" t="s">
        <v>5225</v>
      </c>
      <c r="S96" s="10" t="s">
        <v>5225</v>
      </c>
      <c r="T96" s="9"/>
      <c r="V96" s="42" t="s">
        <v>4696</v>
      </c>
      <c r="W96" s="42" t="s">
        <v>4514</v>
      </c>
      <c r="X96" s="201" t="s">
        <v>4421</v>
      </c>
      <c r="Y96" s="43">
        <v>9</v>
      </c>
      <c r="Z96" s="43">
        <v>300</v>
      </c>
      <c r="AA96" s="43">
        <v>1</v>
      </c>
      <c r="AB96" s="42" t="s">
        <v>4299</v>
      </c>
    </row>
    <row r="97" spans="1:28">
      <c r="A97" s="9" t="s">
        <v>4514</v>
      </c>
      <c r="B97" s="10" t="s">
        <v>4647</v>
      </c>
      <c r="C97" s="10" t="s">
        <v>5786</v>
      </c>
      <c r="D97" s="10"/>
      <c r="E97" s="10" t="s">
        <v>5227</v>
      </c>
      <c r="F97" s="10" t="s">
        <v>5227</v>
      </c>
      <c r="G97" s="10">
        <v>1</v>
      </c>
      <c r="H97" s="10" t="s">
        <v>5225</v>
      </c>
      <c r="I97" s="48" t="s">
        <v>4696</v>
      </c>
      <c r="J97" s="10">
        <f t="shared" si="1"/>
        <v>0</v>
      </c>
      <c r="L97" s="48" t="s">
        <v>4515</v>
      </c>
      <c r="M97" s="10" t="s">
        <v>4316</v>
      </c>
      <c r="N97" s="10" t="s">
        <v>5787</v>
      </c>
      <c r="O97" s="10"/>
      <c r="P97" s="10" t="s">
        <v>5227</v>
      </c>
      <c r="Q97" s="10" t="s">
        <v>5225</v>
      </c>
      <c r="R97" s="10" t="s">
        <v>5225</v>
      </c>
      <c r="S97" s="10" t="s">
        <v>5227</v>
      </c>
      <c r="T97" s="9"/>
      <c r="V97" s="42" t="s">
        <v>4696</v>
      </c>
      <c r="W97" s="42" t="s">
        <v>4158</v>
      </c>
      <c r="X97" s="201" t="s">
        <v>4159</v>
      </c>
      <c r="Y97" s="43">
        <v>9</v>
      </c>
      <c r="Z97" s="43">
        <v>100</v>
      </c>
      <c r="AA97" s="43">
        <v>2</v>
      </c>
      <c r="AB97" s="42" t="s">
        <v>4160</v>
      </c>
    </row>
    <row r="98" spans="1:28">
      <c r="A98" s="9" t="s">
        <v>4891</v>
      </c>
      <c r="B98" s="10" t="s">
        <v>139</v>
      </c>
      <c r="C98" s="10" t="s">
        <v>5786</v>
      </c>
      <c r="D98" s="10"/>
      <c r="E98" s="10" t="s">
        <v>5227</v>
      </c>
      <c r="F98" s="10" t="s">
        <v>5225</v>
      </c>
      <c r="G98" s="10">
        <v>1</v>
      </c>
      <c r="H98" s="10" t="s">
        <v>5227</v>
      </c>
      <c r="I98" s="48"/>
      <c r="J98" s="10">
        <f t="shared" si="1"/>
        <v>0</v>
      </c>
      <c r="L98" s="48" t="s">
        <v>4788</v>
      </c>
      <c r="M98" s="10" t="s">
        <v>3974</v>
      </c>
      <c r="N98" s="10" t="s">
        <v>5390</v>
      </c>
      <c r="O98" s="10"/>
      <c r="P98" s="10" t="s">
        <v>5227</v>
      </c>
      <c r="Q98" s="10" t="s">
        <v>5225</v>
      </c>
      <c r="R98" s="10" t="s">
        <v>5225</v>
      </c>
      <c r="S98" s="10" t="s">
        <v>5225</v>
      </c>
      <c r="T98" s="9"/>
      <c r="V98" s="42" t="s">
        <v>4301</v>
      </c>
      <c r="W98" s="42" t="s">
        <v>4738</v>
      </c>
      <c r="X98" s="201" t="s">
        <v>4302</v>
      </c>
      <c r="Y98" s="43">
        <v>8</v>
      </c>
      <c r="Z98" s="43">
        <v>100</v>
      </c>
      <c r="AA98" s="43">
        <v>3</v>
      </c>
      <c r="AB98" s="42" t="s">
        <v>4303</v>
      </c>
    </row>
    <row r="99" spans="1:28">
      <c r="A99" s="9" t="s">
        <v>4942</v>
      </c>
      <c r="B99" s="10" t="s">
        <v>4375</v>
      </c>
      <c r="C99" s="10" t="s">
        <v>5786</v>
      </c>
      <c r="D99" s="10"/>
      <c r="E99" s="10" t="s">
        <v>5227</v>
      </c>
      <c r="F99" s="10" t="s">
        <v>5225</v>
      </c>
      <c r="G99" s="10">
        <v>1</v>
      </c>
      <c r="H99" s="10" t="s">
        <v>5227</v>
      </c>
      <c r="I99" s="48"/>
      <c r="J99" s="10">
        <f t="shared" si="1"/>
        <v>0</v>
      </c>
      <c r="L99" s="48" t="s">
        <v>4656</v>
      </c>
      <c r="M99" s="10" t="s">
        <v>4091</v>
      </c>
      <c r="N99" s="10" t="s">
        <v>5788</v>
      </c>
      <c r="O99" s="10"/>
      <c r="P99" s="10" t="s">
        <v>5227</v>
      </c>
      <c r="Q99" s="10" t="s">
        <v>5225</v>
      </c>
      <c r="R99" s="10" t="s">
        <v>5225</v>
      </c>
      <c r="S99" s="10" t="s">
        <v>5227</v>
      </c>
      <c r="T99" s="9"/>
      <c r="V99" s="42" t="s">
        <v>4301</v>
      </c>
      <c r="W99" s="42" t="s">
        <v>4306</v>
      </c>
      <c r="X99" s="201" t="s">
        <v>4307</v>
      </c>
      <c r="Y99" s="43">
        <v>8</v>
      </c>
      <c r="Z99" s="43">
        <v>200</v>
      </c>
      <c r="AA99" s="50">
        <v>3</v>
      </c>
      <c r="AB99" s="42" t="s">
        <v>4442</v>
      </c>
    </row>
    <row r="100" spans="1:28">
      <c r="A100" s="9" t="s">
        <v>4522</v>
      </c>
      <c r="B100" s="10" t="s">
        <v>4715</v>
      </c>
      <c r="C100" s="10" t="s">
        <v>5788</v>
      </c>
      <c r="D100" s="10">
        <v>10</v>
      </c>
      <c r="E100" s="10" t="s">
        <v>5227</v>
      </c>
      <c r="F100" s="10" t="s">
        <v>5227</v>
      </c>
      <c r="G100" s="10" t="s">
        <v>5225</v>
      </c>
      <c r="H100" s="10" t="s">
        <v>5225</v>
      </c>
      <c r="I100" s="48"/>
      <c r="J100" s="10">
        <f t="shared" si="1"/>
        <v>0</v>
      </c>
      <c r="K100" s="9"/>
      <c r="L100" s="48" t="s">
        <v>4796</v>
      </c>
      <c r="M100" s="10" t="s">
        <v>4091</v>
      </c>
      <c r="N100" s="10" t="s">
        <v>5390</v>
      </c>
      <c r="O100" s="10"/>
      <c r="P100" s="10" t="s">
        <v>5225</v>
      </c>
      <c r="Q100" s="10" t="s">
        <v>5225</v>
      </c>
      <c r="R100" s="10" t="s">
        <v>5225</v>
      </c>
      <c r="S100" s="10" t="s">
        <v>5227</v>
      </c>
      <c r="T100" s="9"/>
      <c r="V100" s="37" t="s">
        <v>4301</v>
      </c>
      <c r="W100" s="37" t="s">
        <v>4443</v>
      </c>
      <c r="X100" s="200" t="s">
        <v>4444</v>
      </c>
      <c r="Y100" s="38">
        <v>9</v>
      </c>
      <c r="Z100" s="38">
        <v>100</v>
      </c>
      <c r="AA100" s="38">
        <v>0</v>
      </c>
      <c r="AB100" s="37" t="s">
        <v>4585</v>
      </c>
    </row>
    <row r="101" spans="1:28">
      <c r="A101" s="9" t="s">
        <v>140</v>
      </c>
      <c r="B101" s="10" t="s">
        <v>4364</v>
      </c>
      <c r="C101" s="10" t="s">
        <v>5787</v>
      </c>
      <c r="D101" s="10">
        <v>2</v>
      </c>
      <c r="E101" s="10" t="s">
        <v>5227</v>
      </c>
      <c r="F101" s="10" t="s">
        <v>5225</v>
      </c>
      <c r="G101" s="10" t="s">
        <v>4743</v>
      </c>
      <c r="H101" s="10" t="s">
        <v>5225</v>
      </c>
      <c r="I101" s="48" t="s">
        <v>4365</v>
      </c>
      <c r="J101" s="10">
        <f t="shared" si="1"/>
        <v>0</v>
      </c>
      <c r="K101" s="9"/>
      <c r="L101" s="48" t="s">
        <v>4523</v>
      </c>
      <c r="M101" s="10" t="s">
        <v>4720</v>
      </c>
      <c r="N101" s="10" t="s">
        <v>5390</v>
      </c>
      <c r="O101" s="10"/>
      <c r="P101" s="10" t="s">
        <v>5227</v>
      </c>
      <c r="Q101" s="10" t="s">
        <v>5225</v>
      </c>
      <c r="R101" s="10">
        <v>3</v>
      </c>
      <c r="S101" s="10" t="s">
        <v>5227</v>
      </c>
      <c r="T101" s="9"/>
      <c r="V101" s="35" t="s">
        <v>4447</v>
      </c>
      <c r="W101" s="35" t="s">
        <v>5170</v>
      </c>
      <c r="X101" s="199" t="s">
        <v>4615</v>
      </c>
      <c r="Y101" s="36">
        <v>5</v>
      </c>
      <c r="Z101" s="36">
        <v>100</v>
      </c>
      <c r="AA101" s="36" t="s">
        <v>5369</v>
      </c>
      <c r="AB101" s="35" t="s">
        <v>4616</v>
      </c>
    </row>
    <row r="102" spans="1:28">
      <c r="A102" s="9" t="s">
        <v>4661</v>
      </c>
      <c r="B102" s="10" t="s">
        <v>154</v>
      </c>
      <c r="C102" s="10" t="s">
        <v>5788</v>
      </c>
      <c r="D102" s="10"/>
      <c r="E102" s="10" t="s">
        <v>5227</v>
      </c>
      <c r="F102" s="10" t="s">
        <v>5225</v>
      </c>
      <c r="G102" s="10">
        <v>0</v>
      </c>
      <c r="H102" s="10" t="s">
        <v>5227</v>
      </c>
      <c r="I102" s="48"/>
      <c r="J102" s="10">
        <f t="shared" si="1"/>
        <v>0</v>
      </c>
      <c r="K102" s="9"/>
      <c r="L102" s="48" t="s">
        <v>4668</v>
      </c>
      <c r="M102" s="10" t="s">
        <v>5007</v>
      </c>
      <c r="N102" s="10" t="s">
        <v>5787</v>
      </c>
      <c r="O102" s="10"/>
      <c r="P102" s="10" t="s">
        <v>5227</v>
      </c>
      <c r="Q102" s="10" t="s">
        <v>5225</v>
      </c>
      <c r="R102" s="10" t="s">
        <v>5225</v>
      </c>
      <c r="S102" s="10" t="s">
        <v>5225</v>
      </c>
      <c r="T102" s="9" t="s">
        <v>4501</v>
      </c>
      <c r="V102" s="35" t="s">
        <v>4447</v>
      </c>
      <c r="W102" s="35" t="s">
        <v>5170</v>
      </c>
      <c r="X102" s="199" t="s">
        <v>4564</v>
      </c>
      <c r="Y102" s="36">
        <v>5</v>
      </c>
      <c r="Z102" s="36">
        <v>100</v>
      </c>
      <c r="AA102" s="36">
        <v>0</v>
      </c>
      <c r="AB102" s="35" t="s">
        <v>4422</v>
      </c>
    </row>
    <row r="103" spans="1:28">
      <c r="A103" s="9" t="s">
        <v>4666</v>
      </c>
      <c r="B103" s="10" t="s">
        <v>4667</v>
      </c>
      <c r="C103" s="10" t="s">
        <v>5788</v>
      </c>
      <c r="D103" s="10"/>
      <c r="E103" s="10" t="s">
        <v>5227</v>
      </c>
      <c r="F103" s="10" t="s">
        <v>5225</v>
      </c>
      <c r="G103" s="10" t="s">
        <v>5225</v>
      </c>
      <c r="H103" s="10" t="s">
        <v>5225</v>
      </c>
      <c r="I103" s="48"/>
      <c r="J103" s="10">
        <f t="shared" si="1"/>
        <v>0</v>
      </c>
      <c r="K103" s="9"/>
      <c r="L103" s="48" t="s">
        <v>4540</v>
      </c>
      <c r="M103" s="10" t="s">
        <v>4091</v>
      </c>
      <c r="N103" s="10" t="s">
        <v>5788</v>
      </c>
      <c r="O103" s="10"/>
      <c r="P103" s="10" t="s">
        <v>5227</v>
      </c>
      <c r="Q103" s="10" t="s">
        <v>5225</v>
      </c>
      <c r="R103" s="10" t="s">
        <v>5225</v>
      </c>
      <c r="S103" s="10" t="s">
        <v>5227</v>
      </c>
      <c r="T103" s="9"/>
      <c r="V103" s="42" t="s">
        <v>4447</v>
      </c>
      <c r="W103" s="42" t="s">
        <v>4829</v>
      </c>
      <c r="X103" s="201" t="s">
        <v>4564</v>
      </c>
      <c r="Y103" s="43">
        <v>5</v>
      </c>
      <c r="Z103" s="43">
        <v>100</v>
      </c>
      <c r="AA103" s="50">
        <v>0</v>
      </c>
      <c r="AB103" s="42" t="s">
        <v>4422</v>
      </c>
    </row>
    <row r="104" spans="1:28">
      <c r="A104" s="9" t="s">
        <v>4538</v>
      </c>
      <c r="B104" s="10" t="s">
        <v>4539</v>
      </c>
      <c r="C104" s="10" t="s">
        <v>5390</v>
      </c>
      <c r="D104" s="10"/>
      <c r="E104" s="10" t="s">
        <v>5227</v>
      </c>
      <c r="F104" s="10" t="s">
        <v>5225</v>
      </c>
      <c r="G104" s="10">
        <v>2</v>
      </c>
      <c r="H104" s="10" t="s">
        <v>5225</v>
      </c>
      <c r="I104" s="48"/>
      <c r="J104" s="10">
        <f t="shared" si="1"/>
        <v>0</v>
      </c>
      <c r="K104" s="9"/>
      <c r="L104" s="48" t="s">
        <v>4542</v>
      </c>
      <c r="M104" s="10" t="s">
        <v>4091</v>
      </c>
      <c r="N104" s="10" t="s">
        <v>5788</v>
      </c>
      <c r="O104" s="10"/>
      <c r="P104" s="10" t="s">
        <v>5227</v>
      </c>
      <c r="Q104" s="10" t="s">
        <v>5225</v>
      </c>
      <c r="R104" s="10" t="s">
        <v>5225</v>
      </c>
      <c r="S104" s="10" t="s">
        <v>5227</v>
      </c>
      <c r="T104" s="9"/>
      <c r="V104" s="42" t="s">
        <v>4447</v>
      </c>
      <c r="W104" s="42" t="s">
        <v>4451</v>
      </c>
      <c r="X104" s="201" t="s">
        <v>4452</v>
      </c>
      <c r="Y104" s="43">
        <v>6</v>
      </c>
      <c r="Z104" s="43">
        <v>200</v>
      </c>
      <c r="AA104" s="50">
        <v>0</v>
      </c>
      <c r="AB104" s="42" t="s">
        <v>4460</v>
      </c>
    </row>
    <row r="105" spans="1:28">
      <c r="A105" s="9" t="s">
        <v>4663</v>
      </c>
      <c r="B105" s="10" t="s">
        <v>4541</v>
      </c>
      <c r="C105" s="10" t="s">
        <v>5787</v>
      </c>
      <c r="D105" s="10"/>
      <c r="E105" s="10" t="s">
        <v>5227</v>
      </c>
      <c r="F105" s="10" t="s">
        <v>5227</v>
      </c>
      <c r="G105" s="10">
        <v>1</v>
      </c>
      <c r="H105" s="10" t="s">
        <v>5225</v>
      </c>
      <c r="I105" s="48" t="s">
        <v>4662</v>
      </c>
      <c r="J105" s="10">
        <f t="shared" si="1"/>
        <v>0</v>
      </c>
      <c r="K105" s="9"/>
      <c r="L105" s="48" t="s">
        <v>4675</v>
      </c>
      <c r="M105" s="10" t="s">
        <v>237</v>
      </c>
      <c r="N105" s="10" t="s">
        <v>5390</v>
      </c>
      <c r="O105" s="10"/>
      <c r="P105" s="10" t="s">
        <v>5227</v>
      </c>
      <c r="Q105" s="10" t="s">
        <v>5225</v>
      </c>
      <c r="R105" s="10">
        <v>1</v>
      </c>
      <c r="S105" s="10" t="s">
        <v>5225</v>
      </c>
      <c r="T105" s="9"/>
      <c r="V105" s="35" t="s">
        <v>4447</v>
      </c>
      <c r="W105" s="35" t="s">
        <v>4461</v>
      </c>
      <c r="X105" s="199" t="s">
        <v>4462</v>
      </c>
      <c r="Y105" s="36">
        <v>7</v>
      </c>
      <c r="Z105" s="36">
        <v>200</v>
      </c>
      <c r="AA105" s="36" t="s">
        <v>4561</v>
      </c>
      <c r="AB105" s="35" t="s">
        <v>4594</v>
      </c>
    </row>
    <row r="106" spans="1:28">
      <c r="A106" s="9" t="s">
        <v>4674</v>
      </c>
      <c r="B106" s="10" t="s">
        <v>5035</v>
      </c>
      <c r="C106" s="10" t="s">
        <v>5349</v>
      </c>
      <c r="D106" s="10"/>
      <c r="E106" s="10" t="s">
        <v>5225</v>
      </c>
      <c r="F106" s="10" t="s">
        <v>5227</v>
      </c>
      <c r="G106" s="10">
        <v>1</v>
      </c>
      <c r="H106" s="10" t="s">
        <v>5225</v>
      </c>
      <c r="I106" s="48"/>
      <c r="J106" s="10" t="str">
        <f t="shared" si="1"/>
        <v>NA</v>
      </c>
      <c r="K106" s="9"/>
      <c r="L106" s="48" t="s">
        <v>4406</v>
      </c>
      <c r="M106" s="10" t="s">
        <v>166</v>
      </c>
      <c r="N106" s="10" t="s">
        <v>5390</v>
      </c>
      <c r="O106" s="10"/>
      <c r="P106" s="10" t="s">
        <v>5227</v>
      </c>
      <c r="Q106" s="10" t="s">
        <v>5225</v>
      </c>
      <c r="R106" s="10" t="s">
        <v>5225</v>
      </c>
      <c r="S106" s="10" t="s">
        <v>5225</v>
      </c>
      <c r="T106" s="9"/>
      <c r="V106" s="222" t="s">
        <v>4447</v>
      </c>
      <c r="W106" s="222" t="s">
        <v>4461</v>
      </c>
      <c r="X106" s="223" t="s">
        <v>4597</v>
      </c>
      <c r="Y106" s="224">
        <v>7</v>
      </c>
      <c r="Z106" s="224">
        <v>200</v>
      </c>
      <c r="AA106" s="225">
        <v>1</v>
      </c>
      <c r="AB106" s="222" t="s">
        <v>4598</v>
      </c>
    </row>
    <row r="107" spans="1:28">
      <c r="A107" s="9" t="s">
        <v>4404</v>
      </c>
      <c r="B107" s="10" t="s">
        <v>4405</v>
      </c>
      <c r="C107" s="10" t="s">
        <v>5787</v>
      </c>
      <c r="D107" s="10"/>
      <c r="E107" s="10" t="s">
        <v>5227</v>
      </c>
      <c r="F107" s="10" t="s">
        <v>5225</v>
      </c>
      <c r="G107" s="10">
        <v>2</v>
      </c>
      <c r="H107" s="10" t="s">
        <v>5225</v>
      </c>
      <c r="I107" s="48"/>
      <c r="J107" s="10">
        <f t="shared" si="1"/>
        <v>0</v>
      </c>
      <c r="K107" s="9"/>
      <c r="L107" s="48" t="s">
        <v>4550</v>
      </c>
      <c r="M107" s="10" t="s">
        <v>4091</v>
      </c>
      <c r="N107" s="10" t="s">
        <v>5786</v>
      </c>
      <c r="O107" s="10"/>
      <c r="P107" s="10" t="s">
        <v>5227</v>
      </c>
      <c r="Q107" s="10" t="s">
        <v>5225</v>
      </c>
      <c r="R107" s="10" t="s">
        <v>5225</v>
      </c>
      <c r="S107" s="10" t="s">
        <v>5227</v>
      </c>
      <c r="T107" s="9"/>
      <c r="V107" s="35" t="s">
        <v>4447</v>
      </c>
      <c r="W107" s="35" t="s">
        <v>5170</v>
      </c>
      <c r="X107" s="199" t="s">
        <v>4591</v>
      </c>
      <c r="Y107" s="36">
        <v>7</v>
      </c>
      <c r="Z107" s="36">
        <v>100</v>
      </c>
      <c r="AA107" s="36" t="s">
        <v>4592</v>
      </c>
      <c r="AB107" s="35" t="s">
        <v>4593</v>
      </c>
    </row>
    <row r="108" spans="1:28">
      <c r="A108" s="9" t="s">
        <v>4548</v>
      </c>
      <c r="B108" s="10" t="s">
        <v>4549</v>
      </c>
      <c r="C108" s="10" t="s">
        <v>5786</v>
      </c>
      <c r="D108" s="10"/>
      <c r="E108" s="10" t="s">
        <v>5227</v>
      </c>
      <c r="F108" s="10" t="s">
        <v>5225</v>
      </c>
      <c r="G108" s="10" t="s">
        <v>5225</v>
      </c>
      <c r="H108" s="10" t="s">
        <v>5225</v>
      </c>
      <c r="I108" s="48" t="s">
        <v>4803</v>
      </c>
      <c r="J108" s="10">
        <f t="shared" si="1"/>
        <v>0</v>
      </c>
      <c r="K108" s="9"/>
      <c r="L108" s="48" t="s">
        <v>4420</v>
      </c>
      <c r="M108" s="10" t="s">
        <v>89</v>
      </c>
      <c r="N108" s="10" t="s">
        <v>5788</v>
      </c>
      <c r="O108" s="10"/>
      <c r="P108" s="10" t="s">
        <v>5227</v>
      </c>
      <c r="Q108" s="10" t="s">
        <v>5225</v>
      </c>
      <c r="R108" s="10">
        <v>1</v>
      </c>
      <c r="S108" s="10" t="s">
        <v>5227</v>
      </c>
      <c r="T108" s="9"/>
      <c r="V108" s="35" t="s">
        <v>4447</v>
      </c>
      <c r="W108" s="35" t="s">
        <v>5170</v>
      </c>
      <c r="X108" s="199" t="s">
        <v>4789</v>
      </c>
      <c r="Y108" s="36">
        <v>7</v>
      </c>
      <c r="Z108" s="36">
        <v>100</v>
      </c>
      <c r="AA108" s="36">
        <v>2</v>
      </c>
      <c r="AB108" s="35" t="s">
        <v>4654</v>
      </c>
    </row>
    <row r="109" spans="1:28">
      <c r="A109" s="9" t="s">
        <v>4419</v>
      </c>
      <c r="B109" s="10" t="s">
        <v>4541</v>
      </c>
      <c r="C109" s="10" t="s">
        <v>5786</v>
      </c>
      <c r="D109" s="10"/>
      <c r="E109" s="10" t="s">
        <v>5227</v>
      </c>
      <c r="F109" s="10" t="s">
        <v>5225</v>
      </c>
      <c r="G109" s="10" t="s">
        <v>5225</v>
      </c>
      <c r="H109" s="10" t="s">
        <v>5225</v>
      </c>
      <c r="I109" s="48" t="s">
        <v>5032</v>
      </c>
      <c r="J109" s="10">
        <f t="shared" si="1"/>
        <v>0</v>
      </c>
      <c r="K109" s="9"/>
      <c r="L109" s="48" t="s">
        <v>90</v>
      </c>
      <c r="M109" s="10" t="s">
        <v>91</v>
      </c>
      <c r="N109" s="10" t="s">
        <v>92</v>
      </c>
      <c r="O109" s="10"/>
      <c r="P109" s="10" t="s">
        <v>159</v>
      </c>
      <c r="Q109" s="10" t="s">
        <v>5225</v>
      </c>
      <c r="R109" s="10">
        <v>1</v>
      </c>
      <c r="S109" s="10" t="s">
        <v>5227</v>
      </c>
      <c r="T109" s="9"/>
      <c r="V109" s="35" t="s">
        <v>4447</v>
      </c>
      <c r="W109" s="35" t="s">
        <v>5170</v>
      </c>
      <c r="X109" s="199" t="s">
        <v>4724</v>
      </c>
      <c r="Y109" s="36">
        <v>7</v>
      </c>
      <c r="Z109" s="36">
        <v>100</v>
      </c>
      <c r="AA109" s="36" t="s">
        <v>4561</v>
      </c>
      <c r="AB109" s="35" t="s">
        <v>4599</v>
      </c>
    </row>
    <row r="110" spans="1:28">
      <c r="A110" s="9" t="s">
        <v>5436</v>
      </c>
      <c r="B110" s="10" t="s">
        <v>4375</v>
      </c>
      <c r="C110" s="10" t="s">
        <v>5786</v>
      </c>
      <c r="D110" s="10"/>
      <c r="E110" s="10" t="s">
        <v>5227</v>
      </c>
      <c r="F110" s="10" t="s">
        <v>5225</v>
      </c>
      <c r="G110" s="10">
        <v>1</v>
      </c>
      <c r="H110" s="10" t="s">
        <v>5227</v>
      </c>
      <c r="I110" s="48"/>
      <c r="J110" s="10">
        <f t="shared" si="1"/>
        <v>0</v>
      </c>
      <c r="K110" s="9"/>
      <c r="L110" s="48" t="s">
        <v>4157</v>
      </c>
      <c r="M110" s="10" t="s">
        <v>237</v>
      </c>
      <c r="N110" s="10" t="s">
        <v>5390</v>
      </c>
      <c r="O110" s="10"/>
      <c r="P110" s="10" t="s">
        <v>5227</v>
      </c>
      <c r="Q110" s="10" t="s">
        <v>5225</v>
      </c>
      <c r="R110" s="10">
        <v>1</v>
      </c>
      <c r="S110" s="10" t="s">
        <v>5227</v>
      </c>
      <c r="T110" s="9"/>
      <c r="V110" s="35" t="s">
        <v>4447</v>
      </c>
      <c r="W110" s="35" t="s">
        <v>5170</v>
      </c>
      <c r="X110" s="199" t="s">
        <v>4602</v>
      </c>
      <c r="Y110" s="36">
        <v>7</v>
      </c>
      <c r="Z110" s="36">
        <v>100</v>
      </c>
      <c r="AA110" s="36" t="s">
        <v>4561</v>
      </c>
      <c r="AB110" s="35" t="s">
        <v>4603</v>
      </c>
    </row>
    <row r="111" spans="1:28">
      <c r="A111" s="9" t="s">
        <v>4965</v>
      </c>
      <c r="B111" s="10" t="s">
        <v>4405</v>
      </c>
      <c r="C111" s="10" t="s">
        <v>5349</v>
      </c>
      <c r="D111" s="10"/>
      <c r="E111" s="10" t="s">
        <v>5225</v>
      </c>
      <c r="F111" s="10" t="s">
        <v>5225</v>
      </c>
      <c r="G111" s="10" t="s">
        <v>5225</v>
      </c>
      <c r="H111" s="10" t="s">
        <v>5227</v>
      </c>
      <c r="I111" s="48"/>
      <c r="J111" s="10" t="str">
        <f t="shared" si="1"/>
        <v>NA</v>
      </c>
      <c r="K111" s="9"/>
      <c r="L111" s="48" t="s">
        <v>93</v>
      </c>
      <c r="M111" s="9" t="s">
        <v>94</v>
      </c>
      <c r="N111" s="10" t="s">
        <v>157</v>
      </c>
      <c r="O111" s="10"/>
      <c r="P111" s="10" t="s">
        <v>5227</v>
      </c>
      <c r="Q111" s="10" t="s">
        <v>5225</v>
      </c>
      <c r="R111" s="10">
        <v>1</v>
      </c>
      <c r="S111" s="10" t="s">
        <v>5227</v>
      </c>
      <c r="T111" s="9"/>
      <c r="V111" s="35" t="s">
        <v>4447</v>
      </c>
      <c r="W111" s="35" t="s">
        <v>5170</v>
      </c>
      <c r="X111" s="199" t="s">
        <v>4733</v>
      </c>
      <c r="Y111" s="36">
        <v>7</v>
      </c>
      <c r="Z111" s="36">
        <v>100</v>
      </c>
      <c r="AA111" s="36">
        <v>0</v>
      </c>
      <c r="AB111" s="35" t="s">
        <v>4734</v>
      </c>
    </row>
    <row r="112" spans="1:28">
      <c r="A112" s="9" t="s">
        <v>4304</v>
      </c>
      <c r="B112" s="10" t="s">
        <v>4541</v>
      </c>
      <c r="C112" s="10" t="s">
        <v>5596</v>
      </c>
      <c r="D112" s="10"/>
      <c r="E112" s="10" t="s">
        <v>5225</v>
      </c>
      <c r="F112" s="10" t="s">
        <v>5227</v>
      </c>
      <c r="G112" s="10">
        <v>1</v>
      </c>
      <c r="H112" s="10" t="s">
        <v>5225</v>
      </c>
      <c r="I112" s="48" t="s">
        <v>5029</v>
      </c>
      <c r="J112" s="10">
        <f t="shared" si="1"/>
        <v>0</v>
      </c>
      <c r="K112" s="9"/>
      <c r="L112" s="48" t="s">
        <v>95</v>
      </c>
      <c r="M112" s="10" t="s">
        <v>168</v>
      </c>
      <c r="N112" s="10" t="s">
        <v>96</v>
      </c>
      <c r="O112" s="10"/>
      <c r="P112" s="10" t="s">
        <v>158</v>
      </c>
      <c r="Q112" s="10" t="s">
        <v>159</v>
      </c>
      <c r="R112" s="10">
        <v>0</v>
      </c>
      <c r="S112" s="10" t="s">
        <v>159</v>
      </c>
      <c r="T112" s="9"/>
      <c r="V112" s="222" t="s">
        <v>4447</v>
      </c>
      <c r="W112" s="222" t="s">
        <v>5170</v>
      </c>
      <c r="X112" s="223" t="s">
        <v>4604</v>
      </c>
      <c r="Y112" s="224">
        <v>7</v>
      </c>
      <c r="Z112" s="224">
        <v>100</v>
      </c>
      <c r="AA112" s="225">
        <v>0</v>
      </c>
      <c r="AB112" s="222" t="s">
        <v>4605</v>
      </c>
    </row>
    <row r="113" spans="1:28">
      <c r="A113" s="9" t="s">
        <v>4964</v>
      </c>
      <c r="B113" s="10" t="s">
        <v>4375</v>
      </c>
      <c r="C113" s="10" t="s">
        <v>5596</v>
      </c>
      <c r="D113" s="10"/>
      <c r="E113" s="10" t="s">
        <v>5225</v>
      </c>
      <c r="F113" s="10" t="s">
        <v>5227</v>
      </c>
      <c r="G113" s="10" t="s">
        <v>5225</v>
      </c>
      <c r="H113" s="10" t="s">
        <v>5225</v>
      </c>
      <c r="I113" s="48"/>
      <c r="J113" s="10">
        <f t="shared" si="1"/>
        <v>0</v>
      </c>
      <c r="K113" s="9"/>
      <c r="L113" s="48" t="s">
        <v>4300</v>
      </c>
      <c r="M113" s="10" t="s">
        <v>4720</v>
      </c>
      <c r="N113" s="10" t="s">
        <v>5390</v>
      </c>
      <c r="O113" s="10"/>
      <c r="P113" s="10" t="s">
        <v>5227</v>
      </c>
      <c r="Q113" s="10" t="s">
        <v>5225</v>
      </c>
      <c r="R113" s="10">
        <v>1</v>
      </c>
      <c r="S113" s="10" t="s">
        <v>5227</v>
      </c>
      <c r="T113" s="9"/>
      <c r="V113" s="35" t="s">
        <v>4447</v>
      </c>
      <c r="W113" s="35" t="s">
        <v>4339</v>
      </c>
      <c r="X113" s="199" t="s">
        <v>4479</v>
      </c>
      <c r="Y113" s="36">
        <v>7</v>
      </c>
      <c r="Z113" s="36">
        <v>200</v>
      </c>
      <c r="AA113" s="36" t="s">
        <v>4729</v>
      </c>
      <c r="AB113" s="42" t="s">
        <v>4480</v>
      </c>
    </row>
    <row r="114" spans="1:28">
      <c r="A114" s="9" t="s">
        <v>4586</v>
      </c>
      <c r="B114" s="10" t="s">
        <v>4541</v>
      </c>
      <c r="C114" s="10" t="s">
        <v>5787</v>
      </c>
      <c r="D114" s="10"/>
      <c r="E114" s="10" t="s">
        <v>5227</v>
      </c>
      <c r="F114" s="10" t="s">
        <v>5227</v>
      </c>
      <c r="G114" s="10">
        <v>3</v>
      </c>
      <c r="H114" s="10" t="s">
        <v>5225</v>
      </c>
      <c r="I114" s="48"/>
      <c r="J114" s="10">
        <f t="shared" si="1"/>
        <v>0</v>
      </c>
      <c r="K114" s="9"/>
      <c r="L114" s="48" t="s">
        <v>4305</v>
      </c>
      <c r="M114" s="10" t="s">
        <v>4720</v>
      </c>
      <c r="N114" s="10" t="s">
        <v>5788</v>
      </c>
      <c r="O114" s="10"/>
      <c r="P114" s="10" t="s">
        <v>5225</v>
      </c>
      <c r="Q114" s="10" t="s">
        <v>5225</v>
      </c>
      <c r="R114" s="10">
        <v>1</v>
      </c>
      <c r="S114" s="10" t="s">
        <v>5227</v>
      </c>
      <c r="T114" s="9"/>
      <c r="V114" s="35" t="s">
        <v>4447</v>
      </c>
      <c r="W114" s="35" t="s">
        <v>4515</v>
      </c>
      <c r="X114" s="199" t="s">
        <v>4354</v>
      </c>
      <c r="Y114" s="36">
        <v>8</v>
      </c>
      <c r="Z114" s="36">
        <v>100</v>
      </c>
      <c r="AA114" s="36" t="s">
        <v>4355</v>
      </c>
      <c r="AB114" s="35" t="s">
        <v>4493</v>
      </c>
    </row>
    <row r="115" spans="1:28">
      <c r="A115" s="9" t="s">
        <v>97</v>
      </c>
      <c r="B115" s="10" t="s">
        <v>98</v>
      </c>
      <c r="C115" s="10" t="s">
        <v>157</v>
      </c>
      <c r="D115" s="10"/>
      <c r="E115" s="10" t="s">
        <v>159</v>
      </c>
      <c r="F115" s="10" t="s">
        <v>159</v>
      </c>
      <c r="G115" s="10">
        <v>1</v>
      </c>
      <c r="H115" s="10" t="s">
        <v>158</v>
      </c>
      <c r="I115" s="48"/>
      <c r="J115" s="10">
        <f t="shared" si="1"/>
        <v>0</v>
      </c>
      <c r="K115" s="9"/>
      <c r="L115" s="48" t="s">
        <v>99</v>
      </c>
      <c r="M115" s="10" t="s">
        <v>169</v>
      </c>
      <c r="N115" s="10" t="s">
        <v>5786</v>
      </c>
      <c r="O115" s="10"/>
      <c r="P115" s="10" t="s">
        <v>5227</v>
      </c>
      <c r="Q115" s="10" t="s">
        <v>5225</v>
      </c>
      <c r="R115" s="10" t="s">
        <v>5225</v>
      </c>
      <c r="S115" s="10" t="s">
        <v>5225</v>
      </c>
      <c r="T115" s="9"/>
      <c r="V115" s="35" t="s">
        <v>4447</v>
      </c>
      <c r="W115" s="35" t="s">
        <v>4496</v>
      </c>
      <c r="X115" s="199" t="s">
        <v>4497</v>
      </c>
      <c r="Y115" s="36">
        <v>9</v>
      </c>
      <c r="Z115" s="36">
        <v>200</v>
      </c>
      <c r="AA115" s="40" t="s">
        <v>4762</v>
      </c>
      <c r="AB115" s="35" t="s">
        <v>4498</v>
      </c>
    </row>
    <row r="116" spans="1:28">
      <c r="A116" s="9" t="s">
        <v>4448</v>
      </c>
      <c r="B116" s="10" t="s">
        <v>4449</v>
      </c>
      <c r="C116" s="10" t="s">
        <v>5390</v>
      </c>
      <c r="D116" s="10"/>
      <c r="E116" s="10" t="s">
        <v>5225</v>
      </c>
      <c r="F116" s="10" t="s">
        <v>5225</v>
      </c>
      <c r="G116" s="10" t="s">
        <v>5225</v>
      </c>
      <c r="H116" s="10" t="s">
        <v>5225</v>
      </c>
      <c r="I116" s="10" t="s">
        <v>4718</v>
      </c>
      <c r="J116" s="10">
        <f t="shared" si="1"/>
        <v>0</v>
      </c>
      <c r="K116" s="9"/>
      <c r="L116" s="48" t="s">
        <v>100</v>
      </c>
      <c r="M116" s="10" t="s">
        <v>101</v>
      </c>
      <c r="N116" s="10" t="s">
        <v>96</v>
      </c>
      <c r="O116" s="10"/>
      <c r="P116" s="10" t="s">
        <v>5227</v>
      </c>
      <c r="Q116" s="10" t="s">
        <v>5225</v>
      </c>
      <c r="R116" s="10" t="s">
        <v>5225</v>
      </c>
      <c r="S116" s="10" t="s">
        <v>158</v>
      </c>
      <c r="T116" s="9"/>
      <c r="V116" s="35" t="s">
        <v>4447</v>
      </c>
      <c r="W116" s="35" t="s">
        <v>5170</v>
      </c>
      <c r="X116" s="199" t="s">
        <v>4618</v>
      </c>
      <c r="Y116" s="36">
        <v>9</v>
      </c>
      <c r="Z116" s="36">
        <v>100</v>
      </c>
      <c r="AA116" s="36" t="s">
        <v>4561</v>
      </c>
      <c r="AB116" s="35" t="s">
        <v>4482</v>
      </c>
    </row>
    <row r="117" spans="1:28">
      <c r="A117" s="9" t="s">
        <v>4559</v>
      </c>
      <c r="B117" s="10" t="s">
        <v>4375</v>
      </c>
      <c r="C117" s="10" t="s">
        <v>5787</v>
      </c>
      <c r="D117" s="10"/>
      <c r="E117" s="10" t="s">
        <v>5225</v>
      </c>
      <c r="F117" s="10" t="s">
        <v>5225</v>
      </c>
      <c r="G117" s="10" t="s">
        <v>5225</v>
      </c>
      <c r="H117" s="10" t="s">
        <v>5227</v>
      </c>
      <c r="I117" s="48"/>
      <c r="J117" s="10">
        <f t="shared" si="1"/>
        <v>0</v>
      </c>
      <c r="K117" s="9"/>
      <c r="L117" s="48" t="s">
        <v>4446</v>
      </c>
      <c r="M117" s="10" t="s">
        <v>4129</v>
      </c>
      <c r="N117" s="10" t="s">
        <v>5788</v>
      </c>
      <c r="O117" s="10"/>
      <c r="P117" s="10" t="s">
        <v>5227</v>
      </c>
      <c r="Q117" s="10" t="s">
        <v>5225</v>
      </c>
      <c r="R117" s="10">
        <v>1</v>
      </c>
      <c r="S117" s="10" t="s">
        <v>5227</v>
      </c>
      <c r="T117" s="9"/>
      <c r="V117" s="37" t="s">
        <v>4447</v>
      </c>
      <c r="W117" s="37" t="s">
        <v>4228</v>
      </c>
      <c r="X117" s="200" t="s">
        <v>4229</v>
      </c>
      <c r="Y117" s="38">
        <v>9</v>
      </c>
      <c r="Z117" s="38">
        <v>200</v>
      </c>
      <c r="AA117" s="39">
        <v>3</v>
      </c>
      <c r="AB117" s="37" t="s">
        <v>4224</v>
      </c>
    </row>
    <row r="118" spans="1:28">
      <c r="A118" s="9" t="s">
        <v>4582</v>
      </c>
      <c r="B118" s="10" t="s">
        <v>5047</v>
      </c>
      <c r="C118" s="10" t="s">
        <v>5786</v>
      </c>
      <c r="D118" s="10"/>
      <c r="E118" s="10" t="s">
        <v>5225</v>
      </c>
      <c r="F118" s="10" t="s">
        <v>4583</v>
      </c>
      <c r="G118" s="10" t="s">
        <v>5225</v>
      </c>
      <c r="H118" s="10" t="s">
        <v>5225</v>
      </c>
      <c r="I118" s="48"/>
      <c r="J118" s="10">
        <f t="shared" si="1"/>
        <v>0</v>
      </c>
      <c r="K118" s="9"/>
      <c r="L118" s="48" t="s">
        <v>4581</v>
      </c>
      <c r="M118" s="10" t="s">
        <v>166</v>
      </c>
      <c r="N118" s="10" t="s">
        <v>5390</v>
      </c>
      <c r="O118" s="10"/>
      <c r="P118" s="10" t="s">
        <v>5227</v>
      </c>
      <c r="Q118" s="10" t="s">
        <v>5225</v>
      </c>
      <c r="R118" s="10" t="s">
        <v>5225</v>
      </c>
      <c r="S118" s="10" t="s">
        <v>5225</v>
      </c>
      <c r="T118" s="9"/>
      <c r="V118" s="42" t="s">
        <v>4231</v>
      </c>
      <c r="W118" s="42" t="s">
        <v>4232</v>
      </c>
      <c r="X118" s="201" t="s">
        <v>4233</v>
      </c>
      <c r="Y118" s="43">
        <v>3</v>
      </c>
      <c r="Z118" s="43">
        <v>100</v>
      </c>
      <c r="AA118" s="50">
        <v>1</v>
      </c>
      <c r="AB118" s="42" t="s">
        <v>4234</v>
      </c>
    </row>
    <row r="119" spans="1:28">
      <c r="A119" s="9" t="s">
        <v>5365</v>
      </c>
      <c r="B119" s="10" t="s">
        <v>4405</v>
      </c>
      <c r="C119" s="10" t="s">
        <v>5390</v>
      </c>
      <c r="D119" s="10"/>
      <c r="E119" s="10" t="s">
        <v>5227</v>
      </c>
      <c r="F119" s="10" t="s">
        <v>5225</v>
      </c>
      <c r="G119" s="10">
        <v>2</v>
      </c>
      <c r="H119" s="10" t="s">
        <v>5225</v>
      </c>
      <c r="I119" s="48"/>
      <c r="J119" s="10">
        <f t="shared" si="1"/>
        <v>0</v>
      </c>
      <c r="K119" s="9"/>
      <c r="L119" s="48" t="s">
        <v>4797</v>
      </c>
      <c r="M119" s="10" t="s">
        <v>4129</v>
      </c>
      <c r="N119" s="10" t="s">
        <v>5390</v>
      </c>
      <c r="O119" s="10"/>
      <c r="P119" s="10" t="s">
        <v>5227</v>
      </c>
      <c r="Q119" s="10" t="s">
        <v>5225</v>
      </c>
      <c r="R119" s="10" t="s">
        <v>5225</v>
      </c>
      <c r="S119" s="10" t="s">
        <v>5227</v>
      </c>
      <c r="T119" s="9"/>
      <c r="V119" s="42" t="s">
        <v>4231</v>
      </c>
      <c r="W119" s="42" t="s">
        <v>4236</v>
      </c>
      <c r="X119" s="201" t="s">
        <v>4237</v>
      </c>
      <c r="Y119" s="43">
        <v>5</v>
      </c>
      <c r="Z119" s="43">
        <v>100</v>
      </c>
      <c r="AA119" s="50">
        <v>3</v>
      </c>
      <c r="AB119" s="42" t="s">
        <v>4238</v>
      </c>
    </row>
    <row r="120" spans="1:28">
      <c r="A120" s="9" t="s">
        <v>4595</v>
      </c>
      <c r="B120" s="10" t="s">
        <v>4405</v>
      </c>
      <c r="C120" s="10" t="s">
        <v>5786</v>
      </c>
      <c r="D120" s="10"/>
      <c r="E120" s="10" t="s">
        <v>5227</v>
      </c>
      <c r="F120" s="10" t="s">
        <v>5225</v>
      </c>
      <c r="G120" s="10">
        <v>1</v>
      </c>
      <c r="H120" s="10" t="s">
        <v>5225</v>
      </c>
      <c r="I120" s="48"/>
      <c r="J120" s="10">
        <f t="shared" si="1"/>
        <v>0</v>
      </c>
      <c r="K120" s="9"/>
      <c r="L120" s="48" t="s">
        <v>4584</v>
      </c>
      <c r="M120" s="9" t="s">
        <v>102</v>
      </c>
      <c r="N120" s="10" t="s">
        <v>5786</v>
      </c>
      <c r="O120" s="10"/>
      <c r="P120" s="10" t="s">
        <v>5227</v>
      </c>
      <c r="Q120" s="10" t="s">
        <v>5225</v>
      </c>
      <c r="R120" s="10" t="s">
        <v>5225</v>
      </c>
      <c r="S120" s="10" t="s">
        <v>5225</v>
      </c>
      <c r="T120" s="9"/>
      <c r="V120" s="37" t="s">
        <v>4231</v>
      </c>
      <c r="W120" s="37" t="s">
        <v>5433</v>
      </c>
      <c r="X120" s="200" t="s">
        <v>4239</v>
      </c>
      <c r="Y120" s="38">
        <v>11</v>
      </c>
      <c r="Z120" s="38">
        <v>100</v>
      </c>
      <c r="AA120" s="39">
        <v>6</v>
      </c>
      <c r="AB120" s="37" t="s">
        <v>4380</v>
      </c>
    </row>
    <row r="121" spans="1:28">
      <c r="A121" s="9" t="s">
        <v>4470</v>
      </c>
      <c r="B121" s="10" t="s">
        <v>4471</v>
      </c>
      <c r="C121" s="10" t="s">
        <v>5786</v>
      </c>
      <c r="D121" s="10"/>
      <c r="E121" s="10" t="s">
        <v>5227</v>
      </c>
      <c r="F121" s="10" t="s">
        <v>5227</v>
      </c>
      <c r="G121" s="10" t="s">
        <v>5225</v>
      </c>
      <c r="H121" s="10" t="s">
        <v>5225</v>
      </c>
      <c r="I121" s="48"/>
      <c r="J121" s="10">
        <f t="shared" si="1"/>
        <v>0</v>
      </c>
      <c r="K121" s="9"/>
      <c r="L121" s="48" t="s">
        <v>5326</v>
      </c>
      <c r="M121" s="10" t="s">
        <v>4129</v>
      </c>
      <c r="N121" s="10" t="s">
        <v>5390</v>
      </c>
      <c r="O121" s="10"/>
      <c r="P121" s="10" t="s">
        <v>5227</v>
      </c>
      <c r="Q121" s="10" t="s">
        <v>5225</v>
      </c>
      <c r="R121" s="10" t="s">
        <v>5225</v>
      </c>
      <c r="S121" s="10" t="s">
        <v>5227</v>
      </c>
      <c r="T121" s="9"/>
      <c r="V121" s="42" t="s">
        <v>5029</v>
      </c>
      <c r="W121" s="42" t="s">
        <v>4333</v>
      </c>
      <c r="X121" s="201" t="s">
        <v>4371</v>
      </c>
      <c r="Y121" s="43">
        <v>6</v>
      </c>
      <c r="Z121" s="43">
        <v>100</v>
      </c>
      <c r="AA121" s="50">
        <v>1</v>
      </c>
      <c r="AB121" s="42" t="s">
        <v>4372</v>
      </c>
    </row>
    <row r="122" spans="1:28">
      <c r="A122" s="9" t="s">
        <v>4563</v>
      </c>
      <c r="B122" s="10" t="s">
        <v>4375</v>
      </c>
      <c r="C122" s="10" t="s">
        <v>5786</v>
      </c>
      <c r="D122" s="10"/>
      <c r="E122" s="10" t="s">
        <v>5227</v>
      </c>
      <c r="F122" s="10" t="s">
        <v>5225</v>
      </c>
      <c r="G122" s="10">
        <v>1</v>
      </c>
      <c r="H122" s="10" t="s">
        <v>5227</v>
      </c>
      <c r="I122" s="48"/>
      <c r="J122" s="10">
        <f t="shared" si="1"/>
        <v>0</v>
      </c>
      <c r="K122" s="9"/>
      <c r="L122" s="48" t="s">
        <v>4596</v>
      </c>
      <c r="M122" s="10" t="s">
        <v>3961</v>
      </c>
      <c r="N122" s="10" t="s">
        <v>5786</v>
      </c>
      <c r="O122" s="10"/>
      <c r="P122" s="10" t="s">
        <v>5227</v>
      </c>
      <c r="Q122" s="10" t="s">
        <v>5225</v>
      </c>
      <c r="R122" s="10" t="s">
        <v>5225</v>
      </c>
      <c r="S122" s="10" t="s">
        <v>5227</v>
      </c>
      <c r="T122" s="9"/>
      <c r="V122" s="42" t="s">
        <v>5029</v>
      </c>
      <c r="W122" s="42" t="s">
        <v>4518</v>
      </c>
      <c r="X122" s="201" t="s">
        <v>4519</v>
      </c>
      <c r="Y122" s="43">
        <v>7</v>
      </c>
      <c r="Z122" s="43">
        <v>200</v>
      </c>
      <c r="AA122" s="50" t="s">
        <v>4513</v>
      </c>
      <c r="AB122" s="42" t="s">
        <v>4520</v>
      </c>
    </row>
    <row r="123" spans="1:28">
      <c r="A123" s="9" t="s">
        <v>4423</v>
      </c>
      <c r="B123" s="10" t="s">
        <v>4473</v>
      </c>
      <c r="C123" s="10" t="s">
        <v>5786</v>
      </c>
      <c r="D123" s="10"/>
      <c r="E123" s="10" t="s">
        <v>5227</v>
      </c>
      <c r="F123" s="10" t="s">
        <v>5225</v>
      </c>
      <c r="G123" s="10">
        <v>1</v>
      </c>
      <c r="H123" s="10" t="s">
        <v>5227</v>
      </c>
      <c r="I123" s="48"/>
      <c r="J123" s="10">
        <f t="shared" si="1"/>
        <v>0</v>
      </c>
      <c r="K123" s="9"/>
      <c r="L123" s="48" t="s">
        <v>4961</v>
      </c>
      <c r="M123" s="10" t="s">
        <v>3961</v>
      </c>
      <c r="N123" s="10" t="s">
        <v>5390</v>
      </c>
      <c r="O123" s="10"/>
      <c r="P123" s="10" t="s">
        <v>5227</v>
      </c>
      <c r="Q123" s="10" t="s">
        <v>5225</v>
      </c>
      <c r="R123" s="10" t="s">
        <v>5225</v>
      </c>
      <c r="S123" s="10" t="s">
        <v>5227</v>
      </c>
      <c r="T123" s="9"/>
      <c r="V123" s="42" t="s">
        <v>5029</v>
      </c>
      <c r="W123" s="42" t="s">
        <v>4738</v>
      </c>
      <c r="X123" s="201" t="s">
        <v>4302</v>
      </c>
      <c r="Y123" s="43">
        <v>8</v>
      </c>
      <c r="Z123" s="43">
        <v>100</v>
      </c>
      <c r="AA123" s="43">
        <v>3</v>
      </c>
      <c r="AB123" s="42" t="s">
        <v>4303</v>
      </c>
    </row>
    <row r="124" spans="1:28">
      <c r="A124" s="9" t="s">
        <v>4475</v>
      </c>
      <c r="B124" s="10" t="s">
        <v>4471</v>
      </c>
      <c r="C124" s="10" t="s">
        <v>5786</v>
      </c>
      <c r="D124" s="10"/>
      <c r="E124" s="10" t="s">
        <v>5227</v>
      </c>
      <c r="F124" s="10" t="s">
        <v>5225</v>
      </c>
      <c r="G124" s="10">
        <v>1</v>
      </c>
      <c r="H124" s="10" t="s">
        <v>5225</v>
      </c>
      <c r="I124" s="48"/>
      <c r="J124" s="10">
        <f t="shared" si="1"/>
        <v>0</v>
      </c>
      <c r="K124" s="9"/>
      <c r="L124" s="48" t="s">
        <v>4959</v>
      </c>
      <c r="M124" s="10" t="s">
        <v>3961</v>
      </c>
      <c r="N124" s="10" t="s">
        <v>5390</v>
      </c>
      <c r="O124" s="10"/>
      <c r="P124" s="10" t="s">
        <v>5225</v>
      </c>
      <c r="Q124" s="10" t="s">
        <v>5225</v>
      </c>
      <c r="R124" s="10">
        <v>1</v>
      </c>
      <c r="S124" s="10" t="s">
        <v>5227</v>
      </c>
      <c r="T124" s="9"/>
      <c r="V124" s="42" t="s">
        <v>5029</v>
      </c>
      <c r="W124" s="42" t="s">
        <v>4829</v>
      </c>
      <c r="X124" s="201" t="s">
        <v>4390</v>
      </c>
      <c r="Y124" s="43">
        <v>9</v>
      </c>
      <c r="Z124" s="43">
        <v>100</v>
      </c>
      <c r="AA124" s="43">
        <v>2</v>
      </c>
      <c r="AB124" s="42" t="s">
        <v>4391</v>
      </c>
    </row>
    <row r="125" spans="1:28">
      <c r="A125" s="9" t="s">
        <v>4571</v>
      </c>
      <c r="B125" s="10" t="s">
        <v>4330</v>
      </c>
      <c r="C125" s="10" t="s">
        <v>5788</v>
      </c>
      <c r="D125" s="10"/>
      <c r="E125" s="10" t="s">
        <v>5227</v>
      </c>
      <c r="F125" s="10" t="s">
        <v>5225</v>
      </c>
      <c r="G125" s="10">
        <v>1</v>
      </c>
      <c r="H125" s="10" t="s">
        <v>5225</v>
      </c>
      <c r="I125" s="48"/>
      <c r="J125" s="10">
        <f t="shared" si="1"/>
        <v>0</v>
      </c>
      <c r="K125" s="9"/>
      <c r="L125" s="48" t="s">
        <v>4474</v>
      </c>
      <c r="M125" s="9" t="s">
        <v>102</v>
      </c>
      <c r="N125" s="10" t="s">
        <v>5349</v>
      </c>
      <c r="O125" s="10"/>
      <c r="P125" s="10" t="s">
        <v>5225</v>
      </c>
      <c r="Q125" s="10" t="s">
        <v>5225</v>
      </c>
      <c r="R125" s="10">
        <v>1</v>
      </c>
      <c r="S125" s="10" t="s">
        <v>5227</v>
      </c>
      <c r="T125" s="9"/>
      <c r="V125" s="42" t="s">
        <v>5029</v>
      </c>
      <c r="W125" s="42" t="s">
        <v>4855</v>
      </c>
      <c r="X125" s="201" t="s">
        <v>4527</v>
      </c>
      <c r="Y125" s="43">
        <v>10</v>
      </c>
      <c r="Z125" s="43">
        <v>100</v>
      </c>
      <c r="AA125" s="43">
        <v>2</v>
      </c>
      <c r="AB125" s="42" t="s">
        <v>4528</v>
      </c>
    </row>
    <row r="126" spans="1:28">
      <c r="A126" s="9" t="s">
        <v>4332</v>
      </c>
      <c r="B126" s="10" t="s">
        <v>4473</v>
      </c>
      <c r="C126" s="10" t="s">
        <v>5786</v>
      </c>
      <c r="D126" s="10"/>
      <c r="E126" s="10" t="s">
        <v>5227</v>
      </c>
      <c r="F126" s="10" t="s">
        <v>5225</v>
      </c>
      <c r="G126" s="10">
        <v>4</v>
      </c>
      <c r="H126" s="10" t="s">
        <v>5225</v>
      </c>
      <c r="I126" s="48"/>
      <c r="J126" s="10">
        <f t="shared" si="1"/>
        <v>0</v>
      </c>
      <c r="K126" s="9"/>
      <c r="L126" s="48" t="s">
        <v>4329</v>
      </c>
      <c r="M126" s="10" t="s">
        <v>166</v>
      </c>
      <c r="N126" s="10" t="s">
        <v>5786</v>
      </c>
      <c r="O126" s="10"/>
      <c r="P126" s="10" t="s">
        <v>5227</v>
      </c>
      <c r="Q126" s="10" t="s">
        <v>5225</v>
      </c>
      <c r="R126" s="10" t="s">
        <v>5225</v>
      </c>
      <c r="S126" s="10" t="s">
        <v>5227</v>
      </c>
      <c r="T126" s="9"/>
      <c r="V126" s="37" t="s">
        <v>4658</v>
      </c>
      <c r="W126" s="37" t="s">
        <v>4671</v>
      </c>
      <c r="X126" s="200" t="s">
        <v>4531</v>
      </c>
      <c r="Y126" s="38">
        <v>6</v>
      </c>
      <c r="Z126" s="38">
        <v>100</v>
      </c>
      <c r="AA126" s="38" t="s">
        <v>4561</v>
      </c>
      <c r="AB126" s="37" t="s">
        <v>4532</v>
      </c>
    </row>
    <row r="127" spans="1:28">
      <c r="A127" s="9" t="s">
        <v>4334</v>
      </c>
      <c r="B127" s="10" t="s">
        <v>103</v>
      </c>
      <c r="C127" s="10" t="s">
        <v>5786</v>
      </c>
      <c r="D127" s="10"/>
      <c r="E127" s="10" t="s">
        <v>5227</v>
      </c>
      <c r="F127" s="10" t="s">
        <v>5227</v>
      </c>
      <c r="G127" s="10">
        <v>2</v>
      </c>
      <c r="H127" s="10" t="s">
        <v>5225</v>
      </c>
      <c r="I127" s="48"/>
      <c r="J127" s="10">
        <f t="shared" si="1"/>
        <v>0</v>
      </c>
      <c r="K127" s="9"/>
      <c r="L127" s="48" t="s">
        <v>4331</v>
      </c>
      <c r="M127" s="10" t="s">
        <v>104</v>
      </c>
      <c r="N127" s="10" t="s">
        <v>5390</v>
      </c>
      <c r="O127" s="10"/>
      <c r="P127" s="10" t="s">
        <v>5225</v>
      </c>
      <c r="Q127" s="10" t="s">
        <v>5225</v>
      </c>
      <c r="R127" s="10">
        <v>1</v>
      </c>
      <c r="S127" s="10" t="s">
        <v>5227</v>
      </c>
      <c r="T127" s="9"/>
      <c r="V127" s="35" t="s">
        <v>4399</v>
      </c>
      <c r="W127" s="35" t="s">
        <v>4727</v>
      </c>
      <c r="X127" s="199" t="s">
        <v>4492</v>
      </c>
      <c r="Y127" s="36">
        <v>6</v>
      </c>
      <c r="Z127" s="36">
        <v>100</v>
      </c>
      <c r="AA127" s="36">
        <v>2</v>
      </c>
      <c r="AB127" s="35" t="s">
        <v>4637</v>
      </c>
    </row>
    <row r="128" spans="1:28">
      <c r="A128" s="9" t="s">
        <v>4576</v>
      </c>
      <c r="B128" s="10" t="s">
        <v>4473</v>
      </c>
      <c r="C128" s="10" t="s">
        <v>5390</v>
      </c>
      <c r="D128" s="10">
        <v>0</v>
      </c>
      <c r="E128" s="10" t="s">
        <v>5227</v>
      </c>
      <c r="F128" s="10" t="s">
        <v>5225</v>
      </c>
      <c r="G128" s="10">
        <v>1</v>
      </c>
      <c r="H128" s="10" t="s">
        <v>5227</v>
      </c>
      <c r="I128" s="48"/>
      <c r="J128" s="10">
        <f t="shared" si="1"/>
        <v>0</v>
      </c>
      <c r="K128" s="9"/>
      <c r="L128" s="48" t="s">
        <v>4333</v>
      </c>
      <c r="M128" s="10" t="s">
        <v>170</v>
      </c>
      <c r="N128" s="10" t="s">
        <v>5788</v>
      </c>
      <c r="O128" s="10"/>
      <c r="P128" s="10" t="s">
        <v>5227</v>
      </c>
      <c r="Q128" s="10" t="s">
        <v>5225</v>
      </c>
      <c r="R128" s="10" t="s">
        <v>5225</v>
      </c>
      <c r="S128" s="10" t="s">
        <v>5227</v>
      </c>
      <c r="T128" s="9"/>
      <c r="V128" s="35" t="s">
        <v>4399</v>
      </c>
      <c r="W128" s="35" t="s">
        <v>4727</v>
      </c>
      <c r="X128" s="199" t="s">
        <v>4645</v>
      </c>
      <c r="Y128" s="36">
        <v>7</v>
      </c>
      <c r="Z128" s="36">
        <v>100</v>
      </c>
      <c r="AA128" s="36">
        <v>1</v>
      </c>
      <c r="AB128" s="35" t="s">
        <v>4777</v>
      </c>
    </row>
    <row r="129" spans="1:28">
      <c r="A129" s="9" t="s">
        <v>4494</v>
      </c>
      <c r="B129" s="10" t="s">
        <v>4471</v>
      </c>
      <c r="C129" s="10" t="s">
        <v>5390</v>
      </c>
      <c r="D129" s="10"/>
      <c r="E129" s="10" t="s">
        <v>5227</v>
      </c>
      <c r="F129" s="10" t="s">
        <v>5225</v>
      </c>
      <c r="G129" s="10">
        <v>1</v>
      </c>
      <c r="H129" s="10" t="s">
        <v>5225</v>
      </c>
      <c r="I129" s="48"/>
      <c r="J129" s="10">
        <f t="shared" si="1"/>
        <v>0</v>
      </c>
      <c r="K129" s="9"/>
      <c r="L129" s="48" t="s">
        <v>4338</v>
      </c>
      <c r="M129" s="10" t="s">
        <v>3922</v>
      </c>
      <c r="N129" s="10" t="s">
        <v>5786</v>
      </c>
      <c r="O129" s="10"/>
      <c r="P129" s="10" t="s">
        <v>5227</v>
      </c>
      <c r="Q129" s="10" t="s">
        <v>5225</v>
      </c>
      <c r="R129" s="10" t="s">
        <v>5225</v>
      </c>
      <c r="S129" s="10" t="s">
        <v>5225</v>
      </c>
      <c r="T129" s="9"/>
      <c r="V129" s="35" t="s">
        <v>4399</v>
      </c>
      <c r="W129" s="35" t="s">
        <v>4523</v>
      </c>
      <c r="X129" s="199" t="s">
        <v>4254</v>
      </c>
      <c r="Y129" s="36">
        <v>9</v>
      </c>
      <c r="Z129" s="36">
        <v>200</v>
      </c>
      <c r="AA129" s="36">
        <v>1</v>
      </c>
      <c r="AB129" s="35" t="s">
        <v>4255</v>
      </c>
    </row>
    <row r="130" spans="1:28">
      <c r="A130" s="9" t="s">
        <v>4578</v>
      </c>
      <c r="B130" s="10" t="s">
        <v>4473</v>
      </c>
      <c r="C130" s="10" t="s">
        <v>5390</v>
      </c>
      <c r="D130" s="10"/>
      <c r="E130" s="10" t="s">
        <v>5227</v>
      </c>
      <c r="F130" s="10" t="s">
        <v>5225</v>
      </c>
      <c r="G130" s="10">
        <v>1</v>
      </c>
      <c r="H130" s="10" t="s">
        <v>5227</v>
      </c>
      <c r="I130" s="48"/>
      <c r="J130" s="10">
        <f t="shared" si="1"/>
        <v>0</v>
      </c>
      <c r="K130" s="9"/>
      <c r="L130" s="48" t="s">
        <v>4481</v>
      </c>
      <c r="M130" s="10" t="s">
        <v>4008</v>
      </c>
      <c r="N130" s="10" t="s">
        <v>5390</v>
      </c>
      <c r="O130" s="10"/>
      <c r="P130" s="10" t="s">
        <v>5227</v>
      </c>
      <c r="Q130" s="10" t="s">
        <v>5225</v>
      </c>
      <c r="R130" s="10" t="s">
        <v>5225</v>
      </c>
      <c r="S130" s="10" t="s">
        <v>5227</v>
      </c>
      <c r="T130" s="9"/>
      <c r="V130" s="35" t="s">
        <v>4399</v>
      </c>
      <c r="W130" s="35" t="s">
        <v>4258</v>
      </c>
      <c r="X130" s="199" t="s">
        <v>4259</v>
      </c>
      <c r="Y130" s="36">
        <v>11</v>
      </c>
      <c r="Z130" s="36">
        <v>300</v>
      </c>
      <c r="AA130" s="36">
        <v>1</v>
      </c>
      <c r="AB130" s="35" t="s">
        <v>4402</v>
      </c>
    </row>
    <row r="131" spans="1:28">
      <c r="A131" s="9" t="s">
        <v>4716</v>
      </c>
      <c r="B131" s="10" t="s">
        <v>4473</v>
      </c>
      <c r="C131" s="10" t="s">
        <v>5786</v>
      </c>
      <c r="D131" s="10"/>
      <c r="E131" s="10" t="s">
        <v>5227</v>
      </c>
      <c r="F131" s="10" t="s">
        <v>5225</v>
      </c>
      <c r="G131" s="10">
        <v>1</v>
      </c>
      <c r="H131" s="10" t="s">
        <v>5227</v>
      </c>
      <c r="I131" s="48"/>
      <c r="J131" s="10">
        <f t="shared" ref="J131:J194" si="2">IF(C131="Rank","NA",0)</f>
        <v>0</v>
      </c>
      <c r="K131" s="9"/>
      <c r="L131" s="48" t="s">
        <v>4495</v>
      </c>
      <c r="M131" s="10" t="s">
        <v>3875</v>
      </c>
      <c r="N131" s="10" t="s">
        <v>5787</v>
      </c>
      <c r="O131" s="10"/>
      <c r="P131" s="10" t="s">
        <v>5227</v>
      </c>
      <c r="Q131" s="10" t="s">
        <v>5225</v>
      </c>
      <c r="R131" s="10" t="s">
        <v>5225</v>
      </c>
      <c r="S131" s="10" t="s">
        <v>5227</v>
      </c>
      <c r="T131" s="9" t="s">
        <v>4625</v>
      </c>
      <c r="V131" s="35" t="s">
        <v>4399</v>
      </c>
      <c r="W131" s="35" t="s">
        <v>4305</v>
      </c>
      <c r="X131" s="199" t="s">
        <v>4409</v>
      </c>
      <c r="Y131" s="36">
        <v>11</v>
      </c>
      <c r="Z131" s="36">
        <v>100</v>
      </c>
      <c r="AA131" s="36">
        <v>2</v>
      </c>
      <c r="AB131" s="35" t="s">
        <v>4410</v>
      </c>
    </row>
    <row r="132" spans="1:28">
      <c r="A132" s="9" t="s">
        <v>4225</v>
      </c>
      <c r="B132" s="10" t="s">
        <v>4541</v>
      </c>
      <c r="C132" s="10" t="s">
        <v>5786</v>
      </c>
      <c r="D132" s="10"/>
      <c r="E132" s="10" t="s">
        <v>5227</v>
      </c>
      <c r="F132" s="10" t="s">
        <v>5225</v>
      </c>
      <c r="G132" s="10">
        <v>1</v>
      </c>
      <c r="H132" s="10" t="s">
        <v>5225</v>
      </c>
      <c r="I132" s="48"/>
      <c r="J132" s="10">
        <f t="shared" si="2"/>
        <v>0</v>
      </c>
      <c r="K132" s="9"/>
      <c r="L132" s="48" t="s">
        <v>4900</v>
      </c>
      <c r="M132" s="10" t="s">
        <v>4007</v>
      </c>
      <c r="N132" s="10" t="s">
        <v>5390</v>
      </c>
      <c r="O132" s="10"/>
      <c r="P132" s="10" t="s">
        <v>5227</v>
      </c>
      <c r="Q132" s="10" t="s">
        <v>5225</v>
      </c>
      <c r="R132" s="10" t="s">
        <v>5225</v>
      </c>
      <c r="S132" s="10" t="s">
        <v>5227</v>
      </c>
      <c r="T132" s="9"/>
      <c r="V132" s="37" t="s">
        <v>4399</v>
      </c>
      <c r="W132" s="37" t="s">
        <v>4727</v>
      </c>
      <c r="X132" s="200" t="s">
        <v>4517</v>
      </c>
      <c r="Y132" s="38">
        <v>13</v>
      </c>
      <c r="Z132" s="38">
        <v>100</v>
      </c>
      <c r="AA132" s="39">
        <v>4</v>
      </c>
      <c r="AB132" s="37" t="s">
        <v>4659</v>
      </c>
    </row>
    <row r="133" spans="1:28">
      <c r="A133" s="9" t="s">
        <v>4235</v>
      </c>
      <c r="B133" s="69" t="s">
        <v>4473</v>
      </c>
      <c r="C133" s="10" t="s">
        <v>5786</v>
      </c>
      <c r="D133" s="10"/>
      <c r="E133" s="10" t="s">
        <v>5227</v>
      </c>
      <c r="F133" s="10" t="s">
        <v>5227</v>
      </c>
      <c r="G133" s="10" t="s">
        <v>5225</v>
      </c>
      <c r="H133" s="10" t="s">
        <v>5225</v>
      </c>
      <c r="I133" s="48"/>
      <c r="J133" s="10">
        <f t="shared" si="2"/>
        <v>0</v>
      </c>
      <c r="K133" s="9"/>
      <c r="L133" s="48" t="s">
        <v>4820</v>
      </c>
      <c r="M133" s="10" t="s">
        <v>3877</v>
      </c>
      <c r="N133" s="10" t="s">
        <v>5390</v>
      </c>
      <c r="O133" s="10"/>
      <c r="P133" s="10" t="s">
        <v>5225</v>
      </c>
      <c r="Q133" s="10" t="s">
        <v>5225</v>
      </c>
      <c r="R133" s="10" t="s">
        <v>4583</v>
      </c>
      <c r="S133" s="10" t="s">
        <v>5227</v>
      </c>
      <c r="T133" s="9"/>
      <c r="V133" s="35" t="s">
        <v>5032</v>
      </c>
      <c r="W133" s="35" t="s">
        <v>4646</v>
      </c>
      <c r="X133" s="199" t="s">
        <v>4414</v>
      </c>
      <c r="Y133" s="36">
        <v>6</v>
      </c>
      <c r="Z133" s="36">
        <v>100</v>
      </c>
      <c r="AA133" s="36" t="s">
        <v>4415</v>
      </c>
      <c r="AB133" s="35" t="s">
        <v>4416</v>
      </c>
    </row>
    <row r="134" spans="1:28">
      <c r="A134" s="9" t="s">
        <v>105</v>
      </c>
      <c r="B134" s="10" t="s">
        <v>106</v>
      </c>
      <c r="C134" s="10" t="s">
        <v>86</v>
      </c>
      <c r="D134" s="10"/>
      <c r="E134" s="10" t="s">
        <v>158</v>
      </c>
      <c r="F134" s="10" t="s">
        <v>159</v>
      </c>
      <c r="G134" s="10">
        <v>1</v>
      </c>
      <c r="H134" s="10" t="s">
        <v>159</v>
      </c>
      <c r="I134" s="48"/>
      <c r="J134" s="10">
        <f t="shared" si="2"/>
        <v>0</v>
      </c>
      <c r="K134" s="9"/>
      <c r="L134" s="48" t="s">
        <v>4230</v>
      </c>
      <c r="M134" s="10" t="s">
        <v>4720</v>
      </c>
      <c r="N134" s="10" t="s">
        <v>5390</v>
      </c>
      <c r="O134" s="10"/>
      <c r="P134" s="10" t="s">
        <v>5225</v>
      </c>
      <c r="Q134" s="10" t="s">
        <v>5225</v>
      </c>
      <c r="R134" s="10">
        <v>1</v>
      </c>
      <c r="S134" s="10" t="s">
        <v>5227</v>
      </c>
      <c r="T134" s="9"/>
      <c r="V134" s="35" t="s">
        <v>5032</v>
      </c>
      <c r="W134" s="35" t="s">
        <v>4431</v>
      </c>
      <c r="X134" s="199" t="s">
        <v>4432</v>
      </c>
      <c r="Y134" s="36">
        <v>6</v>
      </c>
      <c r="Z134" s="36">
        <v>100</v>
      </c>
      <c r="AA134" s="40">
        <v>2</v>
      </c>
      <c r="AB134" s="35" t="s">
        <v>4433</v>
      </c>
    </row>
    <row r="135" spans="1:28">
      <c r="A135" s="9" t="s">
        <v>4867</v>
      </c>
      <c r="B135" s="10" t="s">
        <v>107</v>
      </c>
      <c r="C135" s="10" t="s">
        <v>5788</v>
      </c>
      <c r="D135" s="10"/>
      <c r="E135" s="10" t="s">
        <v>5227</v>
      </c>
      <c r="F135" s="10" t="s">
        <v>5225</v>
      </c>
      <c r="G135" s="10" t="s">
        <v>5225</v>
      </c>
      <c r="H135" s="10" t="s">
        <v>5227</v>
      </c>
      <c r="I135" s="48"/>
      <c r="J135" s="10">
        <f t="shared" si="2"/>
        <v>0</v>
      </c>
      <c r="K135" s="9"/>
      <c r="L135" s="48" t="s">
        <v>4749</v>
      </c>
      <c r="M135" s="10" t="s">
        <v>3922</v>
      </c>
      <c r="N135" s="10" t="s">
        <v>5786</v>
      </c>
      <c r="O135" s="10"/>
      <c r="P135" s="10" t="s">
        <v>5227</v>
      </c>
      <c r="Q135" s="10" t="s">
        <v>5225</v>
      </c>
      <c r="R135" s="10" t="s">
        <v>5225</v>
      </c>
      <c r="S135" s="10" t="s">
        <v>5225</v>
      </c>
      <c r="T135" s="9"/>
      <c r="V135" s="37" t="s">
        <v>5032</v>
      </c>
      <c r="W135" s="37" t="s">
        <v>4436</v>
      </c>
      <c r="X135" s="200" t="s">
        <v>4437</v>
      </c>
      <c r="Y135" s="38">
        <v>11</v>
      </c>
      <c r="Z135" s="38">
        <v>100</v>
      </c>
      <c r="AA135" s="38">
        <v>6</v>
      </c>
      <c r="AB135" s="37" t="s">
        <v>4438</v>
      </c>
    </row>
    <row r="136" spans="1:28">
      <c r="A136" s="9" t="s">
        <v>4381</v>
      </c>
      <c r="B136" s="10" t="s">
        <v>4667</v>
      </c>
      <c r="C136" s="10" t="s">
        <v>5788</v>
      </c>
      <c r="D136" s="10"/>
      <c r="E136" s="10" t="s">
        <v>5227</v>
      </c>
      <c r="F136" s="10" t="s">
        <v>5225</v>
      </c>
      <c r="G136" s="10">
        <v>1</v>
      </c>
      <c r="H136" s="10" t="s">
        <v>5225</v>
      </c>
      <c r="I136" s="48"/>
      <c r="J136" s="10">
        <f t="shared" si="2"/>
        <v>0</v>
      </c>
      <c r="K136" s="9"/>
      <c r="L136" s="48" t="s">
        <v>171</v>
      </c>
      <c r="M136" s="10" t="s">
        <v>3919</v>
      </c>
      <c r="N136" s="10" t="s">
        <v>5786</v>
      </c>
      <c r="O136" s="10"/>
      <c r="P136" s="10" t="s">
        <v>5227</v>
      </c>
      <c r="Q136" s="10" t="s">
        <v>5225</v>
      </c>
      <c r="R136" s="10" t="s">
        <v>5225</v>
      </c>
      <c r="S136" s="10" t="s">
        <v>5227</v>
      </c>
      <c r="T136" s="9"/>
      <c r="V136" s="35" t="s">
        <v>4472</v>
      </c>
      <c r="W136" s="35" t="s">
        <v>5342</v>
      </c>
      <c r="X136" s="199" t="s">
        <v>4441</v>
      </c>
      <c r="Y136" s="36">
        <v>4</v>
      </c>
      <c r="Z136" s="36">
        <v>100</v>
      </c>
      <c r="AA136" s="40" t="s">
        <v>4931</v>
      </c>
      <c r="AB136" s="35" t="s">
        <v>4153</v>
      </c>
    </row>
    <row r="137" spans="1:28">
      <c r="A137" s="9" t="s">
        <v>4373</v>
      </c>
      <c r="B137" s="10" t="s">
        <v>5233</v>
      </c>
      <c r="C137" s="10" t="s">
        <v>5390</v>
      </c>
      <c r="D137" s="10">
        <v>0</v>
      </c>
      <c r="E137" s="10" t="s">
        <v>5227</v>
      </c>
      <c r="F137" s="10" t="s">
        <v>5227</v>
      </c>
      <c r="G137" s="10">
        <v>1</v>
      </c>
      <c r="H137" s="10" t="s">
        <v>5225</v>
      </c>
      <c r="I137" s="48" t="s">
        <v>5341</v>
      </c>
      <c r="J137" s="10">
        <f t="shared" si="2"/>
        <v>0</v>
      </c>
      <c r="K137" s="9"/>
      <c r="L137" s="48" t="s">
        <v>4382</v>
      </c>
      <c r="M137" s="10" t="s">
        <v>3920</v>
      </c>
      <c r="N137" s="10" t="s">
        <v>5786</v>
      </c>
      <c r="O137" s="10"/>
      <c r="P137" s="10" t="s">
        <v>5227</v>
      </c>
      <c r="Q137" s="10" t="s">
        <v>5225</v>
      </c>
      <c r="R137" s="10" t="s">
        <v>5225</v>
      </c>
      <c r="S137" s="10" t="s">
        <v>5227</v>
      </c>
      <c r="T137" s="9" t="s">
        <v>4625</v>
      </c>
      <c r="V137" s="35" t="s">
        <v>4472</v>
      </c>
      <c r="W137" s="35" t="s">
        <v>4644</v>
      </c>
      <c r="X137" s="199" t="s">
        <v>4163</v>
      </c>
      <c r="Y137" s="36">
        <v>5</v>
      </c>
      <c r="Z137" s="36">
        <v>100</v>
      </c>
      <c r="AA137" s="36">
        <v>2</v>
      </c>
      <c r="AB137" s="35" t="s">
        <v>4164</v>
      </c>
    </row>
    <row r="138" spans="1:28">
      <c r="A138" s="9" t="s">
        <v>4521</v>
      </c>
      <c r="B138" s="10" t="s">
        <v>4471</v>
      </c>
      <c r="C138" s="10" t="s">
        <v>5787</v>
      </c>
      <c r="D138" s="10"/>
      <c r="E138" s="10" t="s">
        <v>5227</v>
      </c>
      <c r="F138" s="10" t="s">
        <v>5225</v>
      </c>
      <c r="G138" s="10">
        <v>1</v>
      </c>
      <c r="H138" s="10" t="s">
        <v>5225</v>
      </c>
      <c r="I138" s="48"/>
      <c r="J138" s="10">
        <f t="shared" si="2"/>
        <v>0</v>
      </c>
      <c r="K138" s="9"/>
      <c r="L138" s="48" t="s">
        <v>4374</v>
      </c>
      <c r="M138" s="10" t="s">
        <v>3922</v>
      </c>
      <c r="N138" s="10" t="s">
        <v>5786</v>
      </c>
      <c r="O138" s="10"/>
      <c r="P138" s="10" t="s">
        <v>5227</v>
      </c>
      <c r="Q138" s="10" t="s">
        <v>5225</v>
      </c>
      <c r="R138" s="10" t="s">
        <v>5225</v>
      </c>
      <c r="S138" s="10" t="s">
        <v>5227</v>
      </c>
      <c r="T138" s="9"/>
      <c r="V138" s="35" t="s">
        <v>4472</v>
      </c>
      <c r="W138" s="35" t="s">
        <v>5436</v>
      </c>
      <c r="X138" s="199" t="s">
        <v>4924</v>
      </c>
      <c r="Y138" s="36">
        <v>5</v>
      </c>
      <c r="Z138" s="36">
        <v>300</v>
      </c>
      <c r="AA138" s="36">
        <v>0</v>
      </c>
      <c r="AB138" s="35" t="s">
        <v>4925</v>
      </c>
    </row>
    <row r="139" spans="1:28">
      <c r="A139" s="9" t="s">
        <v>5229</v>
      </c>
      <c r="B139" s="10" t="s">
        <v>4473</v>
      </c>
      <c r="C139" s="10" t="s">
        <v>5788</v>
      </c>
      <c r="D139" s="10"/>
      <c r="E139" s="10" t="s">
        <v>5227</v>
      </c>
      <c r="F139" s="10" t="s">
        <v>5225</v>
      </c>
      <c r="G139" s="10">
        <v>1</v>
      </c>
      <c r="H139" s="10" t="s">
        <v>5225</v>
      </c>
      <c r="I139" s="48"/>
      <c r="J139" s="10">
        <f t="shared" si="2"/>
        <v>0</v>
      </c>
      <c r="K139" s="9"/>
      <c r="L139" s="48" t="s">
        <v>4968</v>
      </c>
      <c r="M139" s="9" t="s">
        <v>108</v>
      </c>
      <c r="N139" s="10" t="s">
        <v>5787</v>
      </c>
      <c r="O139" s="10"/>
      <c r="P139" s="10" t="s">
        <v>5225</v>
      </c>
      <c r="Q139" s="10" t="s">
        <v>5225</v>
      </c>
      <c r="R139" s="10">
        <v>1</v>
      </c>
      <c r="S139" s="10" t="s">
        <v>5227</v>
      </c>
      <c r="T139" s="9"/>
      <c r="V139" s="35" t="s">
        <v>4472</v>
      </c>
      <c r="W139" s="35" t="s">
        <v>4440</v>
      </c>
      <c r="X139" s="199" t="s">
        <v>4168</v>
      </c>
      <c r="Y139" s="36">
        <v>5</v>
      </c>
      <c r="Z139" s="36">
        <v>100</v>
      </c>
      <c r="AA139" s="36">
        <v>2</v>
      </c>
      <c r="AB139" s="35" t="s">
        <v>4169</v>
      </c>
    </row>
    <row r="140" spans="1:28">
      <c r="A140" s="9" t="s">
        <v>4866</v>
      </c>
      <c r="B140" s="10" t="s">
        <v>4590</v>
      </c>
      <c r="C140" s="10" t="s">
        <v>5786</v>
      </c>
      <c r="D140" s="10"/>
      <c r="E140" s="10" t="s">
        <v>5227</v>
      </c>
      <c r="F140" s="10" t="s">
        <v>5225</v>
      </c>
      <c r="G140" s="10">
        <v>1</v>
      </c>
      <c r="H140" s="10" t="s">
        <v>5227</v>
      </c>
      <c r="I140" s="48" t="s">
        <v>4526</v>
      </c>
      <c r="J140" s="10">
        <f t="shared" si="2"/>
        <v>0</v>
      </c>
      <c r="K140" s="9"/>
      <c r="L140" s="48" t="s">
        <v>4389</v>
      </c>
      <c r="M140" s="10" t="s">
        <v>109</v>
      </c>
      <c r="N140" s="10" t="s">
        <v>5786</v>
      </c>
      <c r="O140" s="10"/>
      <c r="P140" s="10" t="s">
        <v>5227</v>
      </c>
      <c r="Q140" s="10" t="s">
        <v>5225</v>
      </c>
      <c r="R140" s="10" t="s">
        <v>5225</v>
      </c>
      <c r="S140" s="10" t="s">
        <v>5227</v>
      </c>
      <c r="T140" s="9"/>
      <c r="V140" s="37" t="s">
        <v>4472</v>
      </c>
      <c r="W140" s="37" t="s">
        <v>5230</v>
      </c>
      <c r="X140" s="200" t="s">
        <v>4173</v>
      </c>
      <c r="Y140" s="38">
        <v>5</v>
      </c>
      <c r="Z140" s="38">
        <v>100</v>
      </c>
      <c r="AA140" s="38" t="s">
        <v>4174</v>
      </c>
      <c r="AB140" s="37" t="s">
        <v>4308</v>
      </c>
    </row>
    <row r="141" spans="1:28">
      <c r="A141" s="9" t="s">
        <v>4529</v>
      </c>
      <c r="B141" s="10" t="s">
        <v>142</v>
      </c>
      <c r="C141" s="10" t="s">
        <v>5390</v>
      </c>
      <c r="D141" s="10"/>
      <c r="E141" s="10" t="s">
        <v>5227</v>
      </c>
      <c r="F141" s="10" t="s">
        <v>5227</v>
      </c>
      <c r="G141" s="10">
        <v>1</v>
      </c>
      <c r="H141" s="10" t="s">
        <v>5225</v>
      </c>
      <c r="I141" s="48"/>
      <c r="J141" s="10">
        <f t="shared" si="2"/>
        <v>0</v>
      </c>
      <c r="K141" s="9"/>
      <c r="L141" s="48" t="s">
        <v>4798</v>
      </c>
      <c r="M141" s="10" t="s">
        <v>3919</v>
      </c>
      <c r="N141" s="10" t="s">
        <v>5390</v>
      </c>
      <c r="O141" s="10">
        <v>3</v>
      </c>
      <c r="P141" s="10" t="s">
        <v>5225</v>
      </c>
      <c r="Q141" s="10" t="s">
        <v>5225</v>
      </c>
      <c r="R141" s="10">
        <v>2</v>
      </c>
      <c r="S141" s="10" t="s">
        <v>5227</v>
      </c>
      <c r="T141" s="9"/>
      <c r="V141" s="35" t="s">
        <v>4472</v>
      </c>
      <c r="W141" s="35" t="s">
        <v>4310</v>
      </c>
      <c r="X141" s="199" t="s">
        <v>4311</v>
      </c>
      <c r="Y141" s="36">
        <v>5</v>
      </c>
      <c r="Z141" s="36">
        <v>200</v>
      </c>
      <c r="AA141" s="36" t="s">
        <v>4312</v>
      </c>
      <c r="AB141" s="35" t="s">
        <v>4453</v>
      </c>
    </row>
    <row r="142" spans="1:28">
      <c r="A142" s="9" t="s">
        <v>4533</v>
      </c>
      <c r="B142" s="10" t="s">
        <v>4330</v>
      </c>
      <c r="C142" s="10" t="s">
        <v>5787</v>
      </c>
      <c r="D142" s="10"/>
      <c r="E142" s="10" t="s">
        <v>5227</v>
      </c>
      <c r="F142" s="10" t="s">
        <v>5225</v>
      </c>
      <c r="G142" s="10">
        <v>2</v>
      </c>
      <c r="H142" s="10" t="s">
        <v>5225</v>
      </c>
      <c r="I142" s="48"/>
      <c r="J142" s="10">
        <f t="shared" si="2"/>
        <v>0</v>
      </c>
      <c r="K142" s="9"/>
      <c r="L142" s="48" t="s">
        <v>4530</v>
      </c>
      <c r="M142" s="10" t="s">
        <v>3918</v>
      </c>
      <c r="N142" s="10" t="s">
        <v>5390</v>
      </c>
      <c r="O142" s="10"/>
      <c r="P142" s="10" t="s">
        <v>5225</v>
      </c>
      <c r="Q142" s="10" t="s">
        <v>5225</v>
      </c>
      <c r="R142" s="10" t="s">
        <v>5225</v>
      </c>
      <c r="S142" s="10" t="s">
        <v>5227</v>
      </c>
      <c r="T142" s="9"/>
      <c r="V142" s="35" t="s">
        <v>4472</v>
      </c>
      <c r="W142" s="35" t="s">
        <v>5436</v>
      </c>
      <c r="X142" s="199" t="s">
        <v>5121</v>
      </c>
      <c r="Y142" s="36">
        <v>7</v>
      </c>
      <c r="Z142" s="36">
        <v>100</v>
      </c>
      <c r="AA142" s="36">
        <v>0</v>
      </c>
      <c r="AB142" s="35" t="s">
        <v>5120</v>
      </c>
    </row>
    <row r="143" spans="1:28">
      <c r="A143" s="9" t="s">
        <v>4723</v>
      </c>
      <c r="B143" s="10" t="s">
        <v>4400</v>
      </c>
      <c r="C143" s="10" t="s">
        <v>5596</v>
      </c>
      <c r="D143" s="10">
        <v>3</v>
      </c>
      <c r="E143" s="10" t="s">
        <v>5225</v>
      </c>
      <c r="F143" s="10" t="s">
        <v>5225</v>
      </c>
      <c r="G143" s="10">
        <v>1</v>
      </c>
      <c r="H143" s="10" t="s">
        <v>5227</v>
      </c>
      <c r="I143" s="48"/>
      <c r="J143" s="10">
        <f t="shared" si="2"/>
        <v>0</v>
      </c>
      <c r="K143" s="9"/>
      <c r="L143" s="48" t="s">
        <v>4534</v>
      </c>
      <c r="M143" s="10" t="s">
        <v>3922</v>
      </c>
      <c r="N143" s="10" t="s">
        <v>5390</v>
      </c>
      <c r="O143" s="10"/>
      <c r="P143" s="10" t="s">
        <v>5227</v>
      </c>
      <c r="Q143" s="10" t="s">
        <v>5225</v>
      </c>
      <c r="R143" s="10" t="s">
        <v>5225</v>
      </c>
      <c r="S143" s="10" t="s">
        <v>5225</v>
      </c>
      <c r="T143" s="9"/>
      <c r="V143" s="35" t="s">
        <v>4472</v>
      </c>
      <c r="W143" s="35" t="s">
        <v>4477</v>
      </c>
      <c r="X143" s="199" t="s">
        <v>4478</v>
      </c>
      <c r="Y143" s="36">
        <v>8</v>
      </c>
      <c r="Z143" s="36">
        <v>400</v>
      </c>
      <c r="AA143" s="36">
        <v>2</v>
      </c>
      <c r="AB143" s="35" t="s">
        <v>4456</v>
      </c>
    </row>
    <row r="144" spans="1:28">
      <c r="A144" s="9" t="s">
        <v>4253</v>
      </c>
      <c r="B144" s="10" t="s">
        <v>4590</v>
      </c>
      <c r="C144" s="10" t="s">
        <v>5787</v>
      </c>
      <c r="D144" s="10"/>
      <c r="E144" s="10" t="s">
        <v>5225</v>
      </c>
      <c r="F144" s="10" t="s">
        <v>5227</v>
      </c>
      <c r="G144" s="10">
        <v>1</v>
      </c>
      <c r="H144" s="10" t="s">
        <v>5225</v>
      </c>
      <c r="I144" s="48" t="s">
        <v>4301</v>
      </c>
      <c r="J144" s="10">
        <f t="shared" si="2"/>
        <v>0</v>
      </c>
      <c r="K144" s="9"/>
      <c r="L144" s="48" t="s">
        <v>4401</v>
      </c>
      <c r="M144" s="10" t="s">
        <v>170</v>
      </c>
      <c r="N144" s="10" t="s">
        <v>5786</v>
      </c>
      <c r="O144" s="10"/>
      <c r="P144" s="10" t="s">
        <v>5227</v>
      </c>
      <c r="Q144" s="10" t="s">
        <v>4252</v>
      </c>
      <c r="R144" s="10">
        <v>1</v>
      </c>
      <c r="S144" s="10" t="s">
        <v>5227</v>
      </c>
      <c r="T144" s="9"/>
      <c r="V144" s="35" t="s">
        <v>4472</v>
      </c>
      <c r="W144" s="35" t="s">
        <v>5230</v>
      </c>
      <c r="X144" s="199" t="s">
        <v>4321</v>
      </c>
      <c r="Y144" s="36">
        <v>9</v>
      </c>
      <c r="Z144" s="36">
        <v>100</v>
      </c>
      <c r="AA144" s="36" t="s">
        <v>4762</v>
      </c>
      <c r="AB144" s="35" t="s">
        <v>4463</v>
      </c>
    </row>
    <row r="145" spans="1:28">
      <c r="A145" s="9" t="s">
        <v>4256</v>
      </c>
      <c r="B145" s="10" t="s">
        <v>4590</v>
      </c>
      <c r="C145" s="10" t="s">
        <v>5597</v>
      </c>
      <c r="D145" s="10"/>
      <c r="E145" s="10" t="s">
        <v>5225</v>
      </c>
      <c r="F145" s="10" t="s">
        <v>5225</v>
      </c>
      <c r="G145" s="10" t="s">
        <v>5225</v>
      </c>
      <c r="H145" s="10" t="s">
        <v>5225</v>
      </c>
      <c r="I145" s="48" t="s">
        <v>4301</v>
      </c>
      <c r="J145" s="10">
        <f t="shared" si="2"/>
        <v>0</v>
      </c>
      <c r="K145" s="9"/>
      <c r="L145" s="48" t="s">
        <v>4821</v>
      </c>
      <c r="M145" s="10" t="s">
        <v>4180</v>
      </c>
      <c r="N145" s="10" t="s">
        <v>5390</v>
      </c>
      <c r="O145" s="10"/>
      <c r="P145" s="10" t="s">
        <v>5225</v>
      </c>
      <c r="Q145" s="10" t="s">
        <v>5225</v>
      </c>
      <c r="R145" s="10">
        <v>1</v>
      </c>
      <c r="S145" s="10" t="s">
        <v>5227</v>
      </c>
      <c r="T145" s="9"/>
      <c r="V145" s="37" t="s">
        <v>4472</v>
      </c>
      <c r="W145" s="37" t="s">
        <v>5137</v>
      </c>
      <c r="X145" s="200" t="s">
        <v>4848</v>
      </c>
      <c r="Y145" s="38">
        <v>11</v>
      </c>
      <c r="Z145" s="38">
        <v>100</v>
      </c>
      <c r="AA145" s="39" t="s">
        <v>4762</v>
      </c>
      <c r="AB145" s="37" t="s">
        <v>4466</v>
      </c>
    </row>
    <row r="146" spans="1:28">
      <c r="A146" s="9" t="s">
        <v>4403</v>
      </c>
      <c r="B146" s="10" t="s">
        <v>4590</v>
      </c>
      <c r="C146" s="10" t="s">
        <v>5788</v>
      </c>
      <c r="D146" s="10"/>
      <c r="E146" s="10" t="s">
        <v>5227</v>
      </c>
      <c r="F146" s="10" t="s">
        <v>5227</v>
      </c>
      <c r="G146" s="10" t="s">
        <v>5225</v>
      </c>
      <c r="H146" s="10" t="s">
        <v>5225</v>
      </c>
      <c r="I146" s="48" t="s">
        <v>4490</v>
      </c>
      <c r="J146" s="10">
        <f t="shared" si="2"/>
        <v>0</v>
      </c>
      <c r="K146" s="9"/>
      <c r="L146" s="48" t="s">
        <v>4257</v>
      </c>
      <c r="M146" s="10" t="s">
        <v>170</v>
      </c>
      <c r="N146" s="10" t="s">
        <v>5390</v>
      </c>
      <c r="O146" s="10"/>
      <c r="P146" s="10" t="s">
        <v>5225</v>
      </c>
      <c r="Q146" s="10" t="s">
        <v>5225</v>
      </c>
      <c r="R146" s="10">
        <v>2</v>
      </c>
      <c r="S146" s="10" t="s">
        <v>5227</v>
      </c>
      <c r="T146" s="9"/>
      <c r="V146" s="35" t="s">
        <v>5043</v>
      </c>
      <c r="W146" s="42" t="s">
        <v>4468</v>
      </c>
      <c r="X146" s="201" t="s">
        <v>4469</v>
      </c>
      <c r="Y146" s="43">
        <v>5</v>
      </c>
      <c r="Z146" s="43">
        <v>100</v>
      </c>
      <c r="AA146" s="50">
        <v>0</v>
      </c>
      <c r="AB146" s="42" t="s">
        <v>4340</v>
      </c>
    </row>
    <row r="147" spans="1:28">
      <c r="A147" s="9" t="s">
        <v>5434</v>
      </c>
      <c r="B147" s="10" t="s">
        <v>4400</v>
      </c>
      <c r="C147" s="10" t="s">
        <v>5349</v>
      </c>
      <c r="D147" s="10"/>
      <c r="E147" s="10" t="s">
        <v>5225</v>
      </c>
      <c r="F147" s="10" t="s">
        <v>5225</v>
      </c>
      <c r="G147" s="10" t="s">
        <v>5225</v>
      </c>
      <c r="H147" s="10" t="s">
        <v>5225</v>
      </c>
      <c r="I147" s="48"/>
      <c r="J147" s="10" t="str">
        <f t="shared" si="2"/>
        <v>NA</v>
      </c>
      <c r="K147" s="9"/>
      <c r="L147" s="48" t="s">
        <v>4958</v>
      </c>
      <c r="M147" s="10" t="s">
        <v>4180</v>
      </c>
      <c r="N147" s="10" t="s">
        <v>5390</v>
      </c>
      <c r="O147" s="10"/>
      <c r="P147" s="10" t="s">
        <v>5225</v>
      </c>
      <c r="Q147" s="10" t="s">
        <v>5225</v>
      </c>
      <c r="R147" s="10">
        <v>1</v>
      </c>
      <c r="S147" s="10" t="s">
        <v>5227</v>
      </c>
      <c r="T147" s="9"/>
      <c r="V147" s="35" t="s">
        <v>5043</v>
      </c>
      <c r="W147" s="42" t="s">
        <v>4569</v>
      </c>
      <c r="X147" s="201" t="s">
        <v>4343</v>
      </c>
      <c r="Y147" s="43">
        <v>5</v>
      </c>
      <c r="Z147" s="43">
        <v>300</v>
      </c>
      <c r="AA147" s="50">
        <v>0</v>
      </c>
      <c r="AB147" s="42" t="s">
        <v>4344</v>
      </c>
    </row>
    <row r="148" spans="1:28">
      <c r="A148" s="9" t="s">
        <v>4412</v>
      </c>
      <c r="B148" s="10" t="s">
        <v>4400</v>
      </c>
      <c r="C148" s="10" t="s">
        <v>5349</v>
      </c>
      <c r="D148" s="10"/>
      <c r="E148" s="10" t="s">
        <v>5225</v>
      </c>
      <c r="F148" s="10" t="s">
        <v>5225</v>
      </c>
      <c r="G148" s="10" t="s">
        <v>5225</v>
      </c>
      <c r="H148" s="10" t="s">
        <v>5225</v>
      </c>
      <c r="I148" s="48"/>
      <c r="J148" s="10" t="str">
        <f t="shared" si="2"/>
        <v>NA</v>
      </c>
      <c r="K148" s="9"/>
      <c r="L148" s="48" t="s">
        <v>4411</v>
      </c>
      <c r="M148" s="10" t="s">
        <v>3922</v>
      </c>
      <c r="N148" s="10" t="s">
        <v>5788</v>
      </c>
      <c r="O148" s="10"/>
      <c r="P148" s="10" t="s">
        <v>5227</v>
      </c>
      <c r="Q148" s="10" t="s">
        <v>5225</v>
      </c>
      <c r="R148" s="10" t="s">
        <v>5225</v>
      </c>
      <c r="S148" s="10" t="s">
        <v>5225</v>
      </c>
      <c r="T148" s="9"/>
      <c r="V148" s="35" t="s">
        <v>5043</v>
      </c>
      <c r="W148" s="35" t="s">
        <v>4796</v>
      </c>
      <c r="X148" s="199" t="s">
        <v>4337</v>
      </c>
      <c r="Y148" s="36">
        <v>5</v>
      </c>
      <c r="Z148" s="36">
        <v>100</v>
      </c>
      <c r="AA148" s="36">
        <v>2</v>
      </c>
      <c r="AB148" s="35" t="s">
        <v>4345</v>
      </c>
    </row>
    <row r="149" spans="1:28">
      <c r="A149" s="9" t="s">
        <v>4805</v>
      </c>
      <c r="B149" s="10" t="s">
        <v>4400</v>
      </c>
      <c r="C149" s="10" t="s">
        <v>5786</v>
      </c>
      <c r="D149" s="10"/>
      <c r="E149" s="10" t="s">
        <v>5225</v>
      </c>
      <c r="F149" s="10" t="s">
        <v>5225</v>
      </c>
      <c r="G149" s="10" t="s">
        <v>5225</v>
      </c>
      <c r="H149" s="10" t="s">
        <v>5225</v>
      </c>
      <c r="I149" s="48"/>
      <c r="J149" s="10">
        <f t="shared" si="2"/>
        <v>0</v>
      </c>
      <c r="K149" s="9"/>
      <c r="L149" s="48" t="s">
        <v>4413</v>
      </c>
      <c r="M149" s="10" t="s">
        <v>3883</v>
      </c>
      <c r="N149" s="10" t="s">
        <v>5390</v>
      </c>
      <c r="O149" s="10"/>
      <c r="P149" s="10" t="s">
        <v>5227</v>
      </c>
      <c r="Q149" s="10" t="s">
        <v>5225</v>
      </c>
      <c r="R149" s="10">
        <v>1</v>
      </c>
      <c r="S149" s="10" t="s">
        <v>5227</v>
      </c>
      <c r="T149" s="9" t="s">
        <v>4501</v>
      </c>
      <c r="V149" s="35" t="s">
        <v>5043</v>
      </c>
      <c r="W149" s="35" t="s">
        <v>4796</v>
      </c>
      <c r="X149" s="199" t="s">
        <v>4701</v>
      </c>
      <c r="Y149" s="36">
        <v>5</v>
      </c>
      <c r="Z149" s="36">
        <v>100</v>
      </c>
      <c r="AA149" s="36">
        <v>1</v>
      </c>
      <c r="AB149" s="35" t="s">
        <v>4702</v>
      </c>
    </row>
    <row r="150" spans="1:28">
      <c r="A150" s="9" t="s">
        <v>4434</v>
      </c>
      <c r="B150" s="10" t="s">
        <v>4471</v>
      </c>
      <c r="C150" s="10" t="s">
        <v>5787</v>
      </c>
      <c r="D150" s="10">
        <v>10</v>
      </c>
      <c r="E150" s="10" t="s">
        <v>5227</v>
      </c>
      <c r="F150" s="10" t="s">
        <v>5227</v>
      </c>
      <c r="G150" s="10" t="s">
        <v>5225</v>
      </c>
      <c r="H150" s="10" t="s">
        <v>5225</v>
      </c>
      <c r="I150" s="48"/>
      <c r="J150" s="10">
        <f t="shared" si="2"/>
        <v>0</v>
      </c>
      <c r="K150" s="9"/>
      <c r="L150" s="48" t="s">
        <v>110</v>
      </c>
      <c r="M150" s="10" t="s">
        <v>172</v>
      </c>
      <c r="N150" s="10" t="s">
        <v>111</v>
      </c>
      <c r="O150" s="10"/>
      <c r="P150" s="10" t="s">
        <v>159</v>
      </c>
      <c r="Q150" s="10" t="s">
        <v>159</v>
      </c>
      <c r="R150" s="10">
        <v>1</v>
      </c>
      <c r="S150" s="10" t="s">
        <v>158</v>
      </c>
      <c r="T150" s="9"/>
      <c r="V150" s="35" t="s">
        <v>5043</v>
      </c>
      <c r="W150" s="35" t="s">
        <v>4349</v>
      </c>
      <c r="X150" s="199" t="s">
        <v>4350</v>
      </c>
      <c r="Y150" s="36">
        <v>5</v>
      </c>
      <c r="Z150" s="36">
        <v>300</v>
      </c>
      <c r="AA150" s="36">
        <v>1</v>
      </c>
      <c r="AB150" s="35" t="s">
        <v>4351</v>
      </c>
    </row>
    <row r="151" spans="1:28">
      <c r="A151" s="9" t="s">
        <v>239</v>
      </c>
      <c r="B151" s="10" t="s">
        <v>141</v>
      </c>
      <c r="C151" s="10" t="s">
        <v>240</v>
      </c>
      <c r="D151" s="10"/>
      <c r="E151" s="10" t="s">
        <v>158</v>
      </c>
      <c r="F151" s="10" t="s">
        <v>159</v>
      </c>
      <c r="G151" s="10" t="s">
        <v>159</v>
      </c>
      <c r="H151" s="10" t="s">
        <v>159</v>
      </c>
      <c r="I151" s="48" t="s">
        <v>241</v>
      </c>
      <c r="J151" s="10">
        <f t="shared" si="2"/>
        <v>0</v>
      </c>
      <c r="K151" s="9"/>
      <c r="L151" s="48" t="s">
        <v>4417</v>
      </c>
      <c r="M151" s="10" t="s">
        <v>242</v>
      </c>
      <c r="N151" s="10" t="s">
        <v>5596</v>
      </c>
      <c r="O151" s="10"/>
      <c r="P151" s="10" t="s">
        <v>5225</v>
      </c>
      <c r="Q151" s="10" t="s">
        <v>5225</v>
      </c>
      <c r="R151" s="10">
        <v>1</v>
      </c>
      <c r="S151" s="10" t="s">
        <v>5227</v>
      </c>
      <c r="T151" s="9"/>
      <c r="V151" s="35" t="s">
        <v>5043</v>
      </c>
      <c r="W151" s="35" t="s">
        <v>5326</v>
      </c>
      <c r="X151" s="199" t="s">
        <v>4353</v>
      </c>
      <c r="Y151" s="36">
        <v>6</v>
      </c>
      <c r="Z151" s="36">
        <v>100</v>
      </c>
      <c r="AA151" s="36">
        <v>2</v>
      </c>
      <c r="AB151" s="35" t="s">
        <v>4362</v>
      </c>
    </row>
    <row r="152" spans="1:28">
      <c r="A152" s="9" t="s">
        <v>4439</v>
      </c>
      <c r="B152" s="10" t="s">
        <v>4400</v>
      </c>
      <c r="C152" s="10" t="s">
        <v>5349</v>
      </c>
      <c r="D152" s="10"/>
      <c r="E152" s="10" t="s">
        <v>5227</v>
      </c>
      <c r="F152" s="10" t="s">
        <v>5225</v>
      </c>
      <c r="G152" s="10">
        <v>1</v>
      </c>
      <c r="H152" s="10" t="s">
        <v>5225</v>
      </c>
      <c r="I152" s="48"/>
      <c r="J152" s="10" t="str">
        <f t="shared" si="2"/>
        <v>NA</v>
      </c>
      <c r="K152" s="9"/>
      <c r="L152" s="48" t="s">
        <v>4435</v>
      </c>
      <c r="M152" s="10" t="s">
        <v>4216</v>
      </c>
      <c r="N152" s="10" t="s">
        <v>5788</v>
      </c>
      <c r="O152" s="10"/>
      <c r="P152" s="10" t="s">
        <v>5227</v>
      </c>
      <c r="Q152" s="10" t="s">
        <v>5225</v>
      </c>
      <c r="R152" s="10" t="s">
        <v>5225</v>
      </c>
      <c r="S152" s="10" t="s">
        <v>5227</v>
      </c>
      <c r="T152" s="9" t="s">
        <v>4501</v>
      </c>
      <c r="V152" s="222" t="s">
        <v>5043</v>
      </c>
      <c r="W152" s="222" t="s">
        <v>4366</v>
      </c>
      <c r="X152" s="223" t="s">
        <v>4367</v>
      </c>
      <c r="Y152" s="224">
        <v>6</v>
      </c>
      <c r="Z152" s="224">
        <v>200</v>
      </c>
      <c r="AA152" s="225" t="s">
        <v>4762</v>
      </c>
      <c r="AB152" s="222" t="s">
        <v>4368</v>
      </c>
    </row>
    <row r="153" spans="1:28">
      <c r="A153" s="9" t="s">
        <v>4902</v>
      </c>
      <c r="B153" s="10" t="s">
        <v>4161</v>
      </c>
      <c r="C153" s="10" t="s">
        <v>5786</v>
      </c>
      <c r="D153" s="10"/>
      <c r="E153" s="10" t="s">
        <v>5227</v>
      </c>
      <c r="F153" s="10" t="s">
        <v>5225</v>
      </c>
      <c r="G153" s="10">
        <v>1</v>
      </c>
      <c r="H153" s="10" t="s">
        <v>5225</v>
      </c>
      <c r="I153" s="48"/>
      <c r="J153" s="10">
        <f t="shared" si="2"/>
        <v>0</v>
      </c>
      <c r="K153" s="9"/>
      <c r="L153" s="48" t="s">
        <v>4440</v>
      </c>
      <c r="M153" s="10" t="s">
        <v>173</v>
      </c>
      <c r="N153" s="10" t="s">
        <v>5390</v>
      </c>
      <c r="O153" s="10"/>
      <c r="P153" s="10" t="s">
        <v>5225</v>
      </c>
      <c r="Q153" s="10" t="s">
        <v>5225</v>
      </c>
      <c r="R153" s="10" t="s">
        <v>5225</v>
      </c>
      <c r="S153" s="10" t="s">
        <v>5227</v>
      </c>
      <c r="T153" s="9"/>
      <c r="V153" s="35" t="s">
        <v>5043</v>
      </c>
      <c r="W153" s="35" t="s">
        <v>4468</v>
      </c>
      <c r="X153" s="199" t="s">
        <v>4227</v>
      </c>
      <c r="Y153" s="36">
        <v>7</v>
      </c>
      <c r="Z153" s="36">
        <v>100</v>
      </c>
      <c r="AA153" s="36">
        <v>3</v>
      </c>
      <c r="AB153" s="35" t="s">
        <v>4077</v>
      </c>
    </row>
    <row r="154" spans="1:28">
      <c r="A154" s="9" t="s">
        <v>4165</v>
      </c>
      <c r="B154" s="10" t="s">
        <v>4161</v>
      </c>
      <c r="C154" s="10" t="s">
        <v>5786</v>
      </c>
      <c r="D154" s="10"/>
      <c r="E154" s="10" t="s">
        <v>5225</v>
      </c>
      <c r="F154" s="10" t="s">
        <v>5225</v>
      </c>
      <c r="G154" s="10">
        <v>1</v>
      </c>
      <c r="H154" s="10" t="s">
        <v>5225</v>
      </c>
      <c r="I154" s="48"/>
      <c r="J154" s="10">
        <f t="shared" si="2"/>
        <v>0</v>
      </c>
      <c r="K154" s="9"/>
      <c r="L154" s="48" t="s">
        <v>4162</v>
      </c>
      <c r="M154" s="10" t="s">
        <v>4218</v>
      </c>
      <c r="N154" s="10" t="s">
        <v>5788</v>
      </c>
      <c r="O154" s="10"/>
      <c r="P154" s="10" t="s">
        <v>5227</v>
      </c>
      <c r="Q154" s="10" t="s">
        <v>5225</v>
      </c>
      <c r="R154" s="10">
        <v>2</v>
      </c>
      <c r="S154" s="10" t="s">
        <v>5227</v>
      </c>
      <c r="T154" s="9"/>
      <c r="V154" s="35" t="s">
        <v>5043</v>
      </c>
      <c r="W154" s="35" t="s">
        <v>5326</v>
      </c>
      <c r="X154" s="199" t="s">
        <v>4081</v>
      </c>
      <c r="Y154" s="36">
        <v>7</v>
      </c>
      <c r="Z154" s="36">
        <v>100</v>
      </c>
      <c r="AA154" s="36">
        <v>3</v>
      </c>
      <c r="AB154" s="35" t="s">
        <v>4082</v>
      </c>
    </row>
    <row r="155" spans="1:28">
      <c r="A155" s="9" t="s">
        <v>4167</v>
      </c>
      <c r="B155" s="10" t="s">
        <v>243</v>
      </c>
      <c r="C155" s="10" t="s">
        <v>5787</v>
      </c>
      <c r="D155" s="10"/>
      <c r="E155" s="10" t="s">
        <v>5227</v>
      </c>
      <c r="F155" s="10" t="s">
        <v>5227</v>
      </c>
      <c r="G155" s="10">
        <v>5</v>
      </c>
      <c r="H155" s="10" t="s">
        <v>5225</v>
      </c>
      <c r="I155" s="48"/>
      <c r="J155" s="10">
        <f t="shared" si="2"/>
        <v>0</v>
      </c>
      <c r="K155" s="9"/>
      <c r="L155" s="48" t="s">
        <v>244</v>
      </c>
      <c r="M155" s="10" t="s">
        <v>245</v>
      </c>
      <c r="N155" s="10" t="s">
        <v>157</v>
      </c>
      <c r="O155" s="10"/>
      <c r="P155" s="10" t="s">
        <v>159</v>
      </c>
      <c r="Q155" s="10" t="s">
        <v>159</v>
      </c>
      <c r="R155" s="10" t="s">
        <v>159</v>
      </c>
      <c r="S155" s="10" t="s">
        <v>158</v>
      </c>
      <c r="T155" s="9"/>
      <c r="V155" s="35" t="s">
        <v>5043</v>
      </c>
      <c r="W155" s="35" t="s">
        <v>5135</v>
      </c>
      <c r="X155" s="199" t="s">
        <v>4085</v>
      </c>
      <c r="Y155" s="36">
        <v>8</v>
      </c>
      <c r="Z155" s="36">
        <v>100</v>
      </c>
      <c r="AA155" s="36">
        <v>4</v>
      </c>
      <c r="AB155" s="35" t="s">
        <v>4086</v>
      </c>
    </row>
    <row r="156" spans="1:28">
      <c r="A156" s="9" t="s">
        <v>4170</v>
      </c>
      <c r="B156" s="10" t="s">
        <v>243</v>
      </c>
      <c r="C156" s="10" t="s">
        <v>5787</v>
      </c>
      <c r="D156" s="10"/>
      <c r="E156" s="10" t="s">
        <v>5227</v>
      </c>
      <c r="F156" s="10" t="s">
        <v>5227</v>
      </c>
      <c r="G156" s="10">
        <v>3</v>
      </c>
      <c r="H156" s="10" t="s">
        <v>5225</v>
      </c>
      <c r="I156" s="48"/>
      <c r="J156" s="10">
        <f t="shared" si="2"/>
        <v>0</v>
      </c>
      <c r="K156" s="9"/>
      <c r="L156" s="48" t="s">
        <v>4166</v>
      </c>
      <c r="M156" s="10" t="s">
        <v>174</v>
      </c>
      <c r="N156" s="10" t="s">
        <v>5786</v>
      </c>
      <c r="O156" s="10"/>
      <c r="P156" s="10" t="s">
        <v>5227</v>
      </c>
      <c r="Q156" s="10" t="s">
        <v>5225</v>
      </c>
      <c r="R156" s="10" t="s">
        <v>5225</v>
      </c>
      <c r="S156" s="10" t="s">
        <v>5225</v>
      </c>
      <c r="T156" s="9"/>
      <c r="V156" s="35" t="s">
        <v>5043</v>
      </c>
      <c r="W156" s="42" t="s">
        <v>4569</v>
      </c>
      <c r="X156" s="199" t="s">
        <v>4089</v>
      </c>
      <c r="Y156" s="36">
        <v>8</v>
      </c>
      <c r="Z156" s="36">
        <v>300</v>
      </c>
      <c r="AA156" s="36">
        <v>0</v>
      </c>
      <c r="AB156" s="35" t="s">
        <v>4240</v>
      </c>
    </row>
    <row r="157" spans="1:28">
      <c r="A157" s="9" t="s">
        <v>4868</v>
      </c>
      <c r="B157" s="10" t="s">
        <v>4309</v>
      </c>
      <c r="C157" s="10" t="s">
        <v>5787</v>
      </c>
      <c r="D157" s="10"/>
      <c r="E157" s="10" t="s">
        <v>5227</v>
      </c>
      <c r="F157" s="10" t="s">
        <v>5225</v>
      </c>
      <c r="G157" s="10">
        <v>1</v>
      </c>
      <c r="H157" s="10" t="s">
        <v>5225</v>
      </c>
      <c r="I157" s="48"/>
      <c r="J157" s="10">
        <f t="shared" si="2"/>
        <v>0</v>
      </c>
      <c r="K157" s="9"/>
      <c r="L157" s="48" t="s">
        <v>5170</v>
      </c>
      <c r="M157" s="10" t="s">
        <v>3983</v>
      </c>
      <c r="N157" s="10" t="s">
        <v>5786</v>
      </c>
      <c r="O157" s="10"/>
      <c r="P157" s="10" t="s">
        <v>5227</v>
      </c>
      <c r="Q157" s="10" t="s">
        <v>5225</v>
      </c>
      <c r="R157" s="10" t="s">
        <v>5225</v>
      </c>
      <c r="S157" s="10" t="s">
        <v>5227</v>
      </c>
      <c r="T157" s="9"/>
      <c r="V157" s="35" t="s">
        <v>5043</v>
      </c>
      <c r="W157" s="42" t="s">
        <v>4468</v>
      </c>
      <c r="X157" s="199" t="s">
        <v>4242</v>
      </c>
      <c r="Y157" s="36">
        <v>9</v>
      </c>
      <c r="Z157" s="36">
        <v>100</v>
      </c>
      <c r="AA157" s="36">
        <v>0</v>
      </c>
      <c r="AB157" s="35" t="s">
        <v>4383</v>
      </c>
    </row>
    <row r="158" spans="1:28">
      <c r="A158" s="9" t="s">
        <v>4572</v>
      </c>
      <c r="B158" s="10" t="s">
        <v>4309</v>
      </c>
      <c r="C158" s="10" t="s">
        <v>5786</v>
      </c>
      <c r="D158" s="10"/>
      <c r="E158" s="10" t="s">
        <v>5225</v>
      </c>
      <c r="F158" s="10" t="s">
        <v>5225</v>
      </c>
      <c r="G158" s="10" t="s">
        <v>5225</v>
      </c>
      <c r="H158" s="10" t="s">
        <v>5225</v>
      </c>
      <c r="I158" s="48"/>
      <c r="J158" s="10">
        <f t="shared" si="2"/>
        <v>0</v>
      </c>
      <c r="K158" s="9"/>
      <c r="L158" s="48" t="s">
        <v>4171</v>
      </c>
      <c r="M158" s="10" t="s">
        <v>4172</v>
      </c>
      <c r="N158" s="10" t="s">
        <v>5390</v>
      </c>
      <c r="O158" s="10"/>
      <c r="P158" s="10" t="s">
        <v>5227</v>
      </c>
      <c r="Q158" s="10" t="s">
        <v>5225</v>
      </c>
      <c r="R158" s="10">
        <v>4</v>
      </c>
      <c r="S158" s="10" t="s">
        <v>5227</v>
      </c>
      <c r="T158" s="9"/>
      <c r="V158" s="37" t="s">
        <v>5043</v>
      </c>
      <c r="W158" s="37" t="s">
        <v>4366</v>
      </c>
      <c r="X158" s="200" t="s">
        <v>4385</v>
      </c>
      <c r="Y158" s="38">
        <v>9</v>
      </c>
      <c r="Z158" s="38">
        <v>200</v>
      </c>
      <c r="AA158" s="39">
        <v>4</v>
      </c>
      <c r="AB158" s="37" t="s">
        <v>4386</v>
      </c>
    </row>
    <row r="159" spans="1:28">
      <c r="A159" s="9" t="s">
        <v>4454</v>
      </c>
      <c r="B159" s="10" t="s">
        <v>107</v>
      </c>
      <c r="C159" s="10" t="s">
        <v>5787</v>
      </c>
      <c r="D159" s="10"/>
      <c r="E159" s="10" t="s">
        <v>5227</v>
      </c>
      <c r="F159" s="10" t="s">
        <v>5227</v>
      </c>
      <c r="G159" s="10">
        <v>2</v>
      </c>
      <c r="H159" s="10" t="s">
        <v>5225</v>
      </c>
      <c r="I159" s="48"/>
      <c r="J159" s="10">
        <f t="shared" si="2"/>
        <v>0</v>
      </c>
      <c r="K159" s="9"/>
      <c r="L159" s="48" t="s">
        <v>4765</v>
      </c>
      <c r="M159" s="10" t="s">
        <v>246</v>
      </c>
      <c r="N159" s="10" t="s">
        <v>5390</v>
      </c>
      <c r="O159" s="10"/>
      <c r="P159" s="10" t="s">
        <v>5225</v>
      </c>
      <c r="Q159" s="10" t="s">
        <v>5225</v>
      </c>
      <c r="R159" s="10">
        <v>1</v>
      </c>
      <c r="S159" s="10" t="s">
        <v>5227</v>
      </c>
      <c r="T159" s="9"/>
      <c r="V159" s="42" t="s">
        <v>5694</v>
      </c>
      <c r="W159" s="42" t="s">
        <v>5695</v>
      </c>
      <c r="X159" s="201" t="s">
        <v>4248</v>
      </c>
      <c r="Y159" s="43">
        <v>1</v>
      </c>
      <c r="Z159" s="43">
        <v>100</v>
      </c>
      <c r="AA159" s="43">
        <v>2</v>
      </c>
      <c r="AB159" s="42" t="s">
        <v>4392</v>
      </c>
    </row>
    <row r="160" spans="1:28">
      <c r="A160" s="9" t="s">
        <v>4457</v>
      </c>
      <c r="B160" s="10" t="s">
        <v>4458</v>
      </c>
      <c r="C160" s="10" t="s">
        <v>5786</v>
      </c>
      <c r="D160" s="10"/>
      <c r="E160" s="10" t="s">
        <v>5227</v>
      </c>
      <c r="F160" s="10" t="s">
        <v>5225</v>
      </c>
      <c r="G160" s="10" t="s">
        <v>5225</v>
      </c>
      <c r="H160" s="10" t="s">
        <v>5225</v>
      </c>
      <c r="I160" s="48"/>
      <c r="J160" s="10">
        <f t="shared" si="2"/>
        <v>0</v>
      </c>
      <c r="K160" s="9"/>
      <c r="L160" s="48" t="s">
        <v>247</v>
      </c>
      <c r="M160" s="10" t="s">
        <v>248</v>
      </c>
      <c r="N160" s="10" t="s">
        <v>157</v>
      </c>
      <c r="O160" s="10"/>
      <c r="P160" s="10" t="s">
        <v>159</v>
      </c>
      <c r="Q160" s="10" t="s">
        <v>159</v>
      </c>
      <c r="R160" s="10" t="s">
        <v>159</v>
      </c>
      <c r="S160" s="10" t="s">
        <v>158</v>
      </c>
      <c r="T160" s="9"/>
      <c r="V160" s="42" t="s">
        <v>5694</v>
      </c>
      <c r="W160" s="42" t="s">
        <v>5695</v>
      </c>
      <c r="X160" s="201" t="s">
        <v>4394</v>
      </c>
      <c r="Y160" s="43">
        <v>3</v>
      </c>
      <c r="Z160" s="43">
        <v>100</v>
      </c>
      <c r="AA160" s="43">
        <v>1</v>
      </c>
      <c r="AB160" s="42" t="s">
        <v>4395</v>
      </c>
    </row>
    <row r="161" spans="1:28">
      <c r="A161" s="9" t="s">
        <v>4464</v>
      </c>
      <c r="B161" s="10" t="s">
        <v>4590</v>
      </c>
      <c r="C161" s="10" t="s">
        <v>5786</v>
      </c>
      <c r="D161" s="10"/>
      <c r="E161" s="10" t="s">
        <v>5227</v>
      </c>
      <c r="F161" s="10" t="s">
        <v>5227</v>
      </c>
      <c r="G161" s="10">
        <v>2</v>
      </c>
      <c r="H161" s="10" t="s">
        <v>5225</v>
      </c>
      <c r="I161" s="48" t="s">
        <v>4662</v>
      </c>
      <c r="J161" s="10">
        <f t="shared" si="2"/>
        <v>0</v>
      </c>
      <c r="K161" s="9"/>
      <c r="L161" s="48" t="s">
        <v>4450</v>
      </c>
      <c r="M161" s="10" t="s">
        <v>4720</v>
      </c>
      <c r="N161" s="10" t="s">
        <v>5786</v>
      </c>
      <c r="O161" s="10"/>
      <c r="P161" s="10" t="s">
        <v>5227</v>
      </c>
      <c r="Q161" s="10" t="s">
        <v>5225</v>
      </c>
      <c r="R161" s="10" t="s">
        <v>5225</v>
      </c>
      <c r="S161" s="10" t="s">
        <v>5227</v>
      </c>
      <c r="T161" s="9"/>
      <c r="V161" s="42" t="s">
        <v>5694</v>
      </c>
      <c r="W161" s="42" t="s">
        <v>5695</v>
      </c>
      <c r="X161" s="201" t="s">
        <v>4397</v>
      </c>
      <c r="Y161" s="43">
        <v>4</v>
      </c>
      <c r="Z161" s="43">
        <v>100</v>
      </c>
      <c r="AA161" s="43">
        <v>2</v>
      </c>
      <c r="AB161" s="42" t="s">
        <v>4398</v>
      </c>
    </row>
    <row r="162" spans="1:28">
      <c r="A162" s="9" t="s">
        <v>4601</v>
      </c>
      <c r="B162" s="10" t="s">
        <v>4309</v>
      </c>
      <c r="C162" s="10" t="s">
        <v>5788</v>
      </c>
      <c r="D162" s="10"/>
      <c r="E162" s="10" t="s">
        <v>5227</v>
      </c>
      <c r="F162" s="10" t="s">
        <v>5225</v>
      </c>
      <c r="G162" s="10" t="s">
        <v>5225</v>
      </c>
      <c r="H162" s="10" t="s">
        <v>5227</v>
      </c>
      <c r="I162" s="48"/>
      <c r="J162" s="10">
        <f t="shared" si="2"/>
        <v>0</v>
      </c>
      <c r="K162" s="9"/>
      <c r="L162" s="48" t="s">
        <v>4455</v>
      </c>
      <c r="M162" s="10" t="s">
        <v>176</v>
      </c>
      <c r="N162" s="10" t="s">
        <v>5786</v>
      </c>
      <c r="O162" s="10"/>
      <c r="P162" s="10" t="s">
        <v>5227</v>
      </c>
      <c r="Q162" s="10" t="s">
        <v>5225</v>
      </c>
      <c r="R162" s="10" t="s">
        <v>5225</v>
      </c>
      <c r="S162" s="10" t="s">
        <v>5225</v>
      </c>
      <c r="T162" s="9"/>
      <c r="V162" s="42" t="s">
        <v>5694</v>
      </c>
      <c r="W162" s="42" t="s">
        <v>5695</v>
      </c>
      <c r="X162" s="201" t="s">
        <v>4264</v>
      </c>
      <c r="Y162" s="43">
        <v>5</v>
      </c>
      <c r="Z162" s="43">
        <v>100</v>
      </c>
      <c r="AA162" s="43">
        <v>4</v>
      </c>
      <c r="AB162" s="42" t="s">
        <v>4265</v>
      </c>
    </row>
    <row r="163" spans="1:28">
      <c r="A163" s="9" t="s">
        <v>4341</v>
      </c>
      <c r="B163" s="10" t="s">
        <v>4309</v>
      </c>
      <c r="C163" s="10" t="s">
        <v>5787</v>
      </c>
      <c r="D163" s="10"/>
      <c r="E163" s="10" t="s">
        <v>5225</v>
      </c>
      <c r="F163" s="10" t="s">
        <v>5225</v>
      </c>
      <c r="G163" s="10" t="s">
        <v>5225</v>
      </c>
      <c r="H163" s="10" t="s">
        <v>5225</v>
      </c>
      <c r="I163" s="48"/>
      <c r="J163" s="10">
        <f t="shared" si="2"/>
        <v>0</v>
      </c>
      <c r="K163" s="9"/>
      <c r="L163" s="48" t="s">
        <v>4459</v>
      </c>
      <c r="M163" s="10" t="s">
        <v>3985</v>
      </c>
      <c r="N163" s="10" t="s">
        <v>5596</v>
      </c>
      <c r="O163" s="10"/>
      <c r="P163" s="10" t="s">
        <v>5225</v>
      </c>
      <c r="Q163" s="10" t="s">
        <v>5225</v>
      </c>
      <c r="R163" s="10" t="s">
        <v>5225</v>
      </c>
      <c r="S163" s="10" t="s">
        <v>5227</v>
      </c>
      <c r="T163" s="9"/>
      <c r="V163" s="42" t="s">
        <v>5694</v>
      </c>
      <c r="W163" s="42" t="s">
        <v>5695</v>
      </c>
      <c r="X163" s="201" t="s">
        <v>4268</v>
      </c>
      <c r="Y163" s="43">
        <v>8</v>
      </c>
      <c r="Z163" s="43">
        <v>100</v>
      </c>
      <c r="AA163" s="43">
        <v>6</v>
      </c>
      <c r="AB163" s="42" t="s">
        <v>4269</v>
      </c>
    </row>
    <row r="164" spans="1:28">
      <c r="A164" s="9" t="s">
        <v>4335</v>
      </c>
      <c r="B164" s="10" t="s">
        <v>4309</v>
      </c>
      <c r="C164" s="10" t="s">
        <v>5788</v>
      </c>
      <c r="D164" s="10"/>
      <c r="E164" s="10" t="s">
        <v>5225</v>
      </c>
      <c r="F164" s="10" t="s">
        <v>5225</v>
      </c>
      <c r="G164" s="10" t="s">
        <v>5225</v>
      </c>
      <c r="H164" s="10" t="s">
        <v>5225</v>
      </c>
      <c r="I164" s="48"/>
      <c r="J164" s="10">
        <f t="shared" si="2"/>
        <v>0</v>
      </c>
      <c r="K164" s="9"/>
      <c r="L164" s="48" t="s">
        <v>4465</v>
      </c>
      <c r="M164" s="10" t="s">
        <v>4458</v>
      </c>
      <c r="N164" s="10" t="s">
        <v>111</v>
      </c>
      <c r="O164" s="10"/>
      <c r="P164" s="10" t="s">
        <v>159</v>
      </c>
      <c r="Q164" s="10" t="s">
        <v>5225</v>
      </c>
      <c r="R164" s="10" t="s">
        <v>5225</v>
      </c>
      <c r="S164" s="10" t="s">
        <v>5227</v>
      </c>
      <c r="T164" s="9"/>
      <c r="V164" s="42" t="s">
        <v>5694</v>
      </c>
      <c r="W164" s="42" t="s">
        <v>5695</v>
      </c>
      <c r="X164" s="201" t="s">
        <v>4260</v>
      </c>
      <c r="Y164" s="43">
        <v>10</v>
      </c>
      <c r="Z164" s="43">
        <v>100</v>
      </c>
      <c r="AA164" s="43">
        <v>6</v>
      </c>
      <c r="AB164" s="42" t="s">
        <v>4261</v>
      </c>
    </row>
    <row r="165" spans="1:28">
      <c r="A165" s="9" t="s">
        <v>4346</v>
      </c>
      <c r="B165" s="10" t="s">
        <v>143</v>
      </c>
      <c r="C165" s="10" t="s">
        <v>5788</v>
      </c>
      <c r="D165" s="10"/>
      <c r="E165" s="10" t="s">
        <v>5225</v>
      </c>
      <c r="F165" s="10" t="s">
        <v>5227</v>
      </c>
      <c r="G165" s="10">
        <v>1</v>
      </c>
      <c r="H165" s="10" t="s">
        <v>5225</v>
      </c>
      <c r="I165" s="48"/>
      <c r="J165" s="10">
        <f t="shared" si="2"/>
        <v>0</v>
      </c>
      <c r="K165" s="9"/>
      <c r="L165" s="48" t="s">
        <v>4467</v>
      </c>
      <c r="M165" s="10" t="s">
        <v>4458</v>
      </c>
      <c r="N165" s="10" t="s">
        <v>5390</v>
      </c>
      <c r="O165" s="10"/>
      <c r="P165" s="10" t="s">
        <v>5225</v>
      </c>
      <c r="Q165" s="10" t="s">
        <v>5225</v>
      </c>
      <c r="R165" s="10">
        <v>1</v>
      </c>
      <c r="S165" s="10" t="s">
        <v>5227</v>
      </c>
      <c r="T165" s="9"/>
      <c r="V165" s="37" t="s">
        <v>5694</v>
      </c>
      <c r="W165" s="37" t="s">
        <v>5695</v>
      </c>
      <c r="X165" s="200" t="s">
        <v>4273</v>
      </c>
      <c r="Y165" s="38">
        <v>13</v>
      </c>
      <c r="Z165" s="38">
        <v>100</v>
      </c>
      <c r="AA165" s="38">
        <v>8</v>
      </c>
      <c r="AB165" s="37" t="s">
        <v>4274</v>
      </c>
    </row>
    <row r="166" spans="1:28">
      <c r="A166" s="9" t="s">
        <v>5052</v>
      </c>
      <c r="B166" s="10" t="s">
        <v>4348</v>
      </c>
      <c r="C166" s="10" t="s">
        <v>5597</v>
      </c>
      <c r="D166" s="10"/>
      <c r="E166" s="10" t="s">
        <v>5225</v>
      </c>
      <c r="F166" s="10" t="s">
        <v>5225</v>
      </c>
      <c r="G166" s="10" t="s">
        <v>5225</v>
      </c>
      <c r="H166" s="10" t="s">
        <v>5225</v>
      </c>
      <c r="I166" s="48"/>
      <c r="J166" s="10">
        <f t="shared" si="2"/>
        <v>0</v>
      </c>
      <c r="K166" s="9"/>
      <c r="L166" s="48" t="s">
        <v>4342</v>
      </c>
      <c r="M166" s="10" t="s">
        <v>249</v>
      </c>
      <c r="N166" s="10" t="s">
        <v>5596</v>
      </c>
      <c r="O166" s="10"/>
      <c r="P166" s="10" t="s">
        <v>5227</v>
      </c>
      <c r="Q166" s="10" t="s">
        <v>5225</v>
      </c>
      <c r="R166" s="10" t="s">
        <v>5225</v>
      </c>
      <c r="S166" s="10" t="s">
        <v>5225</v>
      </c>
      <c r="T166" s="9"/>
      <c r="V166" s="42" t="s">
        <v>4490</v>
      </c>
      <c r="W166" s="42" t="s">
        <v>4403</v>
      </c>
      <c r="X166" s="201" t="s">
        <v>4276</v>
      </c>
      <c r="Y166" s="43">
        <v>6</v>
      </c>
      <c r="Z166" s="43">
        <v>200</v>
      </c>
      <c r="AA166" s="43">
        <v>0</v>
      </c>
      <c r="AB166" s="42" t="s">
        <v>4425</v>
      </c>
    </row>
    <row r="167" spans="1:28">
      <c r="A167" s="9" t="s">
        <v>4732</v>
      </c>
      <c r="B167" s="10" t="s">
        <v>4352</v>
      </c>
      <c r="C167" s="10" t="s">
        <v>5786</v>
      </c>
      <c r="D167" s="10"/>
      <c r="E167" s="10" t="s">
        <v>5227</v>
      </c>
      <c r="F167" s="10" t="s">
        <v>5225</v>
      </c>
      <c r="G167" s="10" t="s">
        <v>5225</v>
      </c>
      <c r="H167" s="10" t="s">
        <v>5227</v>
      </c>
      <c r="I167" s="48"/>
      <c r="J167" s="10">
        <f t="shared" si="2"/>
        <v>0</v>
      </c>
      <c r="K167" s="9"/>
      <c r="L167" s="48" t="s">
        <v>4336</v>
      </c>
      <c r="M167" s="10" t="s">
        <v>249</v>
      </c>
      <c r="N167" s="10" t="s">
        <v>5596</v>
      </c>
      <c r="O167" s="10">
        <v>3</v>
      </c>
      <c r="P167" s="10" t="s">
        <v>5227</v>
      </c>
      <c r="Q167" s="10" t="s">
        <v>5225</v>
      </c>
      <c r="R167" s="10" t="s">
        <v>5225</v>
      </c>
      <c r="S167" s="10" t="s">
        <v>5225</v>
      </c>
      <c r="T167" s="9" t="s">
        <v>4625</v>
      </c>
      <c r="V167" s="42" t="s">
        <v>4490</v>
      </c>
      <c r="W167" s="42" t="s">
        <v>4576</v>
      </c>
      <c r="X167" s="201" t="s">
        <v>4427</v>
      </c>
      <c r="Y167" s="43">
        <v>9</v>
      </c>
      <c r="Z167" s="43">
        <v>200</v>
      </c>
      <c r="AA167" s="43">
        <v>2</v>
      </c>
      <c r="AB167" s="35" t="s">
        <v>4428</v>
      </c>
    </row>
    <row r="168" spans="1:28">
      <c r="A168" s="9" t="s">
        <v>4363</v>
      </c>
      <c r="B168" s="10" t="s">
        <v>4364</v>
      </c>
      <c r="C168" s="10" t="s">
        <v>5349</v>
      </c>
      <c r="D168" s="10"/>
      <c r="E168" s="10" t="s">
        <v>5227</v>
      </c>
      <c r="F168" s="10" t="s">
        <v>5225</v>
      </c>
      <c r="G168" s="10">
        <v>2</v>
      </c>
      <c r="H168" s="10" t="s">
        <v>5225</v>
      </c>
      <c r="I168" s="48" t="s">
        <v>4365</v>
      </c>
      <c r="J168" s="10" t="str">
        <f t="shared" si="2"/>
        <v>NA</v>
      </c>
      <c r="K168" s="9"/>
      <c r="L168" s="48" t="s">
        <v>4347</v>
      </c>
      <c r="M168" s="10" t="s">
        <v>176</v>
      </c>
      <c r="N168" s="10" t="s">
        <v>5786</v>
      </c>
      <c r="O168" s="10"/>
      <c r="P168" s="10" t="s">
        <v>5227</v>
      </c>
      <c r="Q168" s="10" t="s">
        <v>5225</v>
      </c>
      <c r="R168" s="10" t="s">
        <v>5225</v>
      </c>
      <c r="S168" s="10" t="s">
        <v>5227</v>
      </c>
      <c r="T168" s="9"/>
      <c r="V168" s="37" t="s">
        <v>4490</v>
      </c>
      <c r="W168" s="37" t="s">
        <v>4292</v>
      </c>
      <c r="X168" s="200" t="s">
        <v>4293</v>
      </c>
      <c r="Y168" s="38">
        <v>10</v>
      </c>
      <c r="Z168" s="38">
        <v>300</v>
      </c>
      <c r="AA168" s="39" t="s">
        <v>4294</v>
      </c>
      <c r="AB168" s="37" t="s">
        <v>4295</v>
      </c>
    </row>
    <row r="169" spans="1:28">
      <c r="A169" s="9" t="s">
        <v>4735</v>
      </c>
      <c r="B169" s="10" t="s">
        <v>4348</v>
      </c>
      <c r="C169" s="10" t="s">
        <v>5788</v>
      </c>
      <c r="D169" s="10"/>
      <c r="E169" s="10" t="s">
        <v>5227</v>
      </c>
      <c r="F169" s="10" t="s">
        <v>5225</v>
      </c>
      <c r="G169" s="10">
        <v>1</v>
      </c>
      <c r="H169" s="10" t="s">
        <v>5227</v>
      </c>
      <c r="I169" s="48"/>
      <c r="J169" s="10">
        <f t="shared" si="2"/>
        <v>0</v>
      </c>
      <c r="K169" s="9"/>
      <c r="L169" s="48" t="s">
        <v>199</v>
      </c>
      <c r="M169" s="10" t="s">
        <v>200</v>
      </c>
      <c r="N169" s="10" t="s">
        <v>157</v>
      </c>
      <c r="O169" s="10"/>
      <c r="P169" s="10" t="s">
        <v>159</v>
      </c>
      <c r="Q169" s="10" t="s">
        <v>201</v>
      </c>
      <c r="R169" s="10">
        <v>1</v>
      </c>
      <c r="S169" s="10" t="s">
        <v>158</v>
      </c>
      <c r="T169" s="9"/>
      <c r="V169" s="35" t="s">
        <v>4445</v>
      </c>
      <c r="W169" s="35" t="s">
        <v>4956</v>
      </c>
      <c r="X169" s="199" t="s">
        <v>5045</v>
      </c>
      <c r="Y169" s="36">
        <v>4</v>
      </c>
      <c r="Z169" s="36">
        <v>100</v>
      </c>
      <c r="AA169" s="36">
        <v>1</v>
      </c>
      <c r="AB169" s="35" t="s">
        <v>5046</v>
      </c>
    </row>
    <row r="170" spans="1:28">
      <c r="A170" s="9" t="s">
        <v>4078</v>
      </c>
      <c r="B170" s="10" t="s">
        <v>141</v>
      </c>
      <c r="C170" s="10" t="s">
        <v>5788</v>
      </c>
      <c r="D170" s="10"/>
      <c r="E170" s="10" t="s">
        <v>5227</v>
      </c>
      <c r="F170" s="10" t="s">
        <v>5225</v>
      </c>
      <c r="G170" s="10">
        <v>1</v>
      </c>
      <c r="H170" s="10" t="s">
        <v>5225</v>
      </c>
      <c r="I170" s="48"/>
      <c r="J170" s="10">
        <f t="shared" si="2"/>
        <v>0</v>
      </c>
      <c r="K170" s="9"/>
      <c r="L170" s="48" t="s">
        <v>4897</v>
      </c>
      <c r="M170" s="10" t="s">
        <v>3994</v>
      </c>
      <c r="N170" s="10" t="s">
        <v>5788</v>
      </c>
      <c r="O170" s="10"/>
      <c r="P170" s="10" t="s">
        <v>5227</v>
      </c>
      <c r="Q170" s="10" t="s">
        <v>5225</v>
      </c>
      <c r="R170" s="10" t="s">
        <v>5225</v>
      </c>
      <c r="S170" s="10" t="s">
        <v>5227</v>
      </c>
      <c r="T170" s="9"/>
      <c r="V170" s="35" t="s">
        <v>4445</v>
      </c>
      <c r="W170" s="35" t="s">
        <v>5326</v>
      </c>
      <c r="X170" s="199" t="s">
        <v>4331</v>
      </c>
      <c r="Y170" s="36">
        <v>5</v>
      </c>
      <c r="Z170" s="36">
        <v>100</v>
      </c>
      <c r="AA170" s="36">
        <v>0</v>
      </c>
      <c r="AB170" s="35" t="s">
        <v>4298</v>
      </c>
    </row>
    <row r="171" spans="1:28">
      <c r="A171" s="9" t="s">
        <v>202</v>
      </c>
      <c r="B171" s="10" t="s">
        <v>203</v>
      </c>
      <c r="C171" s="10" t="s">
        <v>86</v>
      </c>
      <c r="D171" s="10"/>
      <c r="E171" s="10" t="s">
        <v>158</v>
      </c>
      <c r="F171" s="10" t="s">
        <v>159</v>
      </c>
      <c r="G171" s="10" t="s">
        <v>159</v>
      </c>
      <c r="H171" s="10" t="s">
        <v>159</v>
      </c>
      <c r="I171" s="48"/>
      <c r="J171" s="10">
        <f t="shared" si="2"/>
        <v>0</v>
      </c>
      <c r="K171" s="9"/>
      <c r="L171" s="48" t="s">
        <v>4960</v>
      </c>
      <c r="M171" s="10" t="s">
        <v>4458</v>
      </c>
      <c r="N171" s="10" t="s">
        <v>5788</v>
      </c>
      <c r="O171" s="10"/>
      <c r="P171" s="10" t="s">
        <v>5227</v>
      </c>
      <c r="Q171" s="10" t="s">
        <v>5225</v>
      </c>
      <c r="R171" s="10" t="s">
        <v>5225</v>
      </c>
      <c r="S171" s="10" t="s">
        <v>5227</v>
      </c>
      <c r="T171" s="9"/>
      <c r="V171" s="35" t="s">
        <v>4445</v>
      </c>
      <c r="W171" s="35" t="s">
        <v>4968</v>
      </c>
      <c r="X171" s="199" t="s">
        <v>4152</v>
      </c>
      <c r="Y171" s="36">
        <v>5</v>
      </c>
      <c r="Z171" s="36">
        <v>200</v>
      </c>
      <c r="AA171" s="36">
        <v>0</v>
      </c>
      <c r="AB171" s="35" t="s">
        <v>4019</v>
      </c>
    </row>
    <row r="172" spans="1:28">
      <c r="A172" s="9" t="s">
        <v>4083</v>
      </c>
      <c r="B172" s="10" t="s">
        <v>4549</v>
      </c>
      <c r="C172" s="10" t="s">
        <v>5349</v>
      </c>
      <c r="D172" s="10"/>
      <c r="E172" s="10" t="s">
        <v>5225</v>
      </c>
      <c r="F172" s="10" t="s">
        <v>5225</v>
      </c>
      <c r="G172" s="10" t="s">
        <v>5225</v>
      </c>
      <c r="H172" s="10" t="s">
        <v>5225</v>
      </c>
      <c r="I172" s="48" t="s">
        <v>4803</v>
      </c>
      <c r="J172" s="10" t="str">
        <f t="shared" si="2"/>
        <v>NA</v>
      </c>
      <c r="K172" s="9"/>
      <c r="L172" s="48" t="s">
        <v>4956</v>
      </c>
      <c r="M172" s="10" t="s">
        <v>204</v>
      </c>
      <c r="N172" s="10" t="s">
        <v>5390</v>
      </c>
      <c r="O172" s="10"/>
      <c r="P172" s="10" t="s">
        <v>5227</v>
      </c>
      <c r="Q172" s="10" t="s">
        <v>5225</v>
      </c>
      <c r="R172" s="10" t="s">
        <v>5225</v>
      </c>
      <c r="S172" s="10" t="s">
        <v>5227</v>
      </c>
      <c r="T172" s="9"/>
      <c r="V172" s="35" t="s">
        <v>4445</v>
      </c>
      <c r="W172" s="35" t="s">
        <v>5326</v>
      </c>
      <c r="X172" s="199" t="s">
        <v>4021</v>
      </c>
      <c r="Y172" s="36">
        <v>5</v>
      </c>
      <c r="Z172" s="36">
        <v>100</v>
      </c>
      <c r="AA172" s="36">
        <v>1</v>
      </c>
      <c r="AB172" s="35" t="s">
        <v>4022</v>
      </c>
    </row>
    <row r="173" spans="1:28">
      <c r="A173" s="9" t="s">
        <v>4087</v>
      </c>
      <c r="B173" s="10" t="s">
        <v>4348</v>
      </c>
      <c r="C173" s="10" t="s">
        <v>5349</v>
      </c>
      <c r="D173" s="10"/>
      <c r="E173" s="10" t="s">
        <v>5225</v>
      </c>
      <c r="F173" s="10" t="s">
        <v>5225</v>
      </c>
      <c r="G173" s="10" t="s">
        <v>5225</v>
      </c>
      <c r="H173" s="10" t="s">
        <v>5225</v>
      </c>
      <c r="I173" s="48"/>
      <c r="J173" s="10" t="str">
        <f t="shared" si="2"/>
        <v>NA</v>
      </c>
      <c r="K173" s="9"/>
      <c r="L173" s="48" t="s">
        <v>5230</v>
      </c>
      <c r="M173" s="10" t="s">
        <v>176</v>
      </c>
      <c r="N173" s="10" t="s">
        <v>5786</v>
      </c>
      <c r="O173" s="10"/>
      <c r="P173" s="10" t="s">
        <v>5227</v>
      </c>
      <c r="Q173" s="10" t="s">
        <v>5225</v>
      </c>
      <c r="R173" s="10" t="s">
        <v>5225</v>
      </c>
      <c r="S173" s="10" t="s">
        <v>5225</v>
      </c>
      <c r="T173" s="9"/>
      <c r="V173" s="35" t="s">
        <v>4445</v>
      </c>
      <c r="W173" s="35" t="s">
        <v>4958</v>
      </c>
      <c r="X173" s="199" t="s">
        <v>4703</v>
      </c>
      <c r="Y173" s="36">
        <v>5</v>
      </c>
      <c r="Z173" s="36">
        <v>200</v>
      </c>
      <c r="AA173" s="36">
        <v>0</v>
      </c>
      <c r="AB173" s="35" t="s">
        <v>4704</v>
      </c>
    </row>
    <row r="174" spans="1:28">
      <c r="A174" s="9" t="s">
        <v>4241</v>
      </c>
      <c r="B174" s="10" t="s">
        <v>4672</v>
      </c>
      <c r="C174" s="10" t="s">
        <v>5786</v>
      </c>
      <c r="D174" s="10"/>
      <c r="E174" s="10" t="s">
        <v>5227</v>
      </c>
      <c r="F174" s="10" t="s">
        <v>5225</v>
      </c>
      <c r="G174" s="10">
        <v>1</v>
      </c>
      <c r="H174" s="10" t="s">
        <v>5225</v>
      </c>
      <c r="I174" s="48" t="s">
        <v>4501</v>
      </c>
      <c r="J174" s="10">
        <f t="shared" si="2"/>
        <v>0</v>
      </c>
      <c r="K174" s="9"/>
      <c r="L174" s="48" t="s">
        <v>4080</v>
      </c>
      <c r="M174" s="10" t="s">
        <v>204</v>
      </c>
      <c r="N174" s="10" t="s">
        <v>5788</v>
      </c>
      <c r="O174" s="10"/>
      <c r="P174" s="10" t="s">
        <v>5227</v>
      </c>
      <c r="Q174" s="10" t="s">
        <v>5225</v>
      </c>
      <c r="R174" s="10" t="s">
        <v>5225</v>
      </c>
      <c r="S174" s="10" t="s">
        <v>5227</v>
      </c>
      <c r="T174" s="9"/>
      <c r="V174" s="222" t="s">
        <v>4445</v>
      </c>
      <c r="W174" s="222" t="s">
        <v>4900</v>
      </c>
      <c r="X174" s="223" t="s">
        <v>4023</v>
      </c>
      <c r="Y174" s="224">
        <v>5</v>
      </c>
      <c r="Z174" s="224">
        <v>300</v>
      </c>
      <c r="AA174" s="224">
        <v>2</v>
      </c>
      <c r="AB174" s="222" t="s">
        <v>3860</v>
      </c>
    </row>
    <row r="175" spans="1:28">
      <c r="A175" s="9" t="s">
        <v>4384</v>
      </c>
      <c r="B175" s="10" t="s">
        <v>4364</v>
      </c>
      <c r="C175" s="10" t="s">
        <v>5786</v>
      </c>
      <c r="D175" s="10">
        <v>2</v>
      </c>
      <c r="E175" s="10" t="s">
        <v>5227</v>
      </c>
      <c r="F175" s="10" t="s">
        <v>5225</v>
      </c>
      <c r="G175" s="10" t="s">
        <v>4743</v>
      </c>
      <c r="H175" s="10" t="s">
        <v>5225</v>
      </c>
      <c r="I175" s="48" t="s">
        <v>4365</v>
      </c>
      <c r="J175" s="10">
        <f t="shared" si="2"/>
        <v>0</v>
      </c>
      <c r="K175" s="9"/>
      <c r="L175" s="48" t="s">
        <v>4084</v>
      </c>
      <c r="M175" s="10" t="s">
        <v>3644</v>
      </c>
      <c r="N175" s="10" t="s">
        <v>5787</v>
      </c>
      <c r="O175" s="10">
        <v>10</v>
      </c>
      <c r="P175" s="10" t="s">
        <v>5225</v>
      </c>
      <c r="Q175" s="10" t="s">
        <v>5225</v>
      </c>
      <c r="R175" s="10">
        <v>1</v>
      </c>
      <c r="S175" s="10" t="s">
        <v>5227</v>
      </c>
      <c r="T175" s="9"/>
      <c r="V175" s="35" t="s">
        <v>4445</v>
      </c>
      <c r="W175" s="35" t="s">
        <v>4797</v>
      </c>
      <c r="X175" s="199" t="s">
        <v>3861</v>
      </c>
      <c r="Y175" s="36">
        <v>5</v>
      </c>
      <c r="Z175" s="36">
        <v>100</v>
      </c>
      <c r="AA175" s="40" t="s">
        <v>4931</v>
      </c>
      <c r="AB175" s="35" t="s">
        <v>4175</v>
      </c>
    </row>
    <row r="176" spans="1:28">
      <c r="A176" s="9" t="s">
        <v>4387</v>
      </c>
      <c r="B176" s="10" t="s">
        <v>4161</v>
      </c>
      <c r="C176" s="10" t="s">
        <v>5390</v>
      </c>
      <c r="D176" s="86">
        <v>0</v>
      </c>
      <c r="E176" s="10" t="s">
        <v>5227</v>
      </c>
      <c r="F176" s="10" t="s">
        <v>5225</v>
      </c>
      <c r="G176" s="10">
        <v>2</v>
      </c>
      <c r="H176" s="10" t="s">
        <v>5225</v>
      </c>
      <c r="I176" s="48"/>
      <c r="J176" s="10">
        <f t="shared" si="2"/>
        <v>0</v>
      </c>
      <c r="L176" s="48" t="s">
        <v>4088</v>
      </c>
      <c r="M176" s="10" t="s">
        <v>3642</v>
      </c>
      <c r="N176" s="10" t="s">
        <v>5390</v>
      </c>
      <c r="O176" s="10"/>
      <c r="P176" s="10" t="s">
        <v>159</v>
      </c>
      <c r="Q176" s="10" t="s">
        <v>5225</v>
      </c>
      <c r="R176" s="10" t="s">
        <v>4583</v>
      </c>
      <c r="S176" s="10" t="s">
        <v>5227</v>
      </c>
      <c r="T176" s="9"/>
      <c r="V176" s="35" t="s">
        <v>4445</v>
      </c>
      <c r="W176" s="35" t="s">
        <v>4797</v>
      </c>
      <c r="X176" s="199" t="s">
        <v>4176</v>
      </c>
      <c r="Y176" s="36">
        <v>6</v>
      </c>
      <c r="Z176" s="36">
        <v>100</v>
      </c>
      <c r="AA176" s="36">
        <v>2</v>
      </c>
      <c r="AB176" s="35" t="s">
        <v>4313</v>
      </c>
    </row>
    <row r="177" spans="1:28">
      <c r="A177" s="9" t="s">
        <v>4614</v>
      </c>
      <c r="B177" s="10" t="s">
        <v>4393</v>
      </c>
      <c r="C177" s="10" t="s">
        <v>5788</v>
      </c>
      <c r="D177" s="86"/>
      <c r="E177" s="10" t="s">
        <v>5227</v>
      </c>
      <c r="F177" s="10" t="s">
        <v>5225</v>
      </c>
      <c r="G177" s="10" t="s">
        <v>5225</v>
      </c>
      <c r="H177" s="10" t="s">
        <v>5227</v>
      </c>
      <c r="I177" s="48"/>
      <c r="J177" s="10">
        <f t="shared" si="2"/>
        <v>0</v>
      </c>
      <c r="L177" s="48" t="s">
        <v>4727</v>
      </c>
      <c r="M177" s="10" t="s">
        <v>3642</v>
      </c>
      <c r="N177" s="10" t="s">
        <v>5787</v>
      </c>
      <c r="O177" s="10"/>
      <c r="P177" s="10" t="s">
        <v>5225</v>
      </c>
      <c r="Q177" s="10" t="s">
        <v>5225</v>
      </c>
      <c r="R177" s="10">
        <v>1</v>
      </c>
      <c r="S177" s="10" t="s">
        <v>5227</v>
      </c>
      <c r="T177" s="9"/>
      <c r="V177" s="35" t="s">
        <v>4445</v>
      </c>
      <c r="W177" s="35" t="s">
        <v>5326</v>
      </c>
      <c r="X177" s="199" t="s">
        <v>4081</v>
      </c>
      <c r="Y177" s="36">
        <v>6</v>
      </c>
      <c r="Z177" s="36">
        <v>100</v>
      </c>
      <c r="AA177" s="36">
        <v>3</v>
      </c>
      <c r="AB177" s="35" t="s">
        <v>4082</v>
      </c>
    </row>
    <row r="178" spans="1:28">
      <c r="A178" s="9" t="s">
        <v>4617</v>
      </c>
      <c r="B178" s="10" t="s">
        <v>5233</v>
      </c>
      <c r="C178" s="10" t="s">
        <v>5786</v>
      </c>
      <c r="D178" s="10"/>
      <c r="E178" s="10" t="s">
        <v>5225</v>
      </c>
      <c r="F178" s="10" t="s">
        <v>5225</v>
      </c>
      <c r="G178" s="10" t="s">
        <v>5225</v>
      </c>
      <c r="H178" s="10" t="s">
        <v>5227</v>
      </c>
      <c r="I178" s="48" t="s">
        <v>4625</v>
      </c>
      <c r="J178" s="10">
        <f t="shared" si="2"/>
        <v>0</v>
      </c>
      <c r="L178" s="48" t="s">
        <v>5433</v>
      </c>
      <c r="M178" s="10" t="s">
        <v>3831</v>
      </c>
      <c r="N178" s="10" t="s">
        <v>5390</v>
      </c>
      <c r="O178" s="10"/>
      <c r="P178" s="10" t="s">
        <v>5227</v>
      </c>
      <c r="Q178" s="10" t="s">
        <v>5225</v>
      </c>
      <c r="R178" s="10" t="s">
        <v>5225</v>
      </c>
      <c r="S178" s="10" t="s">
        <v>5227</v>
      </c>
      <c r="T178" s="9"/>
      <c r="V178" s="35" t="s">
        <v>4445</v>
      </c>
      <c r="W178" s="35" t="s">
        <v>5326</v>
      </c>
      <c r="X178" s="199" t="s">
        <v>4317</v>
      </c>
      <c r="Y178" s="36">
        <v>6</v>
      </c>
      <c r="Z178" s="36">
        <v>100</v>
      </c>
      <c r="AA178" s="36">
        <v>2</v>
      </c>
      <c r="AB178" s="35" t="s">
        <v>4318</v>
      </c>
    </row>
    <row r="179" spans="1:28">
      <c r="A179" s="9" t="s">
        <v>4483</v>
      </c>
      <c r="B179" s="10" t="s">
        <v>4348</v>
      </c>
      <c r="C179" s="10" t="s">
        <v>5786</v>
      </c>
      <c r="D179" s="10"/>
      <c r="E179" s="10" t="s">
        <v>5227</v>
      </c>
      <c r="F179" s="10" t="s">
        <v>5225</v>
      </c>
      <c r="G179" s="10">
        <v>1</v>
      </c>
      <c r="H179" s="10" t="s">
        <v>5227</v>
      </c>
      <c r="I179" s="48"/>
      <c r="J179" s="10">
        <f t="shared" si="2"/>
        <v>0</v>
      </c>
      <c r="L179" s="48" t="s">
        <v>4388</v>
      </c>
      <c r="M179" s="10" t="s">
        <v>3644</v>
      </c>
      <c r="N179" s="10" t="s">
        <v>5596</v>
      </c>
      <c r="O179" s="10"/>
      <c r="P179" s="10" t="s">
        <v>5225</v>
      </c>
      <c r="Q179" s="10" t="s">
        <v>5225</v>
      </c>
      <c r="R179" s="10" t="s">
        <v>5225</v>
      </c>
      <c r="S179" s="10" t="s">
        <v>5227</v>
      </c>
      <c r="T179" s="9"/>
      <c r="V179" s="35" t="s">
        <v>4445</v>
      </c>
      <c r="W179" s="35" t="s">
        <v>5326</v>
      </c>
      <c r="X179" s="199" t="s">
        <v>4320</v>
      </c>
      <c r="Y179" s="36">
        <v>7</v>
      </c>
      <c r="Z179" s="36">
        <v>100</v>
      </c>
      <c r="AA179" s="36">
        <v>1</v>
      </c>
      <c r="AB179" s="35" t="s">
        <v>4181</v>
      </c>
    </row>
    <row r="180" spans="1:28">
      <c r="A180" s="9" t="s">
        <v>4266</v>
      </c>
      <c r="B180" s="10" t="s">
        <v>4667</v>
      </c>
      <c r="C180" s="10" t="s">
        <v>5787</v>
      </c>
      <c r="D180" s="10"/>
      <c r="E180" s="10" t="s">
        <v>5227</v>
      </c>
      <c r="F180" s="10" t="s">
        <v>5225</v>
      </c>
      <c r="G180" s="10">
        <v>4</v>
      </c>
      <c r="H180" s="10" t="s">
        <v>5225</v>
      </c>
      <c r="I180" s="48"/>
      <c r="J180" s="10">
        <f t="shared" si="2"/>
        <v>0</v>
      </c>
      <c r="L180" s="48" t="s">
        <v>4967</v>
      </c>
      <c r="M180" s="10" t="s">
        <v>4135</v>
      </c>
      <c r="N180" s="10" t="s">
        <v>5787</v>
      </c>
      <c r="O180" s="10">
        <v>10</v>
      </c>
      <c r="P180" s="10" t="s">
        <v>5225</v>
      </c>
      <c r="Q180" s="10" t="s">
        <v>5225</v>
      </c>
      <c r="R180" s="10" t="s">
        <v>5225</v>
      </c>
      <c r="S180" s="10" t="s">
        <v>5227</v>
      </c>
      <c r="T180" s="9"/>
      <c r="V180" s="222" t="s">
        <v>4445</v>
      </c>
      <c r="W180" s="222" t="s">
        <v>4798</v>
      </c>
      <c r="X180" s="223" t="s">
        <v>4324</v>
      </c>
      <c r="Y180" s="224">
        <v>7</v>
      </c>
      <c r="Z180" s="224">
        <v>100</v>
      </c>
      <c r="AA180" s="224" t="s">
        <v>4931</v>
      </c>
      <c r="AB180" s="222" t="s">
        <v>4325</v>
      </c>
    </row>
    <row r="181" spans="1:28">
      <c r="A181" s="9" t="s">
        <v>4270</v>
      </c>
      <c r="B181" s="10" t="s">
        <v>4271</v>
      </c>
      <c r="C181" s="10" t="s">
        <v>5787</v>
      </c>
      <c r="D181" s="10"/>
      <c r="E181" s="10" t="s">
        <v>5227</v>
      </c>
      <c r="F181" s="10" t="s">
        <v>5225</v>
      </c>
      <c r="G181" s="10">
        <v>1</v>
      </c>
      <c r="H181" s="10" t="s">
        <v>5225</v>
      </c>
      <c r="I181" s="48"/>
      <c r="J181" s="10">
        <f t="shared" si="2"/>
        <v>0</v>
      </c>
      <c r="L181" s="48" t="s">
        <v>4396</v>
      </c>
      <c r="M181" s="10" t="s">
        <v>173</v>
      </c>
      <c r="N181" s="10" t="s">
        <v>5390</v>
      </c>
      <c r="O181" s="10"/>
      <c r="P181" s="10" t="s">
        <v>5227</v>
      </c>
      <c r="Q181" s="10" t="s">
        <v>5225</v>
      </c>
      <c r="R181" s="10" t="s">
        <v>5036</v>
      </c>
      <c r="S181" s="10" t="s">
        <v>5227</v>
      </c>
      <c r="T181" s="9"/>
      <c r="V181" s="35" t="s">
        <v>4445</v>
      </c>
      <c r="W181" s="35" t="s">
        <v>4958</v>
      </c>
      <c r="X181" s="199" t="s">
        <v>4326</v>
      </c>
      <c r="Y181" s="36">
        <v>7</v>
      </c>
      <c r="Z181" s="36">
        <v>300</v>
      </c>
      <c r="AA181" s="36">
        <v>3</v>
      </c>
      <c r="AB181" s="35" t="s">
        <v>4327</v>
      </c>
    </row>
    <row r="182" spans="1:28">
      <c r="A182" s="9" t="s">
        <v>4500</v>
      </c>
      <c r="B182" s="10" t="s">
        <v>4672</v>
      </c>
      <c r="C182" s="10" t="s">
        <v>5390</v>
      </c>
      <c r="D182" s="10"/>
      <c r="E182" s="10" t="s">
        <v>5227</v>
      </c>
      <c r="F182" s="10" t="s">
        <v>5225</v>
      </c>
      <c r="G182" s="10" t="s">
        <v>5225</v>
      </c>
      <c r="H182" s="10" t="s">
        <v>5227</v>
      </c>
      <c r="I182" s="48" t="s">
        <v>4501</v>
      </c>
      <c r="J182" s="10">
        <f t="shared" si="2"/>
        <v>0</v>
      </c>
      <c r="L182" s="48" t="s">
        <v>4263</v>
      </c>
      <c r="M182" s="10" t="s">
        <v>173</v>
      </c>
      <c r="N182" s="10" t="s">
        <v>5390</v>
      </c>
      <c r="O182" s="10"/>
      <c r="P182" s="10" t="s">
        <v>5225</v>
      </c>
      <c r="Q182" s="10" t="s">
        <v>5225</v>
      </c>
      <c r="R182" s="10">
        <v>1</v>
      </c>
      <c r="S182" s="10" t="s">
        <v>5227</v>
      </c>
      <c r="T182" s="9"/>
      <c r="V182" s="35" t="s">
        <v>4445</v>
      </c>
      <c r="W182" s="35" t="s">
        <v>4958</v>
      </c>
      <c r="X182" s="199" t="s">
        <v>4328</v>
      </c>
      <c r="Y182" s="36">
        <v>7</v>
      </c>
      <c r="Z182" s="36">
        <v>200</v>
      </c>
      <c r="AA182" s="40">
        <v>1</v>
      </c>
      <c r="AB182" s="35" t="s">
        <v>4184</v>
      </c>
    </row>
    <row r="183" spans="1:28">
      <c r="A183" s="9" t="s">
        <v>4275</v>
      </c>
      <c r="B183" s="10" t="s">
        <v>4348</v>
      </c>
      <c r="C183" s="10" t="s">
        <v>5786</v>
      </c>
      <c r="D183" s="10"/>
      <c r="E183" s="10" t="s">
        <v>5225</v>
      </c>
      <c r="F183" s="10" t="s">
        <v>5225</v>
      </c>
      <c r="G183" s="10">
        <v>1</v>
      </c>
      <c r="H183" s="10" t="s">
        <v>5225</v>
      </c>
      <c r="I183" s="48"/>
      <c r="J183" s="10">
        <f t="shared" si="2"/>
        <v>0</v>
      </c>
      <c r="L183" s="48" t="s">
        <v>4267</v>
      </c>
      <c r="M183" s="10" t="s">
        <v>176</v>
      </c>
      <c r="N183" s="10" t="s">
        <v>5786</v>
      </c>
      <c r="O183" s="10"/>
      <c r="P183" s="10" t="s">
        <v>5227</v>
      </c>
      <c r="Q183" s="10" t="s">
        <v>5225</v>
      </c>
      <c r="R183" s="10" t="s">
        <v>5225</v>
      </c>
      <c r="S183" s="10" t="s">
        <v>5225</v>
      </c>
      <c r="T183" s="9"/>
      <c r="V183" s="35" t="s">
        <v>4445</v>
      </c>
      <c r="W183" s="35" t="s">
        <v>4576</v>
      </c>
      <c r="X183" s="199" t="s">
        <v>4185</v>
      </c>
      <c r="Y183" s="36">
        <v>8</v>
      </c>
      <c r="Z183" s="36">
        <v>200</v>
      </c>
      <c r="AA183" s="36">
        <v>2</v>
      </c>
      <c r="AB183" s="35" t="s">
        <v>4428</v>
      </c>
    </row>
    <row r="184" spans="1:28">
      <c r="A184" s="9" t="s">
        <v>4426</v>
      </c>
      <c r="B184" s="10" t="s">
        <v>144</v>
      </c>
      <c r="C184" s="10" t="s">
        <v>5349</v>
      </c>
      <c r="D184" s="10"/>
      <c r="E184" s="10" t="s">
        <v>5225</v>
      </c>
      <c r="F184" s="10" t="s">
        <v>5225</v>
      </c>
      <c r="G184" s="10">
        <v>0</v>
      </c>
      <c r="H184" s="10" t="s">
        <v>5225</v>
      </c>
      <c r="I184" s="48"/>
      <c r="J184" s="10" t="str">
        <f t="shared" si="2"/>
        <v>NA</v>
      </c>
      <c r="K184" s="9"/>
      <c r="L184" s="48" t="s">
        <v>4272</v>
      </c>
      <c r="M184" s="10" t="s">
        <v>3920</v>
      </c>
      <c r="N184" s="10" t="s">
        <v>5390</v>
      </c>
      <c r="O184" s="10"/>
      <c r="P184" s="10" t="s">
        <v>5227</v>
      </c>
      <c r="Q184" s="10" t="s">
        <v>5225</v>
      </c>
      <c r="R184" s="10" t="s">
        <v>5225</v>
      </c>
      <c r="S184" s="10" t="s">
        <v>5227</v>
      </c>
      <c r="T184" s="9" t="s">
        <v>5341</v>
      </c>
      <c r="V184" s="35" t="s">
        <v>4445</v>
      </c>
      <c r="W184" s="35" t="s">
        <v>4798</v>
      </c>
      <c r="X184" s="199" t="s">
        <v>4190</v>
      </c>
      <c r="Y184" s="36">
        <v>9</v>
      </c>
      <c r="Z184" s="36">
        <v>100</v>
      </c>
      <c r="AA184" s="40" t="s">
        <v>4174</v>
      </c>
      <c r="AB184" s="35" t="s">
        <v>4191</v>
      </c>
    </row>
    <row r="185" spans="1:28">
      <c r="A185" s="9" t="s">
        <v>4429</v>
      </c>
      <c r="B185" s="10" t="s">
        <v>4430</v>
      </c>
      <c r="C185" s="10" t="s">
        <v>5390</v>
      </c>
      <c r="D185" s="10"/>
      <c r="E185" s="10" t="s">
        <v>5227</v>
      </c>
      <c r="F185" s="10" t="s">
        <v>5227</v>
      </c>
      <c r="G185" s="10">
        <v>1</v>
      </c>
      <c r="H185" s="10" t="s">
        <v>5225</v>
      </c>
      <c r="I185" s="48" t="s">
        <v>5341</v>
      </c>
      <c r="J185" s="10">
        <f t="shared" si="2"/>
        <v>0</v>
      </c>
      <c r="K185" s="9"/>
      <c r="L185" s="48" t="s">
        <v>4966</v>
      </c>
      <c r="M185" s="10" t="s">
        <v>173</v>
      </c>
      <c r="N185" s="10" t="s">
        <v>5596</v>
      </c>
      <c r="O185" s="10"/>
      <c r="P185" s="10" t="s">
        <v>5225</v>
      </c>
      <c r="Q185" s="10" t="s">
        <v>5225</v>
      </c>
      <c r="R185" s="10" t="s">
        <v>5225</v>
      </c>
      <c r="S185" s="10" t="s">
        <v>5227</v>
      </c>
      <c r="T185" s="9"/>
      <c r="V185" s="37" t="s">
        <v>4445</v>
      </c>
      <c r="W185" s="37" t="s">
        <v>4798</v>
      </c>
      <c r="X185" s="200" t="s">
        <v>4192</v>
      </c>
      <c r="Y185" s="38">
        <v>11</v>
      </c>
      <c r="Z185" s="38">
        <v>100</v>
      </c>
      <c r="AA185" s="39" t="s">
        <v>4812</v>
      </c>
      <c r="AB185" s="37" t="s">
        <v>4193</v>
      </c>
    </row>
    <row r="186" spans="1:28">
      <c r="A186" s="9" t="s">
        <v>4505</v>
      </c>
      <c r="B186" s="10" t="s">
        <v>4296</v>
      </c>
      <c r="C186" s="10" t="s">
        <v>5786</v>
      </c>
      <c r="D186" s="10"/>
      <c r="E186" s="10" t="s">
        <v>5227</v>
      </c>
      <c r="F186" s="10" t="s">
        <v>5227</v>
      </c>
      <c r="G186" s="10" t="s">
        <v>5225</v>
      </c>
      <c r="H186" s="10" t="s">
        <v>5227</v>
      </c>
      <c r="I186" s="48"/>
      <c r="J186" s="10">
        <f t="shared" si="2"/>
        <v>0</v>
      </c>
      <c r="K186" s="9"/>
      <c r="L186" s="48"/>
      <c r="M186" s="9"/>
      <c r="N186" s="9"/>
      <c r="O186" s="9"/>
      <c r="P186" s="9"/>
      <c r="Q186" s="9"/>
      <c r="R186" s="9"/>
      <c r="S186" s="9"/>
      <c r="T186" s="9"/>
      <c r="V186" s="35" t="s">
        <v>4655</v>
      </c>
      <c r="W186" s="35" t="s">
        <v>4440</v>
      </c>
      <c r="X186" s="199" t="s">
        <v>4168</v>
      </c>
      <c r="Y186" s="36">
        <v>3</v>
      </c>
      <c r="Z186" s="36">
        <v>100</v>
      </c>
      <c r="AA186" s="36">
        <v>2</v>
      </c>
      <c r="AB186" s="35" t="s">
        <v>4169</v>
      </c>
    </row>
    <row r="187" spans="1:28">
      <c r="A187" s="9" t="s">
        <v>4297</v>
      </c>
      <c r="B187" s="10" t="s">
        <v>4296</v>
      </c>
      <c r="C187" s="10" t="s">
        <v>5787</v>
      </c>
      <c r="D187" s="10"/>
      <c r="E187" s="10" t="s">
        <v>5225</v>
      </c>
      <c r="F187" s="10" t="s">
        <v>5225</v>
      </c>
      <c r="G187" s="10">
        <v>2</v>
      </c>
      <c r="H187" s="10" t="s">
        <v>5225</v>
      </c>
      <c r="I187" s="48"/>
      <c r="J187" s="10">
        <f t="shared" si="2"/>
        <v>0</v>
      </c>
      <c r="K187" s="9"/>
      <c r="L187" s="48"/>
      <c r="M187" s="9"/>
      <c r="N187" s="9"/>
      <c r="O187" s="9"/>
      <c r="P187" s="9"/>
      <c r="Q187" s="9"/>
      <c r="R187" s="9"/>
      <c r="S187" s="9"/>
      <c r="T187" s="9"/>
      <c r="V187" s="35" t="s">
        <v>4655</v>
      </c>
      <c r="W187" s="35" t="s">
        <v>4509</v>
      </c>
      <c r="X187" s="199" t="s">
        <v>4199</v>
      </c>
      <c r="Y187" s="36">
        <v>5</v>
      </c>
      <c r="Z187" s="36">
        <v>100</v>
      </c>
      <c r="AA187" s="36">
        <v>2</v>
      </c>
      <c r="AB187" s="35" t="s">
        <v>4356</v>
      </c>
    </row>
    <row r="188" spans="1:28">
      <c r="A188" s="9" t="s">
        <v>4151</v>
      </c>
      <c r="B188" s="10" t="s">
        <v>4079</v>
      </c>
      <c r="C188" s="10" t="s">
        <v>5390</v>
      </c>
      <c r="D188" s="10"/>
      <c r="E188" s="10" t="s">
        <v>5225</v>
      </c>
      <c r="F188" s="10" t="s">
        <v>5227</v>
      </c>
      <c r="G188" s="10">
        <v>2</v>
      </c>
      <c r="H188" s="10" t="s">
        <v>5225</v>
      </c>
      <c r="I188" s="48"/>
      <c r="J188" s="10">
        <f t="shared" si="2"/>
        <v>0</v>
      </c>
      <c r="K188" s="9"/>
      <c r="L188" s="48"/>
      <c r="M188" s="9"/>
      <c r="N188" s="9"/>
      <c r="O188" s="9"/>
      <c r="P188" s="9"/>
      <c r="Q188" s="9"/>
      <c r="R188" s="9"/>
      <c r="S188" s="9"/>
      <c r="T188" s="9"/>
      <c r="V188" s="35" t="s">
        <v>4655</v>
      </c>
      <c r="W188" s="35" t="s">
        <v>4481</v>
      </c>
      <c r="X188" s="199" t="s">
        <v>4358</v>
      </c>
      <c r="Y188" s="36">
        <v>5</v>
      </c>
      <c r="Z188" s="36">
        <v>100</v>
      </c>
      <c r="AA188" s="36">
        <v>2</v>
      </c>
      <c r="AB188" s="35" t="s">
        <v>4359</v>
      </c>
    </row>
    <row r="189" spans="1:28">
      <c r="A189" s="9" t="s">
        <v>4020</v>
      </c>
      <c r="B189" s="10" t="s">
        <v>4079</v>
      </c>
      <c r="C189" s="10" t="s">
        <v>5788</v>
      </c>
      <c r="D189" s="10"/>
      <c r="E189" s="10" t="s">
        <v>5227</v>
      </c>
      <c r="F189" s="10" t="s">
        <v>5225</v>
      </c>
      <c r="G189" s="10">
        <v>1</v>
      </c>
      <c r="H189" s="10" t="s">
        <v>5225</v>
      </c>
      <c r="I189" s="48"/>
      <c r="J189" s="10">
        <f t="shared" si="2"/>
        <v>0</v>
      </c>
      <c r="K189" s="9"/>
      <c r="L189" s="48"/>
      <c r="M189" s="9"/>
      <c r="N189" s="9"/>
      <c r="O189" s="9"/>
      <c r="P189" s="9"/>
      <c r="Q189" s="9"/>
      <c r="R189" s="9"/>
      <c r="S189" s="9"/>
      <c r="T189" s="9"/>
      <c r="V189" s="35" t="s">
        <v>4655</v>
      </c>
      <c r="W189" s="35" t="s">
        <v>4956</v>
      </c>
      <c r="X189" s="199" t="s">
        <v>5128</v>
      </c>
      <c r="Y189" s="36">
        <v>5</v>
      </c>
      <c r="Z189" s="36">
        <v>100</v>
      </c>
      <c r="AA189" s="36">
        <v>2</v>
      </c>
      <c r="AB189" s="35" t="s">
        <v>5129</v>
      </c>
    </row>
    <row r="190" spans="1:28">
      <c r="A190" s="9" t="s">
        <v>4509</v>
      </c>
      <c r="B190" s="10" t="s">
        <v>4296</v>
      </c>
      <c r="C190" s="10" t="s">
        <v>5788</v>
      </c>
      <c r="D190" s="10"/>
      <c r="E190" s="10" t="s">
        <v>5227</v>
      </c>
      <c r="F190" s="10" t="s">
        <v>5225</v>
      </c>
      <c r="G190" s="10" t="s">
        <v>5225</v>
      </c>
      <c r="H190" s="10" t="s">
        <v>5227</v>
      </c>
      <c r="I190" s="48"/>
      <c r="J190" s="10">
        <f t="shared" si="2"/>
        <v>0</v>
      </c>
      <c r="K190" s="9"/>
      <c r="L190" s="9"/>
      <c r="M190" s="10"/>
      <c r="N190" s="10"/>
      <c r="O190" s="10"/>
      <c r="P190" s="10"/>
      <c r="Q190" s="10"/>
      <c r="R190" s="10"/>
      <c r="S190" s="10"/>
      <c r="V190" s="35" t="s">
        <v>4655</v>
      </c>
      <c r="W190" s="35" t="s">
        <v>4956</v>
      </c>
      <c r="X190" s="199" t="s">
        <v>4900</v>
      </c>
      <c r="Y190" s="36">
        <v>6</v>
      </c>
      <c r="Z190" s="36">
        <v>100</v>
      </c>
      <c r="AA190" s="36">
        <v>1</v>
      </c>
      <c r="AB190" s="35" t="s">
        <v>4361</v>
      </c>
    </row>
    <row r="191" spans="1:28">
      <c r="A191" s="9" t="s">
        <v>4484</v>
      </c>
      <c r="B191" s="10" t="s">
        <v>4079</v>
      </c>
      <c r="C191" s="10" t="s">
        <v>5786</v>
      </c>
      <c r="D191" s="10"/>
      <c r="E191" s="10" t="s">
        <v>5227</v>
      </c>
      <c r="F191" s="10" t="s">
        <v>5227</v>
      </c>
      <c r="G191" s="10">
        <v>2</v>
      </c>
      <c r="H191" s="10" t="s">
        <v>5225</v>
      </c>
      <c r="I191" s="48"/>
      <c r="J191" s="10">
        <f t="shared" si="2"/>
        <v>0</v>
      </c>
      <c r="K191" s="9"/>
      <c r="L191" s="48"/>
      <c r="M191" s="9"/>
      <c r="N191" s="9"/>
      <c r="O191" s="9"/>
      <c r="P191" s="9"/>
      <c r="Q191" s="9"/>
      <c r="R191" s="9"/>
      <c r="S191" s="9"/>
      <c r="T191" s="9"/>
      <c r="V191" s="222" t="s">
        <v>4655</v>
      </c>
      <c r="W191" s="222" t="s">
        <v>4223</v>
      </c>
      <c r="X191" s="223" t="s">
        <v>4067</v>
      </c>
      <c r="Y191" s="224">
        <v>7</v>
      </c>
      <c r="Z191" s="224">
        <v>200</v>
      </c>
      <c r="AA191" s="225">
        <v>0</v>
      </c>
      <c r="AB191" s="222" t="s">
        <v>4068</v>
      </c>
    </row>
    <row r="192" spans="1:28">
      <c r="A192" s="9" t="s">
        <v>4680</v>
      </c>
      <c r="B192" s="10" t="s">
        <v>4296</v>
      </c>
      <c r="C192" s="10" t="s">
        <v>5787</v>
      </c>
      <c r="D192" s="10"/>
      <c r="E192" s="10" t="s">
        <v>5227</v>
      </c>
      <c r="F192" s="10" t="s">
        <v>5225</v>
      </c>
      <c r="G192" s="10" t="s">
        <v>5225</v>
      </c>
      <c r="H192" s="10" t="s">
        <v>5225</v>
      </c>
      <c r="I192" s="48"/>
      <c r="J192" s="10">
        <f t="shared" si="2"/>
        <v>0</v>
      </c>
      <c r="K192" s="9"/>
      <c r="L192" s="48"/>
      <c r="M192" s="9"/>
      <c r="N192" s="9"/>
      <c r="O192" s="9"/>
      <c r="P192" s="9"/>
      <c r="Q192" s="9"/>
      <c r="R192" s="9"/>
      <c r="S192" s="9"/>
      <c r="T192" s="9"/>
      <c r="V192" s="35" t="s">
        <v>4655</v>
      </c>
      <c r="W192" s="35" t="s">
        <v>4956</v>
      </c>
      <c r="X192" s="199" t="s">
        <v>4070</v>
      </c>
      <c r="Y192" s="36">
        <v>7</v>
      </c>
      <c r="Z192" s="36">
        <v>100</v>
      </c>
      <c r="AA192" s="36" t="s">
        <v>4561</v>
      </c>
      <c r="AB192" s="35" t="s">
        <v>4071</v>
      </c>
    </row>
    <row r="193" spans="1:28">
      <c r="A193" s="9" t="s">
        <v>4468</v>
      </c>
      <c r="B193" s="10" t="s">
        <v>4296</v>
      </c>
      <c r="C193" s="10" t="s">
        <v>5597</v>
      </c>
      <c r="D193" s="10"/>
      <c r="E193" s="10" t="s">
        <v>5227</v>
      </c>
      <c r="F193" s="10" t="s">
        <v>5225</v>
      </c>
      <c r="G193" s="10" t="s">
        <v>5225</v>
      </c>
      <c r="H193" s="10" t="s">
        <v>5225</v>
      </c>
      <c r="I193" s="48"/>
      <c r="J193" s="10">
        <f t="shared" si="2"/>
        <v>0</v>
      </c>
      <c r="K193" s="9"/>
      <c r="L193" s="48"/>
      <c r="M193" s="9"/>
      <c r="N193" s="9"/>
      <c r="O193" s="9"/>
      <c r="P193" s="9"/>
      <c r="Q193" s="9"/>
      <c r="R193" s="9"/>
      <c r="S193" s="9"/>
      <c r="T193" s="9"/>
      <c r="V193" s="35" t="s">
        <v>4655</v>
      </c>
      <c r="W193" s="35" t="s">
        <v>4226</v>
      </c>
      <c r="X193" s="199" t="s">
        <v>4582</v>
      </c>
      <c r="Y193" s="36">
        <v>8</v>
      </c>
      <c r="Z193" s="36">
        <v>200</v>
      </c>
      <c r="AA193" s="40" t="s">
        <v>4762</v>
      </c>
      <c r="AB193" s="35" t="s">
        <v>4075</v>
      </c>
    </row>
    <row r="194" spans="1:28">
      <c r="A194" s="9" t="s">
        <v>4314</v>
      </c>
      <c r="B194" s="10" t="s">
        <v>4315</v>
      </c>
      <c r="C194" s="10" t="s">
        <v>5786</v>
      </c>
      <c r="D194" s="10"/>
      <c r="E194" s="10" t="s">
        <v>5227</v>
      </c>
      <c r="F194" s="10" t="s">
        <v>5225</v>
      </c>
      <c r="G194" s="10">
        <v>3</v>
      </c>
      <c r="H194" s="10" t="s">
        <v>5225</v>
      </c>
      <c r="I194" s="48"/>
      <c r="J194" s="10">
        <f t="shared" si="2"/>
        <v>0</v>
      </c>
      <c r="K194" s="9"/>
      <c r="L194" s="48"/>
      <c r="M194" s="9"/>
      <c r="N194" s="9"/>
      <c r="O194" s="9"/>
      <c r="P194" s="9"/>
      <c r="Q194" s="9"/>
      <c r="R194" s="9"/>
      <c r="S194" s="9"/>
      <c r="T194" s="9"/>
      <c r="V194" s="35" t="s">
        <v>4655</v>
      </c>
      <c r="W194" s="35" t="s">
        <v>4505</v>
      </c>
      <c r="X194" s="199" t="s">
        <v>4535</v>
      </c>
      <c r="Y194" s="36">
        <v>8</v>
      </c>
      <c r="Z194" s="36">
        <v>400</v>
      </c>
      <c r="AA194" s="36" t="s">
        <v>4536</v>
      </c>
      <c r="AB194" s="35" t="s">
        <v>3971</v>
      </c>
    </row>
    <row r="195" spans="1:28">
      <c r="A195" s="9" t="s">
        <v>4376</v>
      </c>
      <c r="B195" s="10" t="s">
        <v>4316</v>
      </c>
      <c r="C195" s="10" t="s">
        <v>5788</v>
      </c>
      <c r="D195" s="10"/>
      <c r="E195" s="10" t="s">
        <v>5227</v>
      </c>
      <c r="F195" s="10" t="s">
        <v>5227</v>
      </c>
      <c r="G195" s="10" t="s">
        <v>5225</v>
      </c>
      <c r="H195" s="10" t="s">
        <v>5227</v>
      </c>
      <c r="I195" s="48"/>
      <c r="J195" s="10">
        <f t="shared" ref="J195:J259" si="3">IF(C195="Rank","NA",0)</f>
        <v>0</v>
      </c>
      <c r="K195" s="9"/>
      <c r="L195" s="48"/>
      <c r="M195" s="9"/>
      <c r="N195" s="9"/>
      <c r="O195" s="9"/>
      <c r="P195" s="9"/>
      <c r="Q195" s="9"/>
      <c r="R195" s="9"/>
      <c r="S195" s="9"/>
      <c r="T195" s="9"/>
      <c r="V195" s="35" t="s">
        <v>4655</v>
      </c>
      <c r="W195" s="35" t="s">
        <v>4956</v>
      </c>
      <c r="X195" s="199" t="s">
        <v>3972</v>
      </c>
      <c r="Y195" s="36">
        <v>8</v>
      </c>
      <c r="Z195" s="36">
        <v>100</v>
      </c>
      <c r="AA195" s="36">
        <v>1</v>
      </c>
      <c r="AB195" s="35" t="s">
        <v>3973</v>
      </c>
    </row>
    <row r="196" spans="1:28">
      <c r="A196" s="9" t="s">
        <v>4319</v>
      </c>
      <c r="B196" s="10" t="s">
        <v>4161</v>
      </c>
      <c r="C196" s="10" t="s">
        <v>5349</v>
      </c>
      <c r="D196" s="10"/>
      <c r="E196" s="10" t="s">
        <v>5225</v>
      </c>
      <c r="F196" s="10" t="s">
        <v>5227</v>
      </c>
      <c r="G196" s="10" t="s">
        <v>5225</v>
      </c>
      <c r="H196" s="10" t="s">
        <v>5225</v>
      </c>
      <c r="I196" s="48"/>
      <c r="J196" s="10" t="str">
        <f t="shared" si="3"/>
        <v>NA</v>
      </c>
      <c r="K196" s="9"/>
      <c r="L196" s="48"/>
      <c r="M196" s="9"/>
      <c r="N196" s="9"/>
      <c r="O196" s="9"/>
      <c r="P196" s="9"/>
      <c r="Q196" s="9"/>
      <c r="R196" s="9"/>
      <c r="S196" s="9"/>
      <c r="T196" s="9"/>
      <c r="V196" s="37" t="s">
        <v>4655</v>
      </c>
      <c r="W196" s="37" t="s">
        <v>5137</v>
      </c>
      <c r="X196" s="200" t="s">
        <v>4848</v>
      </c>
      <c r="Y196" s="38">
        <v>11</v>
      </c>
      <c r="Z196" s="38">
        <v>100</v>
      </c>
      <c r="AA196" s="39" t="s">
        <v>4762</v>
      </c>
      <c r="AB196" s="37" t="s">
        <v>4849</v>
      </c>
    </row>
    <row r="197" spans="1:28">
      <c r="A197" s="9" t="s">
        <v>4322</v>
      </c>
      <c r="B197" s="10" t="s">
        <v>4323</v>
      </c>
      <c r="C197" s="10" t="s">
        <v>5390</v>
      </c>
      <c r="D197" s="10"/>
      <c r="E197" s="10" t="s">
        <v>5227</v>
      </c>
      <c r="F197" s="10" t="s">
        <v>5227</v>
      </c>
      <c r="G197" s="10" t="s">
        <v>5225</v>
      </c>
      <c r="H197" s="10" t="s">
        <v>5225</v>
      </c>
      <c r="I197" s="48"/>
      <c r="J197" s="10">
        <f t="shared" si="3"/>
        <v>0</v>
      </c>
      <c r="K197" s="9"/>
      <c r="L197" s="48"/>
      <c r="M197" s="9"/>
      <c r="N197" s="9"/>
      <c r="O197" s="9"/>
      <c r="P197" s="9"/>
      <c r="Q197" s="9"/>
      <c r="R197" s="9"/>
      <c r="S197" s="9"/>
      <c r="T197" s="9"/>
      <c r="V197" s="35" t="s">
        <v>4643</v>
      </c>
      <c r="W197" s="35" t="s">
        <v>4601</v>
      </c>
      <c r="X197" s="199" t="s">
        <v>4123</v>
      </c>
      <c r="Y197" s="36">
        <v>4</v>
      </c>
      <c r="Z197" s="36">
        <v>100</v>
      </c>
      <c r="AA197" s="36">
        <v>0</v>
      </c>
      <c r="AB197" s="35" t="s">
        <v>4124</v>
      </c>
    </row>
    <row r="198" spans="1:28">
      <c r="A198" s="9" t="s">
        <v>4629</v>
      </c>
      <c r="B198" s="10" t="s">
        <v>4316</v>
      </c>
      <c r="C198" s="10" t="s">
        <v>5787</v>
      </c>
      <c r="D198" s="10">
        <v>3</v>
      </c>
      <c r="E198" s="10" t="s">
        <v>182</v>
      </c>
      <c r="F198" s="10" t="s">
        <v>5227</v>
      </c>
      <c r="G198" s="10">
        <v>2</v>
      </c>
      <c r="H198" s="10" t="s">
        <v>5225</v>
      </c>
      <c r="I198" s="48"/>
      <c r="J198" s="10">
        <f t="shared" si="3"/>
        <v>0</v>
      </c>
      <c r="K198" s="9"/>
      <c r="L198" s="48"/>
      <c r="M198" s="9"/>
      <c r="N198" s="9"/>
      <c r="O198" s="9"/>
      <c r="P198" s="9"/>
      <c r="Q198" s="9"/>
      <c r="R198" s="9"/>
      <c r="S198" s="9"/>
      <c r="T198" s="9"/>
      <c r="V198" s="35" t="s">
        <v>4643</v>
      </c>
      <c r="W198" s="35" t="s">
        <v>4960</v>
      </c>
      <c r="X198" s="199" t="s">
        <v>4126</v>
      </c>
      <c r="Y198" s="36">
        <v>4</v>
      </c>
      <c r="Z198" s="36">
        <v>100</v>
      </c>
      <c r="AA198" s="36">
        <v>0</v>
      </c>
      <c r="AB198" s="35" t="s">
        <v>4090</v>
      </c>
    </row>
    <row r="199" spans="1:28">
      <c r="A199" s="9" t="s">
        <v>205</v>
      </c>
      <c r="B199" s="10" t="s">
        <v>206</v>
      </c>
      <c r="C199" s="10" t="s">
        <v>207</v>
      </c>
      <c r="D199" s="10"/>
      <c r="E199" s="10" t="s">
        <v>183</v>
      </c>
      <c r="F199" s="10" t="s">
        <v>182</v>
      </c>
      <c r="G199" s="10">
        <v>0</v>
      </c>
      <c r="H199" s="10" t="s">
        <v>183</v>
      </c>
      <c r="I199" s="48"/>
      <c r="J199" s="10">
        <f t="shared" si="3"/>
        <v>0</v>
      </c>
      <c r="K199" s="9"/>
      <c r="L199" s="48"/>
      <c r="M199" s="9"/>
      <c r="N199" s="9"/>
      <c r="O199" s="9"/>
      <c r="P199" s="9"/>
      <c r="Q199" s="9"/>
      <c r="R199" s="9"/>
      <c r="S199" s="9"/>
      <c r="T199" s="9"/>
      <c r="V199" s="35" t="s">
        <v>4643</v>
      </c>
      <c r="W199" s="35" t="s">
        <v>4601</v>
      </c>
      <c r="X199" s="199" t="s">
        <v>4092</v>
      </c>
      <c r="Y199" s="36">
        <v>5</v>
      </c>
      <c r="Z199" s="36">
        <v>100</v>
      </c>
      <c r="AA199" s="36" t="s">
        <v>4093</v>
      </c>
      <c r="AB199" s="35" t="s">
        <v>4243</v>
      </c>
    </row>
    <row r="200" spans="1:28">
      <c r="A200" s="9" t="s">
        <v>4506</v>
      </c>
      <c r="B200" s="10" t="s">
        <v>4079</v>
      </c>
      <c r="C200" s="10" t="s">
        <v>5596</v>
      </c>
      <c r="D200" s="10"/>
      <c r="E200" s="10" t="s">
        <v>5225</v>
      </c>
      <c r="F200" s="10" t="s">
        <v>5225</v>
      </c>
      <c r="G200" s="10">
        <v>1</v>
      </c>
      <c r="H200" s="10" t="s">
        <v>5225</v>
      </c>
      <c r="I200" s="48" t="s">
        <v>4876</v>
      </c>
      <c r="J200" s="10">
        <f t="shared" si="3"/>
        <v>0</v>
      </c>
      <c r="K200" s="9"/>
      <c r="L200" s="48"/>
      <c r="M200" s="9"/>
      <c r="N200" s="9"/>
      <c r="O200" s="9"/>
      <c r="P200" s="9"/>
      <c r="Q200" s="9"/>
      <c r="R200" s="9"/>
      <c r="S200" s="9"/>
      <c r="T200" s="9"/>
      <c r="V200" s="35" t="s">
        <v>4643</v>
      </c>
      <c r="W200" s="35" t="s">
        <v>4601</v>
      </c>
      <c r="X200" s="199" t="s">
        <v>4245</v>
      </c>
      <c r="Y200" s="36">
        <v>5</v>
      </c>
      <c r="Z200" s="36">
        <v>100</v>
      </c>
      <c r="AA200" s="36" t="s">
        <v>4561</v>
      </c>
      <c r="AB200" s="35" t="s">
        <v>4246</v>
      </c>
    </row>
    <row r="201" spans="1:28">
      <c r="A201" s="9" t="s">
        <v>208</v>
      </c>
      <c r="B201" s="10" t="s">
        <v>4271</v>
      </c>
      <c r="C201" s="10" t="s">
        <v>5787</v>
      </c>
      <c r="D201" s="10"/>
      <c r="E201" s="10" t="s">
        <v>5227</v>
      </c>
      <c r="F201" s="10" t="s">
        <v>5225</v>
      </c>
      <c r="G201" s="10">
        <v>1</v>
      </c>
      <c r="H201" s="10" t="s">
        <v>5225</v>
      </c>
      <c r="I201" s="48"/>
      <c r="J201" s="10">
        <f t="shared" si="3"/>
        <v>0</v>
      </c>
      <c r="K201" s="9"/>
      <c r="L201" s="48"/>
      <c r="M201" s="9"/>
      <c r="N201" s="9"/>
      <c r="O201" s="9"/>
      <c r="P201" s="9"/>
      <c r="Q201" s="9"/>
      <c r="R201" s="9"/>
      <c r="S201" s="9"/>
      <c r="T201" s="9"/>
      <c r="V201" s="35" t="s">
        <v>4643</v>
      </c>
      <c r="W201" s="35" t="s">
        <v>4601</v>
      </c>
      <c r="X201" s="199" t="s">
        <v>4247</v>
      </c>
      <c r="Y201" s="36">
        <v>6</v>
      </c>
      <c r="Z201" s="36">
        <v>100</v>
      </c>
      <c r="AA201" s="36">
        <v>0</v>
      </c>
      <c r="AB201" s="35" t="s">
        <v>3957</v>
      </c>
    </row>
    <row r="202" spans="1:28">
      <c r="A202" s="9" t="s">
        <v>4186</v>
      </c>
      <c r="B202" s="10" t="s">
        <v>4187</v>
      </c>
      <c r="C202" s="10" t="s">
        <v>5786</v>
      </c>
      <c r="D202" s="10"/>
      <c r="E202" s="10" t="s">
        <v>5227</v>
      </c>
      <c r="F202" s="10" t="s">
        <v>5225</v>
      </c>
      <c r="G202" s="10" t="s">
        <v>5225</v>
      </c>
      <c r="H202" s="10" t="s">
        <v>5225</v>
      </c>
      <c r="I202" s="48"/>
      <c r="J202" s="10">
        <f t="shared" si="3"/>
        <v>0</v>
      </c>
      <c r="K202" s="9"/>
      <c r="L202" s="48"/>
      <c r="M202" s="9"/>
      <c r="N202" s="9"/>
      <c r="O202" s="9"/>
      <c r="P202" s="9"/>
      <c r="Q202" s="9"/>
      <c r="R202" s="9"/>
      <c r="S202" s="9"/>
      <c r="T202" s="9"/>
      <c r="V202" s="222" t="s">
        <v>4643</v>
      </c>
      <c r="W202" s="222" t="s">
        <v>4596</v>
      </c>
      <c r="X202" s="223" t="s">
        <v>3958</v>
      </c>
      <c r="Y202" s="224">
        <v>6</v>
      </c>
      <c r="Z202" s="224">
        <v>100</v>
      </c>
      <c r="AA202" s="225">
        <v>2</v>
      </c>
      <c r="AB202" s="222" t="s">
        <v>3959</v>
      </c>
    </row>
    <row r="203" spans="1:28">
      <c r="A203" s="9" t="s">
        <v>4649</v>
      </c>
      <c r="B203" s="10" t="s">
        <v>4316</v>
      </c>
      <c r="C203" s="10" t="s">
        <v>5786</v>
      </c>
      <c r="D203" s="10"/>
      <c r="E203" s="10" t="s">
        <v>5227</v>
      </c>
      <c r="F203" s="10" t="s">
        <v>5225</v>
      </c>
      <c r="G203" s="10" t="s">
        <v>5225</v>
      </c>
      <c r="H203" s="10" t="s">
        <v>5227</v>
      </c>
      <c r="I203" s="48"/>
      <c r="J203" s="10">
        <f t="shared" si="3"/>
        <v>0</v>
      </c>
      <c r="K203" s="9"/>
      <c r="L203" s="48"/>
      <c r="M203" s="9"/>
      <c r="N203" s="9"/>
      <c r="O203" s="9"/>
      <c r="P203" s="9"/>
      <c r="Q203" s="9"/>
      <c r="R203" s="9"/>
      <c r="S203" s="9"/>
      <c r="T203" s="9"/>
      <c r="V203" s="35" t="s">
        <v>4643</v>
      </c>
      <c r="W203" s="35" t="s">
        <v>4601</v>
      </c>
      <c r="X203" s="199" t="s">
        <v>4249</v>
      </c>
      <c r="Y203" s="36">
        <v>7</v>
      </c>
      <c r="Z203" s="36">
        <v>100</v>
      </c>
      <c r="AA203" s="36" t="s">
        <v>4561</v>
      </c>
      <c r="AB203" s="35" t="s">
        <v>4250</v>
      </c>
    </row>
    <row r="204" spans="1:28">
      <c r="A204" s="9" t="s">
        <v>69</v>
      </c>
      <c r="B204" s="10" t="s">
        <v>70</v>
      </c>
      <c r="C204" s="10" t="s">
        <v>186</v>
      </c>
      <c r="D204" s="10"/>
      <c r="E204" s="10" t="s">
        <v>183</v>
      </c>
      <c r="F204" s="10" t="s">
        <v>182</v>
      </c>
      <c r="G204" s="10">
        <v>1</v>
      </c>
      <c r="H204" s="10" t="s">
        <v>183</v>
      </c>
      <c r="I204" s="48"/>
      <c r="J204" s="10">
        <f t="shared" si="3"/>
        <v>0</v>
      </c>
      <c r="K204" s="9"/>
      <c r="L204" s="48"/>
      <c r="M204" s="9"/>
      <c r="N204" s="9"/>
      <c r="O204" s="9"/>
      <c r="P204" s="9"/>
      <c r="Q204" s="9"/>
      <c r="R204" s="9"/>
      <c r="S204" s="9"/>
      <c r="T204" s="9"/>
      <c r="V204" s="35" t="s">
        <v>4643</v>
      </c>
      <c r="W204" s="35" t="s">
        <v>4735</v>
      </c>
      <c r="X204" s="199" t="s">
        <v>4251</v>
      </c>
      <c r="Y204" s="36">
        <v>8</v>
      </c>
      <c r="Z204" s="36">
        <v>200</v>
      </c>
      <c r="AA204" s="36" t="s">
        <v>4561</v>
      </c>
      <c r="AB204" s="35" t="s">
        <v>4098</v>
      </c>
    </row>
    <row r="205" spans="1:28">
      <c r="A205" s="9" t="s">
        <v>4194</v>
      </c>
      <c r="B205" s="10" t="s">
        <v>4672</v>
      </c>
      <c r="C205" s="10" t="s">
        <v>5788</v>
      </c>
      <c r="D205" s="10"/>
      <c r="E205" s="10" t="s">
        <v>5227</v>
      </c>
      <c r="F205" s="10" t="s">
        <v>5225</v>
      </c>
      <c r="G205" s="10" t="s">
        <v>5225</v>
      </c>
      <c r="H205" s="10" t="s">
        <v>5225</v>
      </c>
      <c r="I205" s="48" t="s">
        <v>4501</v>
      </c>
      <c r="J205" s="10">
        <f t="shared" si="3"/>
        <v>0</v>
      </c>
      <c r="K205" s="9"/>
      <c r="L205" s="48"/>
      <c r="M205" s="9"/>
      <c r="N205" s="9"/>
      <c r="O205" s="9"/>
      <c r="P205" s="9"/>
      <c r="Q205" s="9"/>
      <c r="R205" s="9"/>
      <c r="S205" s="9"/>
      <c r="T205" s="9"/>
      <c r="V205" s="35" t="s">
        <v>4643</v>
      </c>
      <c r="W205" s="35" t="s">
        <v>4099</v>
      </c>
      <c r="X205" s="199" t="s">
        <v>4100</v>
      </c>
      <c r="Y205" s="36">
        <v>8</v>
      </c>
      <c r="Z205" s="36">
        <v>200</v>
      </c>
      <c r="AA205" s="36">
        <v>2</v>
      </c>
      <c r="AB205" s="35" t="s">
        <v>4101</v>
      </c>
    </row>
    <row r="206" spans="1:28">
      <c r="A206" s="9" t="s">
        <v>4195</v>
      </c>
      <c r="B206" s="10" t="s">
        <v>4196</v>
      </c>
      <c r="C206" s="10" t="s">
        <v>5786</v>
      </c>
      <c r="D206" s="10"/>
      <c r="E206" s="10" t="s">
        <v>5227</v>
      </c>
      <c r="F206" s="10" t="s">
        <v>5225</v>
      </c>
      <c r="G206" s="10" t="s">
        <v>5225</v>
      </c>
      <c r="H206" s="10" t="s">
        <v>5225</v>
      </c>
      <c r="I206" s="48" t="s">
        <v>4501</v>
      </c>
      <c r="J206" s="10">
        <f t="shared" si="3"/>
        <v>0</v>
      </c>
      <c r="K206" s="9"/>
      <c r="S206" s="9"/>
      <c r="T206" s="9"/>
      <c r="V206" s="35" t="s">
        <v>4643</v>
      </c>
      <c r="W206" s="35" t="s">
        <v>4968</v>
      </c>
      <c r="X206" s="199" t="s">
        <v>4103</v>
      </c>
      <c r="Y206" s="36">
        <v>8</v>
      </c>
      <c r="Z206" s="36">
        <v>200</v>
      </c>
      <c r="AA206" s="40" t="s">
        <v>4174</v>
      </c>
      <c r="AB206" s="35" t="s">
        <v>4262</v>
      </c>
    </row>
    <row r="207" spans="1:28">
      <c r="A207" s="9" t="s">
        <v>4357</v>
      </c>
      <c r="B207" s="10" t="s">
        <v>4196</v>
      </c>
      <c r="C207" s="10" t="s">
        <v>5788</v>
      </c>
      <c r="D207" s="10"/>
      <c r="E207" s="10" t="s">
        <v>5227</v>
      </c>
      <c r="F207" s="10" t="s">
        <v>5225</v>
      </c>
      <c r="G207" s="10" t="s">
        <v>5225</v>
      </c>
      <c r="H207" s="10" t="s">
        <v>5225</v>
      </c>
      <c r="I207" s="48" t="s">
        <v>4501</v>
      </c>
      <c r="J207" s="10">
        <f t="shared" si="3"/>
        <v>0</v>
      </c>
      <c r="K207" s="9"/>
      <c r="S207" s="9"/>
      <c r="T207" s="9"/>
      <c r="V207" s="37" t="s">
        <v>4643</v>
      </c>
      <c r="W207" s="37" t="s">
        <v>4335</v>
      </c>
      <c r="X207" s="200" t="s">
        <v>4118</v>
      </c>
      <c r="Y207" s="38">
        <v>9</v>
      </c>
      <c r="Z207" s="38">
        <v>100</v>
      </c>
      <c r="AA207" s="38">
        <v>2</v>
      </c>
      <c r="AB207" s="37" t="s">
        <v>4119</v>
      </c>
    </row>
    <row r="208" spans="1:28">
      <c r="A208" s="9" t="s">
        <v>4360</v>
      </c>
      <c r="B208" s="10" t="s">
        <v>257</v>
      </c>
      <c r="C208" s="10" t="s">
        <v>5390</v>
      </c>
      <c r="D208" s="10"/>
      <c r="E208" s="10" t="s">
        <v>5227</v>
      </c>
      <c r="F208" s="10" t="s">
        <v>5227</v>
      </c>
      <c r="G208" s="10" t="s">
        <v>5225</v>
      </c>
      <c r="H208" s="10" t="s">
        <v>5225</v>
      </c>
      <c r="I208" s="48"/>
      <c r="J208" s="10">
        <f t="shared" si="3"/>
        <v>0</v>
      </c>
      <c r="K208" s="9"/>
      <c r="S208" s="9"/>
      <c r="T208" s="9"/>
      <c r="V208" s="42" t="s">
        <v>4879</v>
      </c>
      <c r="W208" s="35" t="s">
        <v>4727</v>
      </c>
      <c r="X208" s="199" t="s">
        <v>4492</v>
      </c>
      <c r="Y208" s="36">
        <v>6</v>
      </c>
      <c r="Z208" s="36">
        <v>100</v>
      </c>
      <c r="AA208" s="36">
        <v>2</v>
      </c>
      <c r="AB208" s="35" t="s">
        <v>4637</v>
      </c>
    </row>
    <row r="209" spans="1:28">
      <c r="A209" s="9" t="s">
        <v>4515</v>
      </c>
      <c r="B209" s="10" t="s">
        <v>4316</v>
      </c>
      <c r="C209" s="10" t="s">
        <v>5787</v>
      </c>
      <c r="D209" s="10"/>
      <c r="E209" s="10" t="s">
        <v>5227</v>
      </c>
      <c r="F209" s="10" t="s">
        <v>5227</v>
      </c>
      <c r="G209" s="10" t="s">
        <v>5225</v>
      </c>
      <c r="H209" s="10" t="s">
        <v>5227</v>
      </c>
      <c r="I209" s="48"/>
      <c r="J209" s="10">
        <f t="shared" si="3"/>
        <v>0</v>
      </c>
      <c r="K209" s="9"/>
      <c r="S209" s="9"/>
      <c r="T209" s="9"/>
      <c r="V209" s="42" t="s">
        <v>4879</v>
      </c>
      <c r="W209" s="35" t="s">
        <v>4727</v>
      </c>
      <c r="X209" s="199" t="s">
        <v>4645</v>
      </c>
      <c r="Y209" s="36">
        <v>7</v>
      </c>
      <c r="Z209" s="36">
        <v>100</v>
      </c>
      <c r="AA209" s="36">
        <v>1</v>
      </c>
      <c r="AB209" s="35" t="s">
        <v>4777</v>
      </c>
    </row>
    <row r="210" spans="1:28">
      <c r="A210" s="9" t="s">
        <v>0</v>
      </c>
      <c r="B210" s="10" t="s">
        <v>4316</v>
      </c>
      <c r="C210" s="10" t="s">
        <v>5788</v>
      </c>
      <c r="D210" s="10"/>
      <c r="E210" s="10" t="s">
        <v>5227</v>
      </c>
      <c r="F210" s="10" t="s">
        <v>5227</v>
      </c>
      <c r="G210" s="10" t="s">
        <v>5225</v>
      </c>
      <c r="H210" s="10" t="s">
        <v>5225</v>
      </c>
      <c r="I210" s="48"/>
      <c r="J210" s="10">
        <f t="shared" si="3"/>
        <v>0</v>
      </c>
      <c r="K210" s="9"/>
      <c r="S210" s="9"/>
      <c r="T210" s="9"/>
      <c r="V210" s="42" t="s">
        <v>4879</v>
      </c>
      <c r="W210" s="42" t="s">
        <v>4878</v>
      </c>
      <c r="X210" s="201" t="s">
        <v>4283</v>
      </c>
      <c r="Y210" s="43">
        <v>11</v>
      </c>
      <c r="Z210" s="43">
        <v>300</v>
      </c>
      <c r="AA210" s="43" t="s">
        <v>4934</v>
      </c>
      <c r="AB210" s="42" t="s">
        <v>4284</v>
      </c>
    </row>
    <row r="211" spans="1:28">
      <c r="A211" s="9" t="s">
        <v>4069</v>
      </c>
      <c r="B211" s="10" t="s">
        <v>4187</v>
      </c>
      <c r="C211" s="10" t="s">
        <v>5787</v>
      </c>
      <c r="D211" s="10"/>
      <c r="E211" s="10" t="s">
        <v>5225</v>
      </c>
      <c r="F211" s="10" t="s">
        <v>5227</v>
      </c>
      <c r="G211" s="10" t="s">
        <v>5225</v>
      </c>
      <c r="H211" s="10" t="s">
        <v>5225</v>
      </c>
      <c r="I211" s="48"/>
      <c r="J211" s="10">
        <f t="shared" si="3"/>
        <v>0</v>
      </c>
      <c r="K211" s="9"/>
      <c r="S211" s="9"/>
      <c r="T211" s="9"/>
      <c r="V211" s="37" t="s">
        <v>4879</v>
      </c>
      <c r="W211" s="37" t="s">
        <v>4727</v>
      </c>
      <c r="X211" s="200" t="s">
        <v>4517</v>
      </c>
      <c r="Y211" s="38">
        <v>13</v>
      </c>
      <c r="Z211" s="38">
        <v>100</v>
      </c>
      <c r="AA211" s="39">
        <v>4</v>
      </c>
      <c r="AB211" s="37" t="s">
        <v>4659</v>
      </c>
    </row>
    <row r="212" spans="1:28">
      <c r="A212" s="9" t="s">
        <v>4072</v>
      </c>
      <c r="B212" s="10" t="s">
        <v>4073</v>
      </c>
      <c r="C212" s="10" t="s">
        <v>5787</v>
      </c>
      <c r="D212" s="10"/>
      <c r="E212" s="10" t="s">
        <v>5225</v>
      </c>
      <c r="F212" s="10" t="s">
        <v>5225</v>
      </c>
      <c r="G212" s="10" t="s">
        <v>5225</v>
      </c>
      <c r="H212" s="10" t="s">
        <v>5225</v>
      </c>
      <c r="I212" s="48"/>
      <c r="J212" s="10">
        <f t="shared" si="3"/>
        <v>0</v>
      </c>
      <c r="K212" s="9"/>
      <c r="S212" s="9"/>
      <c r="T212" s="9"/>
      <c r="V212" s="35" t="s">
        <v>4287</v>
      </c>
      <c r="W212" s="35" t="s">
        <v>5433</v>
      </c>
      <c r="X212" s="199" t="s">
        <v>4288</v>
      </c>
      <c r="Y212" s="36">
        <v>3</v>
      </c>
      <c r="Z212" s="36">
        <v>100</v>
      </c>
      <c r="AA212" s="36">
        <v>0</v>
      </c>
      <c r="AB212" s="35" t="s">
        <v>4289</v>
      </c>
    </row>
    <row r="213" spans="1:28">
      <c r="A213" s="9" t="s">
        <v>4076</v>
      </c>
      <c r="B213" s="10" t="s">
        <v>3970</v>
      </c>
      <c r="C213" s="10" t="s">
        <v>5787</v>
      </c>
      <c r="D213" s="10"/>
      <c r="E213" s="10" t="s">
        <v>5227</v>
      </c>
      <c r="F213" s="10" t="s">
        <v>5227</v>
      </c>
      <c r="G213" s="10">
        <v>2</v>
      </c>
      <c r="H213" s="10" t="s">
        <v>5225</v>
      </c>
      <c r="I213" s="48" t="s">
        <v>4662</v>
      </c>
      <c r="J213" s="10">
        <f t="shared" si="3"/>
        <v>0</v>
      </c>
      <c r="K213" s="9"/>
      <c r="S213" s="9"/>
      <c r="T213" s="9"/>
      <c r="V213" s="35" t="s">
        <v>4287</v>
      </c>
      <c r="W213" s="35" t="s">
        <v>4310</v>
      </c>
      <c r="X213" s="199" t="s">
        <v>4311</v>
      </c>
      <c r="Y213" s="36">
        <v>5</v>
      </c>
      <c r="Z213" s="36">
        <v>200</v>
      </c>
      <c r="AA213" s="36" t="s">
        <v>4312</v>
      </c>
      <c r="AB213" s="35" t="s">
        <v>4453</v>
      </c>
    </row>
    <row r="214" spans="1:28">
      <c r="A214" s="9" t="s">
        <v>4650</v>
      </c>
      <c r="B214" s="10" t="s">
        <v>258</v>
      </c>
      <c r="C214" s="10" t="s">
        <v>5787</v>
      </c>
      <c r="D214" s="10"/>
      <c r="E214" s="10" t="s">
        <v>5227</v>
      </c>
      <c r="F214" s="10" t="s">
        <v>5227</v>
      </c>
      <c r="G214" s="10">
        <v>2</v>
      </c>
      <c r="H214" s="10" t="s">
        <v>5225</v>
      </c>
      <c r="I214" s="48" t="s">
        <v>4369</v>
      </c>
      <c r="J214" s="10">
        <f t="shared" si="3"/>
        <v>0</v>
      </c>
      <c r="K214" s="9"/>
      <c r="S214" s="9"/>
      <c r="T214" s="9"/>
      <c r="V214" s="35" t="s">
        <v>4287</v>
      </c>
      <c r="W214" s="35" t="s">
        <v>5326</v>
      </c>
      <c r="X214" s="199" t="s">
        <v>4081</v>
      </c>
      <c r="Y214" s="36">
        <v>5</v>
      </c>
      <c r="Z214" s="36">
        <v>100</v>
      </c>
      <c r="AA214" s="36">
        <v>3</v>
      </c>
      <c r="AB214" s="35" t="s">
        <v>4082</v>
      </c>
    </row>
    <row r="215" spans="1:28">
      <c r="A215" s="9" t="s">
        <v>4788</v>
      </c>
      <c r="B215" s="10" t="s">
        <v>3974</v>
      </c>
      <c r="C215" s="10" t="s">
        <v>5390</v>
      </c>
      <c r="D215" s="10"/>
      <c r="E215" s="10" t="s">
        <v>5225</v>
      </c>
      <c r="F215" s="10" t="s">
        <v>5225</v>
      </c>
      <c r="G215" s="10" t="s">
        <v>5225</v>
      </c>
      <c r="H215" s="10" t="s">
        <v>5227</v>
      </c>
      <c r="I215" s="48" t="s">
        <v>4122</v>
      </c>
      <c r="J215" s="10">
        <f t="shared" si="3"/>
        <v>0</v>
      </c>
      <c r="K215" s="9"/>
      <c r="S215" s="9"/>
      <c r="T215" s="9"/>
      <c r="V215" s="35" t="s">
        <v>4287</v>
      </c>
      <c r="W215" s="35" t="s">
        <v>5326</v>
      </c>
      <c r="X215" s="199" t="s">
        <v>4009</v>
      </c>
      <c r="Y215" s="36">
        <v>5</v>
      </c>
      <c r="Z215" s="36">
        <v>100</v>
      </c>
      <c r="AA215" s="36">
        <v>1</v>
      </c>
      <c r="AB215" s="35" t="s">
        <v>4010</v>
      </c>
    </row>
    <row r="216" spans="1:28">
      <c r="A216" s="9" t="s">
        <v>4310</v>
      </c>
      <c r="B216" s="10" t="s">
        <v>4316</v>
      </c>
      <c r="C216" s="10" t="s">
        <v>5390</v>
      </c>
      <c r="D216" s="10"/>
      <c r="E216" s="10" t="s">
        <v>5225</v>
      </c>
      <c r="F216" s="10" t="s">
        <v>5225</v>
      </c>
      <c r="G216" s="10" t="s">
        <v>4743</v>
      </c>
      <c r="H216" s="10" t="s">
        <v>5225</v>
      </c>
      <c r="I216" s="48"/>
      <c r="J216" s="10">
        <f t="shared" si="3"/>
        <v>0</v>
      </c>
      <c r="K216" s="9"/>
      <c r="S216" s="9"/>
      <c r="T216" s="9"/>
      <c r="V216" s="222" t="s">
        <v>4287</v>
      </c>
      <c r="W216" s="222" t="s">
        <v>5326</v>
      </c>
      <c r="X216" s="223" t="s">
        <v>4331</v>
      </c>
      <c r="Y216" s="224">
        <v>5</v>
      </c>
      <c r="Z216" s="224">
        <v>100</v>
      </c>
      <c r="AA216" s="225">
        <v>0</v>
      </c>
      <c r="AB216" s="222" t="s">
        <v>4298</v>
      </c>
    </row>
    <row r="217" spans="1:28">
      <c r="A217" s="9" t="s">
        <v>4125</v>
      </c>
      <c r="B217" s="10" t="s">
        <v>4187</v>
      </c>
      <c r="C217" s="10" t="s">
        <v>5786</v>
      </c>
      <c r="D217" s="10"/>
      <c r="E217" s="10" t="s">
        <v>5227</v>
      </c>
      <c r="F217" s="10" t="s">
        <v>5227</v>
      </c>
      <c r="G217" s="10" t="s">
        <v>5225</v>
      </c>
      <c r="H217" s="10" t="s">
        <v>5225</v>
      </c>
      <c r="I217" s="48"/>
      <c r="J217" s="10">
        <f t="shared" si="3"/>
        <v>0</v>
      </c>
      <c r="K217" s="9"/>
      <c r="S217" s="9"/>
      <c r="T217" s="9"/>
      <c r="V217" s="35" t="s">
        <v>4287</v>
      </c>
      <c r="W217" s="35" t="s">
        <v>4013</v>
      </c>
      <c r="X217" s="199" t="s">
        <v>4014</v>
      </c>
      <c r="Y217" s="36">
        <v>5</v>
      </c>
      <c r="Z217" s="36">
        <v>300</v>
      </c>
      <c r="AA217" s="36">
        <v>0</v>
      </c>
      <c r="AB217" s="35" t="s">
        <v>4015</v>
      </c>
    </row>
    <row r="218" spans="1:28">
      <c r="A218" s="9" t="s">
        <v>4656</v>
      </c>
      <c r="B218" s="10" t="s">
        <v>4091</v>
      </c>
      <c r="C218" s="10" t="s">
        <v>5788</v>
      </c>
      <c r="D218" s="10"/>
      <c r="E218" s="10" t="s">
        <v>5227</v>
      </c>
      <c r="F218" s="10" t="s">
        <v>5225</v>
      </c>
      <c r="G218" s="10" t="s">
        <v>5225</v>
      </c>
      <c r="H218" s="10" t="s">
        <v>5227</v>
      </c>
      <c r="I218" s="48"/>
      <c r="J218" s="10">
        <f t="shared" si="3"/>
        <v>0</v>
      </c>
      <c r="K218" s="9"/>
      <c r="S218" s="9"/>
      <c r="T218" s="9"/>
      <c r="V218" s="35" t="s">
        <v>4287</v>
      </c>
      <c r="W218" s="35" t="s">
        <v>5433</v>
      </c>
      <c r="X218" s="199" t="s">
        <v>4016</v>
      </c>
      <c r="Y218" s="36">
        <v>5</v>
      </c>
      <c r="Z218" s="36">
        <v>100</v>
      </c>
      <c r="AA218" s="36">
        <v>0</v>
      </c>
      <c r="AB218" s="35" t="s">
        <v>4017</v>
      </c>
    </row>
    <row r="219" spans="1:28">
      <c r="A219" s="9" t="s">
        <v>4244</v>
      </c>
      <c r="B219" s="10" t="s">
        <v>3970</v>
      </c>
      <c r="C219" s="10" t="s">
        <v>5349</v>
      </c>
      <c r="D219" s="10">
        <v>0</v>
      </c>
      <c r="E219" s="10" t="s">
        <v>5225</v>
      </c>
      <c r="F219" s="10" t="s">
        <v>5227</v>
      </c>
      <c r="G219" s="10">
        <v>1</v>
      </c>
      <c r="H219" s="10" t="s">
        <v>5225</v>
      </c>
      <c r="I219" s="48"/>
      <c r="J219" s="10" t="str">
        <f t="shared" si="3"/>
        <v>NA</v>
      </c>
      <c r="K219" s="9"/>
      <c r="S219" s="9"/>
      <c r="T219" s="9"/>
      <c r="V219" s="35" t="s">
        <v>4287</v>
      </c>
      <c r="W219" s="35" t="s">
        <v>5137</v>
      </c>
      <c r="X219" s="199" t="s">
        <v>4844</v>
      </c>
      <c r="Y219" s="36">
        <v>7</v>
      </c>
      <c r="Z219" s="36">
        <v>100</v>
      </c>
      <c r="AA219" s="36">
        <v>2</v>
      </c>
      <c r="AB219" s="35" t="s">
        <v>4845</v>
      </c>
    </row>
    <row r="220" spans="1:28">
      <c r="A220" s="9" t="s">
        <v>4796</v>
      </c>
      <c r="B220" s="10" t="s">
        <v>4091</v>
      </c>
      <c r="C220" s="10" t="s">
        <v>5390</v>
      </c>
      <c r="D220" s="10"/>
      <c r="E220" s="10" t="s">
        <v>5225</v>
      </c>
      <c r="F220" s="10" t="s">
        <v>5225</v>
      </c>
      <c r="G220" s="10" t="s">
        <v>5225</v>
      </c>
      <c r="H220" s="10" t="s">
        <v>5227</v>
      </c>
      <c r="I220" s="48"/>
      <c r="J220" s="10">
        <f t="shared" si="3"/>
        <v>0</v>
      </c>
      <c r="K220" s="9"/>
      <c r="S220" s="9"/>
      <c r="T220" s="9"/>
      <c r="V220" s="35" t="s">
        <v>4287</v>
      </c>
      <c r="W220" s="35" t="s">
        <v>5433</v>
      </c>
      <c r="X220" s="199" t="s">
        <v>4053</v>
      </c>
      <c r="Y220" s="36">
        <v>7</v>
      </c>
      <c r="Z220" s="36">
        <v>100</v>
      </c>
      <c r="AA220" s="36">
        <v>2</v>
      </c>
      <c r="AB220" s="35" t="s">
        <v>4054</v>
      </c>
    </row>
    <row r="221" spans="1:28">
      <c r="A221" s="9" t="s">
        <v>4258</v>
      </c>
      <c r="B221" s="10" t="s">
        <v>3970</v>
      </c>
      <c r="C221" s="10" t="s">
        <v>5786</v>
      </c>
      <c r="D221" s="10"/>
      <c r="E221" s="10" t="s">
        <v>5225</v>
      </c>
      <c r="F221" s="10" t="s">
        <v>5225</v>
      </c>
      <c r="G221" s="10">
        <v>1</v>
      </c>
      <c r="H221" s="10" t="s">
        <v>5225</v>
      </c>
      <c r="I221" s="48"/>
      <c r="J221" s="10">
        <f t="shared" si="3"/>
        <v>0</v>
      </c>
      <c r="K221" s="9"/>
      <c r="S221" s="9"/>
      <c r="T221" s="9"/>
      <c r="V221" s="37" t="s">
        <v>4287</v>
      </c>
      <c r="W221" s="37" t="s">
        <v>5137</v>
      </c>
      <c r="X221" s="200" t="s">
        <v>4848</v>
      </c>
      <c r="Y221" s="38">
        <v>11</v>
      </c>
      <c r="Z221" s="38">
        <v>100</v>
      </c>
      <c r="AA221" s="39" t="s">
        <v>4762</v>
      </c>
      <c r="AB221" s="37" t="s">
        <v>4849</v>
      </c>
    </row>
    <row r="222" spans="1:28">
      <c r="A222" s="9" t="s">
        <v>4523</v>
      </c>
      <c r="B222" s="10" t="s">
        <v>3970</v>
      </c>
      <c r="C222" s="10" t="s">
        <v>5390</v>
      </c>
      <c r="D222" s="10"/>
      <c r="E222" s="10" t="s">
        <v>5227</v>
      </c>
      <c r="F222" s="10" t="s">
        <v>5225</v>
      </c>
      <c r="G222" s="10">
        <v>2</v>
      </c>
      <c r="H222" s="10" t="s">
        <v>5227</v>
      </c>
      <c r="I222" s="48"/>
      <c r="J222" s="10">
        <f t="shared" si="3"/>
        <v>0</v>
      </c>
      <c r="K222" s="9"/>
      <c r="S222" s="9"/>
      <c r="T222" s="9"/>
      <c r="V222" s="35" t="s">
        <v>5017</v>
      </c>
      <c r="W222" s="35" t="s">
        <v>4649</v>
      </c>
      <c r="X222" s="199" t="s">
        <v>4058</v>
      </c>
      <c r="Y222" s="36">
        <v>3</v>
      </c>
      <c r="Z222" s="36">
        <v>100</v>
      </c>
      <c r="AA222" s="36">
        <v>0</v>
      </c>
      <c r="AB222" s="35" t="s">
        <v>4059</v>
      </c>
    </row>
    <row r="223" spans="1:28">
      <c r="A223" s="9" t="s">
        <v>4540</v>
      </c>
      <c r="B223" s="10" t="s">
        <v>4091</v>
      </c>
      <c r="C223" s="10" t="s">
        <v>5788</v>
      </c>
      <c r="D223" s="10"/>
      <c r="E223" s="10" t="s">
        <v>5227</v>
      </c>
      <c r="F223" s="10" t="s">
        <v>5225</v>
      </c>
      <c r="G223" s="10" t="s">
        <v>5225</v>
      </c>
      <c r="H223" s="10" t="s">
        <v>5227</v>
      </c>
      <c r="I223" s="48"/>
      <c r="J223" s="10">
        <f t="shared" si="3"/>
        <v>0</v>
      </c>
      <c r="K223" s="9"/>
      <c r="S223" s="9"/>
      <c r="T223" s="9"/>
      <c r="V223" s="35" t="s">
        <v>5017</v>
      </c>
      <c r="W223" s="35" t="s">
        <v>4056</v>
      </c>
      <c r="X223" s="199" t="s">
        <v>4061</v>
      </c>
      <c r="Y223" s="36">
        <v>4</v>
      </c>
      <c r="Z223" s="36">
        <v>200</v>
      </c>
      <c r="AA223" s="36">
        <v>1</v>
      </c>
      <c r="AB223" s="35" t="s">
        <v>3862</v>
      </c>
    </row>
    <row r="224" spans="1:28">
      <c r="A224" s="9" t="s">
        <v>1</v>
      </c>
      <c r="B224" s="5" t="s">
        <v>2</v>
      </c>
      <c r="C224" s="10" t="s">
        <v>3</v>
      </c>
      <c r="D224" s="10"/>
      <c r="E224" s="10" t="s">
        <v>5227</v>
      </c>
      <c r="F224" s="10" t="s">
        <v>5225</v>
      </c>
      <c r="G224" s="10" t="s">
        <v>5225</v>
      </c>
      <c r="H224" s="10" t="s">
        <v>5225</v>
      </c>
      <c r="I224" s="48"/>
      <c r="J224" s="10">
        <f t="shared" si="3"/>
        <v>0</v>
      </c>
      <c r="K224" s="230"/>
      <c r="S224" s="9"/>
      <c r="T224" s="9"/>
      <c r="V224" s="35" t="s">
        <v>5017</v>
      </c>
      <c r="W224" s="35" t="s">
        <v>4649</v>
      </c>
      <c r="X224" s="199" t="s">
        <v>3864</v>
      </c>
      <c r="Y224" s="36">
        <v>5</v>
      </c>
      <c r="Z224" s="36">
        <v>100</v>
      </c>
      <c r="AA224" s="36">
        <v>0</v>
      </c>
      <c r="AB224" s="35" t="s">
        <v>4032</v>
      </c>
    </row>
    <row r="225" spans="1:28">
      <c r="A225" s="9" t="s">
        <v>4871</v>
      </c>
      <c r="B225" s="10" t="s">
        <v>4091</v>
      </c>
      <c r="C225" s="10" t="s">
        <v>5597</v>
      </c>
      <c r="D225" s="10"/>
      <c r="E225" s="10" t="s">
        <v>5227</v>
      </c>
      <c r="F225" s="10" t="s">
        <v>5225</v>
      </c>
      <c r="G225" s="10" t="s">
        <v>5225</v>
      </c>
      <c r="H225" s="10" t="s">
        <v>5225</v>
      </c>
      <c r="I225" s="48"/>
      <c r="J225" s="10">
        <f t="shared" si="3"/>
        <v>0</v>
      </c>
      <c r="K225" s="230"/>
      <c r="S225" s="9"/>
      <c r="T225" s="9"/>
      <c r="V225" s="35" t="s">
        <v>5017</v>
      </c>
      <c r="W225" s="35" t="s">
        <v>4423</v>
      </c>
      <c r="X225" s="199" t="s">
        <v>4177</v>
      </c>
      <c r="Y225" s="36">
        <v>6</v>
      </c>
      <c r="Z225" s="36">
        <v>100</v>
      </c>
      <c r="AA225" s="36">
        <v>0</v>
      </c>
      <c r="AB225" s="35" t="s">
        <v>4178</v>
      </c>
    </row>
    <row r="226" spans="1:28">
      <c r="A226" s="9" t="s">
        <v>4102</v>
      </c>
      <c r="B226" s="10" t="s">
        <v>4196</v>
      </c>
      <c r="C226" s="10" t="s">
        <v>5787</v>
      </c>
      <c r="D226" s="10"/>
      <c r="E226" s="10" t="s">
        <v>5227</v>
      </c>
      <c r="F226" s="10" t="s">
        <v>5227</v>
      </c>
      <c r="G226" s="10">
        <v>1</v>
      </c>
      <c r="H226" s="10" t="s">
        <v>5225</v>
      </c>
      <c r="I226" s="48" t="s">
        <v>4501</v>
      </c>
      <c r="J226" s="10">
        <f t="shared" si="3"/>
        <v>0</v>
      </c>
      <c r="K226" s="9"/>
      <c r="S226" s="9"/>
      <c r="T226" s="9"/>
      <c r="V226" s="222" t="s">
        <v>5017</v>
      </c>
      <c r="W226" s="222" t="s">
        <v>5015</v>
      </c>
      <c r="X226" s="223" t="s">
        <v>4179</v>
      </c>
      <c r="Y226" s="224">
        <v>7</v>
      </c>
      <c r="Z226" s="224">
        <v>100</v>
      </c>
      <c r="AA226" s="225" t="s">
        <v>4762</v>
      </c>
      <c r="AB226" s="222" t="s">
        <v>4041</v>
      </c>
    </row>
    <row r="227" spans="1:28">
      <c r="A227" s="9" t="s">
        <v>4117</v>
      </c>
      <c r="B227" s="10" t="s">
        <v>4364</v>
      </c>
      <c r="C227" s="10" t="s">
        <v>5787</v>
      </c>
      <c r="D227" s="10">
        <v>2</v>
      </c>
      <c r="E227" s="10" t="s">
        <v>5227</v>
      </c>
      <c r="F227" s="10" t="s">
        <v>5225</v>
      </c>
      <c r="G227" s="10">
        <v>2</v>
      </c>
      <c r="H227" s="10" t="s">
        <v>5225</v>
      </c>
      <c r="I227" s="48" t="s">
        <v>4365</v>
      </c>
      <c r="J227" s="10">
        <f t="shared" si="3"/>
        <v>0</v>
      </c>
      <c r="K227" s="9"/>
      <c r="S227" s="9"/>
      <c r="T227" s="9"/>
      <c r="V227" s="35" t="s">
        <v>5017</v>
      </c>
      <c r="W227" s="35" t="s">
        <v>4186</v>
      </c>
      <c r="X227" s="199" t="s">
        <v>4182</v>
      </c>
      <c r="Y227" s="36">
        <v>7</v>
      </c>
      <c r="Z227" s="36">
        <v>300</v>
      </c>
      <c r="AA227" s="36">
        <v>0</v>
      </c>
      <c r="AB227" s="35" t="s">
        <v>4183</v>
      </c>
    </row>
    <row r="228" spans="1:28">
      <c r="A228" s="9" t="s">
        <v>4120</v>
      </c>
      <c r="B228" s="10" t="s">
        <v>4121</v>
      </c>
      <c r="C228" s="10" t="s">
        <v>5787</v>
      </c>
      <c r="D228" s="10"/>
      <c r="E228" s="10" t="s">
        <v>5227</v>
      </c>
      <c r="F228" s="10" t="s">
        <v>5227</v>
      </c>
      <c r="G228" s="10" t="s">
        <v>5225</v>
      </c>
      <c r="H228" s="10" t="s">
        <v>5225</v>
      </c>
      <c r="I228" s="48" t="s">
        <v>4501</v>
      </c>
      <c r="J228" s="10">
        <f t="shared" si="3"/>
        <v>0</v>
      </c>
      <c r="K228" s="9"/>
      <c r="S228" s="9"/>
      <c r="T228" s="9"/>
      <c r="V228" s="35" t="s">
        <v>5017</v>
      </c>
      <c r="W228" s="35" t="s">
        <v>4540</v>
      </c>
      <c r="X228" s="199" t="s">
        <v>4025</v>
      </c>
      <c r="Y228" s="36">
        <v>7</v>
      </c>
      <c r="Z228" s="36">
        <v>100</v>
      </c>
      <c r="AA228" s="36">
        <v>2</v>
      </c>
      <c r="AB228" s="35" t="s">
        <v>4026</v>
      </c>
    </row>
    <row r="229" spans="1:28">
      <c r="A229" s="9" t="s">
        <v>4282</v>
      </c>
      <c r="B229" s="10" t="s">
        <v>4121</v>
      </c>
      <c r="C229" s="10" t="s">
        <v>5787</v>
      </c>
      <c r="D229" s="10"/>
      <c r="E229" s="10" t="s">
        <v>5227</v>
      </c>
      <c r="F229" s="10" t="s">
        <v>5225</v>
      </c>
      <c r="G229" s="10" t="s">
        <v>5225</v>
      </c>
      <c r="H229" s="10" t="s">
        <v>5225</v>
      </c>
      <c r="I229" s="48" t="s">
        <v>4501</v>
      </c>
      <c r="J229" s="10">
        <f t="shared" si="3"/>
        <v>0</v>
      </c>
      <c r="K229" s="9"/>
      <c r="S229" s="9"/>
      <c r="T229" s="9"/>
      <c r="V229" s="35" t="s">
        <v>5017</v>
      </c>
      <c r="W229" s="35" t="s">
        <v>4540</v>
      </c>
      <c r="X229" s="199" t="s">
        <v>4028</v>
      </c>
      <c r="Y229" s="36">
        <v>7</v>
      </c>
      <c r="Z229" s="36">
        <v>100</v>
      </c>
      <c r="AA229" s="36">
        <v>0</v>
      </c>
      <c r="AB229" s="35" t="s">
        <v>4029</v>
      </c>
    </row>
    <row r="230" spans="1:28">
      <c r="A230" s="9" t="s">
        <v>4542</v>
      </c>
      <c r="B230" s="10" t="s">
        <v>4091</v>
      </c>
      <c r="C230" s="10" t="s">
        <v>5788</v>
      </c>
      <c r="D230" s="10"/>
      <c r="E230" s="10" t="s">
        <v>5227</v>
      </c>
      <c r="F230" s="10" t="s">
        <v>5227</v>
      </c>
      <c r="G230" s="10" t="s">
        <v>5225</v>
      </c>
      <c r="H230" s="10" t="s">
        <v>5227</v>
      </c>
      <c r="I230" s="48"/>
      <c r="J230" s="10">
        <f t="shared" si="3"/>
        <v>0</v>
      </c>
      <c r="K230" s="9"/>
      <c r="S230" s="9"/>
      <c r="T230" s="9"/>
      <c r="V230" s="35" t="s">
        <v>5017</v>
      </c>
      <c r="W230" s="35" t="s">
        <v>4030</v>
      </c>
      <c r="X230" s="199" t="s">
        <v>4031</v>
      </c>
      <c r="Y230" s="36">
        <v>7</v>
      </c>
      <c r="Z230" s="36">
        <v>100</v>
      </c>
      <c r="AA230" s="36">
        <v>2</v>
      </c>
      <c r="AB230" s="35" t="s">
        <v>4188</v>
      </c>
    </row>
    <row r="231" spans="1:28">
      <c r="A231" s="9" t="s">
        <v>4285</v>
      </c>
      <c r="B231" s="10" t="s">
        <v>4073</v>
      </c>
      <c r="C231" s="10" t="s">
        <v>5787</v>
      </c>
      <c r="D231" s="10"/>
      <c r="E231" s="10" t="s">
        <v>5227</v>
      </c>
      <c r="F231" s="10" t="s">
        <v>5225</v>
      </c>
      <c r="G231" s="10">
        <v>2</v>
      </c>
      <c r="H231" s="10" t="s">
        <v>5225</v>
      </c>
      <c r="I231" s="48"/>
      <c r="J231" s="10">
        <f t="shared" si="3"/>
        <v>0</v>
      </c>
      <c r="K231" s="9"/>
      <c r="S231" s="9"/>
      <c r="T231" s="9"/>
      <c r="V231" s="37" t="s">
        <v>5017</v>
      </c>
      <c r="W231" s="37" t="s">
        <v>5015</v>
      </c>
      <c r="X231" s="200" t="s">
        <v>4198</v>
      </c>
      <c r="Y231" s="38">
        <v>11</v>
      </c>
      <c r="Z231" s="38">
        <v>100</v>
      </c>
      <c r="AA231" s="39" t="s">
        <v>4812</v>
      </c>
      <c r="AB231" s="37" t="s">
        <v>4219</v>
      </c>
    </row>
    <row r="232" spans="1:28">
      <c r="A232" s="9" t="s">
        <v>4286</v>
      </c>
      <c r="B232" s="10" t="s">
        <v>4121</v>
      </c>
      <c r="C232" s="10" t="s">
        <v>5787</v>
      </c>
      <c r="D232" s="10"/>
      <c r="E232" s="10" t="s">
        <v>5227</v>
      </c>
      <c r="F232" s="10" t="s">
        <v>5227</v>
      </c>
      <c r="G232" s="10" t="s">
        <v>5225</v>
      </c>
      <c r="H232" s="10" t="s">
        <v>5225</v>
      </c>
      <c r="I232" s="48" t="s">
        <v>4501</v>
      </c>
      <c r="J232" s="10">
        <f t="shared" si="3"/>
        <v>0</v>
      </c>
      <c r="K232" s="9"/>
      <c r="S232" s="9"/>
      <c r="T232" s="9"/>
      <c r="V232" s="35" t="s">
        <v>4555</v>
      </c>
      <c r="W232" s="35" t="s">
        <v>5342</v>
      </c>
      <c r="X232" s="199" t="s">
        <v>4221</v>
      </c>
      <c r="Y232" s="36">
        <v>5</v>
      </c>
      <c r="Z232" s="36">
        <v>100</v>
      </c>
      <c r="AA232" s="40" t="s">
        <v>4931</v>
      </c>
      <c r="AB232" s="35" t="s">
        <v>4222</v>
      </c>
    </row>
    <row r="233" spans="1:28">
      <c r="A233" s="9" t="s">
        <v>4290</v>
      </c>
      <c r="B233" s="10" t="s">
        <v>4091</v>
      </c>
      <c r="C233" s="10" t="s">
        <v>5787</v>
      </c>
      <c r="D233" s="10"/>
      <c r="E233" s="10" t="s">
        <v>5225</v>
      </c>
      <c r="F233" s="10" t="s">
        <v>5225</v>
      </c>
      <c r="G233" s="10" t="s">
        <v>5225</v>
      </c>
      <c r="H233" s="10" t="s">
        <v>5225</v>
      </c>
      <c r="I233" s="48"/>
      <c r="J233" s="10">
        <f t="shared" si="3"/>
        <v>0</v>
      </c>
      <c r="K233" s="9"/>
      <c r="S233" s="9"/>
      <c r="T233" s="9"/>
      <c r="V233" s="42" t="s">
        <v>4555</v>
      </c>
      <c r="W233" s="42" t="s">
        <v>5170</v>
      </c>
      <c r="X233" s="201" t="s">
        <v>4615</v>
      </c>
      <c r="Y233" s="43">
        <v>5</v>
      </c>
      <c r="Z233" s="43">
        <v>100</v>
      </c>
      <c r="AA233" s="43" t="s">
        <v>5369</v>
      </c>
      <c r="AB233" s="42" t="s">
        <v>4616</v>
      </c>
    </row>
    <row r="234" spans="1:28">
      <c r="A234" s="9" t="s">
        <v>4291</v>
      </c>
      <c r="B234" s="10" t="s">
        <v>3970</v>
      </c>
      <c r="C234" s="10" t="s">
        <v>5596</v>
      </c>
      <c r="D234" s="10"/>
      <c r="E234" s="10" t="s">
        <v>5225</v>
      </c>
      <c r="F234" s="10" t="s">
        <v>5227</v>
      </c>
      <c r="G234" s="10">
        <v>1</v>
      </c>
      <c r="H234" s="10" t="s">
        <v>5225</v>
      </c>
      <c r="I234" s="48" t="s">
        <v>5029</v>
      </c>
      <c r="J234" s="10">
        <f t="shared" si="3"/>
        <v>0</v>
      </c>
      <c r="K234" s="9"/>
      <c r="S234" s="9"/>
      <c r="T234" s="9"/>
      <c r="V234" s="35" t="s">
        <v>4555</v>
      </c>
      <c r="W234" s="35" t="s">
        <v>5170</v>
      </c>
      <c r="X234" s="199" t="s">
        <v>4724</v>
      </c>
      <c r="Y234" s="36">
        <v>5</v>
      </c>
      <c r="Z234" s="36">
        <v>100</v>
      </c>
      <c r="AA234" s="36" t="s">
        <v>4561</v>
      </c>
      <c r="AB234" s="35" t="s">
        <v>4599</v>
      </c>
    </row>
    <row r="235" spans="1:28">
      <c r="A235" s="9" t="s">
        <v>4893</v>
      </c>
      <c r="B235" s="10" t="s">
        <v>4187</v>
      </c>
      <c r="C235" s="10" t="s">
        <v>5788</v>
      </c>
      <c r="D235" s="10"/>
      <c r="E235" s="10" t="s">
        <v>5227</v>
      </c>
      <c r="F235" s="10" t="s">
        <v>5225</v>
      </c>
      <c r="G235" s="10">
        <v>1</v>
      </c>
      <c r="H235" s="10" t="s">
        <v>5225</v>
      </c>
      <c r="I235" s="48"/>
      <c r="J235" s="10">
        <f t="shared" si="3"/>
        <v>0</v>
      </c>
      <c r="K235" s="9"/>
      <c r="S235" s="9"/>
      <c r="T235" s="9"/>
      <c r="V235" s="35" t="s">
        <v>4555</v>
      </c>
      <c r="W235" s="35" t="s">
        <v>5170</v>
      </c>
      <c r="X235" s="199" t="s">
        <v>4602</v>
      </c>
      <c r="Y235" s="36">
        <v>5</v>
      </c>
      <c r="Z235" s="36">
        <v>100</v>
      </c>
      <c r="AA235" s="36" t="s">
        <v>4561</v>
      </c>
      <c r="AB235" s="35" t="s">
        <v>4603</v>
      </c>
    </row>
    <row r="236" spans="1:28">
      <c r="A236" s="9" t="s">
        <v>4550</v>
      </c>
      <c r="B236" s="10" t="s">
        <v>4091</v>
      </c>
      <c r="C236" s="10" t="s">
        <v>5786</v>
      </c>
      <c r="D236" s="10"/>
      <c r="E236" s="10" t="s">
        <v>5227</v>
      </c>
      <c r="F236" s="10" t="s">
        <v>5225</v>
      </c>
      <c r="G236" s="10" t="s">
        <v>5225</v>
      </c>
      <c r="H236" s="10" t="s">
        <v>5227</v>
      </c>
      <c r="I236" s="48"/>
      <c r="J236" s="10">
        <f t="shared" si="3"/>
        <v>0</v>
      </c>
      <c r="K236" s="9"/>
      <c r="S236" s="9"/>
      <c r="T236" s="9"/>
      <c r="V236" s="35" t="s">
        <v>4555</v>
      </c>
      <c r="W236" s="35" t="s">
        <v>5170</v>
      </c>
      <c r="X236" s="199" t="s">
        <v>4733</v>
      </c>
      <c r="Y236" s="36">
        <v>5</v>
      </c>
      <c r="Z236" s="36">
        <v>100</v>
      </c>
      <c r="AA236" s="36">
        <v>0</v>
      </c>
      <c r="AB236" s="35" t="s">
        <v>4734</v>
      </c>
    </row>
    <row r="237" spans="1:28">
      <c r="A237" s="9" t="s">
        <v>4011</v>
      </c>
      <c r="B237" s="10" t="s">
        <v>4012</v>
      </c>
      <c r="C237" s="10" t="s">
        <v>5787</v>
      </c>
      <c r="D237" s="10"/>
      <c r="E237" s="10" t="s">
        <v>5227</v>
      </c>
      <c r="F237" s="10" t="s">
        <v>5227</v>
      </c>
      <c r="G237" s="10" t="s">
        <v>5225</v>
      </c>
      <c r="H237" s="10" t="s">
        <v>5225</v>
      </c>
      <c r="I237" s="48" t="s">
        <v>4501</v>
      </c>
      <c r="J237" s="10">
        <f t="shared" si="3"/>
        <v>0</v>
      </c>
      <c r="K237" s="9"/>
      <c r="S237" s="9"/>
      <c r="T237" s="9"/>
      <c r="V237" s="222" t="s">
        <v>4555</v>
      </c>
      <c r="W237" s="222" t="s">
        <v>5170</v>
      </c>
      <c r="X237" s="223" t="s">
        <v>4604</v>
      </c>
      <c r="Y237" s="224">
        <v>5</v>
      </c>
      <c r="Z237" s="224">
        <v>100</v>
      </c>
      <c r="AA237" s="225">
        <v>0</v>
      </c>
      <c r="AB237" s="222" t="s">
        <v>4605</v>
      </c>
    </row>
    <row r="238" spans="1:28">
      <c r="A238" s="9" t="s">
        <v>4420</v>
      </c>
      <c r="B238" s="10" t="s">
        <v>4</v>
      </c>
      <c r="C238" s="10" t="s">
        <v>5788</v>
      </c>
      <c r="D238" s="10"/>
      <c r="E238" s="10" t="s">
        <v>5227</v>
      </c>
      <c r="F238" s="10" t="s">
        <v>5225</v>
      </c>
      <c r="G238" s="10">
        <v>1</v>
      </c>
      <c r="H238" s="10" t="s">
        <v>5227</v>
      </c>
      <c r="I238" s="48"/>
      <c r="J238" s="10">
        <f t="shared" si="3"/>
        <v>0</v>
      </c>
      <c r="K238" s="9"/>
      <c r="S238" s="9"/>
      <c r="T238" s="9"/>
      <c r="V238" s="35" t="s">
        <v>4555</v>
      </c>
      <c r="W238" s="35" t="s">
        <v>5170</v>
      </c>
      <c r="X238" s="199" t="s">
        <v>4564</v>
      </c>
      <c r="Y238" s="36">
        <v>5</v>
      </c>
      <c r="Z238" s="36">
        <v>100</v>
      </c>
      <c r="AA238" s="36">
        <v>0</v>
      </c>
      <c r="AB238" s="35" t="s">
        <v>4422</v>
      </c>
    </row>
    <row r="239" spans="1:28">
      <c r="A239" s="9" t="s">
        <v>5</v>
      </c>
      <c r="B239" s="10" t="s">
        <v>6</v>
      </c>
      <c r="C239" s="10" t="s">
        <v>7</v>
      </c>
      <c r="D239" s="10"/>
      <c r="E239" s="10" t="s">
        <v>182</v>
      </c>
      <c r="F239" s="10" t="s">
        <v>182</v>
      </c>
      <c r="G239" s="10">
        <v>1</v>
      </c>
      <c r="H239" s="10" t="s">
        <v>183</v>
      </c>
      <c r="I239" s="48"/>
      <c r="J239" s="10" t="str">
        <f t="shared" si="3"/>
        <v>NA</v>
      </c>
      <c r="K239" s="9"/>
      <c r="S239" s="9"/>
      <c r="T239" s="9"/>
      <c r="V239" s="35" t="s">
        <v>4555</v>
      </c>
      <c r="W239" s="35" t="s">
        <v>4829</v>
      </c>
      <c r="X239" s="199" t="s">
        <v>4564</v>
      </c>
      <c r="Y239" s="36">
        <v>5</v>
      </c>
      <c r="Z239" s="36">
        <v>100</v>
      </c>
      <c r="AA239" s="40">
        <v>0</v>
      </c>
      <c r="AB239" s="35" t="s">
        <v>4422</v>
      </c>
    </row>
    <row r="240" spans="1:28">
      <c r="A240" s="9" t="s">
        <v>4157</v>
      </c>
      <c r="B240" s="10" t="s">
        <v>8</v>
      </c>
      <c r="C240" s="10" t="s">
        <v>5788</v>
      </c>
      <c r="D240" s="10">
        <v>0</v>
      </c>
      <c r="E240" s="10" t="s">
        <v>183</v>
      </c>
      <c r="F240" s="10" t="s">
        <v>5225</v>
      </c>
      <c r="G240" s="10" t="s">
        <v>5225</v>
      </c>
      <c r="H240" s="10" t="s">
        <v>5225</v>
      </c>
      <c r="I240" s="48"/>
      <c r="J240" s="10">
        <f t="shared" si="3"/>
        <v>0</v>
      </c>
      <c r="K240" s="9"/>
      <c r="S240" s="9"/>
      <c r="T240" s="9"/>
      <c r="V240" s="35" t="s">
        <v>4555</v>
      </c>
      <c r="W240" s="35" t="s">
        <v>4877</v>
      </c>
      <c r="X240" s="199" t="s">
        <v>3770</v>
      </c>
      <c r="Y240" s="36">
        <v>6</v>
      </c>
      <c r="Z240" s="36">
        <v>100</v>
      </c>
      <c r="AA240" s="36">
        <v>0</v>
      </c>
      <c r="AB240" s="35" t="s">
        <v>3771</v>
      </c>
    </row>
    <row r="241" spans="1:28">
      <c r="A241" s="9" t="s">
        <v>4050</v>
      </c>
      <c r="B241" s="10" t="s">
        <v>4051</v>
      </c>
      <c r="C241" s="10" t="s">
        <v>5788</v>
      </c>
      <c r="D241" s="10">
        <v>0</v>
      </c>
      <c r="E241" s="10" t="s">
        <v>183</v>
      </c>
      <c r="F241" s="10" t="s">
        <v>5225</v>
      </c>
      <c r="G241" s="10" t="s">
        <v>5225</v>
      </c>
      <c r="H241" s="10" t="s">
        <v>5225</v>
      </c>
      <c r="I241" s="10" t="s">
        <v>4052</v>
      </c>
      <c r="J241" s="10">
        <f t="shared" si="3"/>
        <v>0</v>
      </c>
      <c r="K241" s="9"/>
      <c r="S241" s="9"/>
      <c r="T241" s="9"/>
      <c r="V241" s="35" t="s">
        <v>4555</v>
      </c>
      <c r="W241" s="35" t="s">
        <v>4483</v>
      </c>
      <c r="X241" s="199" t="s">
        <v>3774</v>
      </c>
      <c r="Y241" s="36">
        <v>6</v>
      </c>
      <c r="Z241" s="36">
        <v>100</v>
      </c>
      <c r="AA241" s="36">
        <v>2</v>
      </c>
      <c r="AB241" s="35" t="s">
        <v>3966</v>
      </c>
    </row>
    <row r="242" spans="1:28">
      <c r="A242" s="9" t="s">
        <v>4055</v>
      </c>
      <c r="B242" s="10" t="s">
        <v>4018</v>
      </c>
      <c r="C242" s="10" t="s">
        <v>5786</v>
      </c>
      <c r="D242" s="10"/>
      <c r="E242" s="10" t="s">
        <v>5227</v>
      </c>
      <c r="F242" s="10" t="s">
        <v>5225</v>
      </c>
      <c r="G242" s="10" t="s">
        <v>5225</v>
      </c>
      <c r="H242" s="10" t="s">
        <v>5225</v>
      </c>
      <c r="I242" s="48"/>
      <c r="J242" s="10">
        <f t="shared" si="3"/>
        <v>0</v>
      </c>
      <c r="K242" s="9"/>
      <c r="S242" s="9"/>
      <c r="T242" s="9"/>
      <c r="V242" s="35" t="s">
        <v>4555</v>
      </c>
      <c r="W242" s="35" t="s">
        <v>5170</v>
      </c>
      <c r="X242" s="199" t="s">
        <v>4591</v>
      </c>
      <c r="Y242" s="36">
        <v>6</v>
      </c>
      <c r="Z242" s="36">
        <v>100</v>
      </c>
      <c r="AA242" s="36" t="s">
        <v>4592</v>
      </c>
      <c r="AB242" s="35" t="s">
        <v>4593</v>
      </c>
    </row>
    <row r="243" spans="1:28">
      <c r="A243" s="9" t="s">
        <v>4056</v>
      </c>
      <c r="B243" s="10" t="s">
        <v>4057</v>
      </c>
      <c r="C243" s="10" t="s">
        <v>5786</v>
      </c>
      <c r="D243" s="10"/>
      <c r="E243" s="10" t="s">
        <v>5227</v>
      </c>
      <c r="F243" s="10" t="s">
        <v>5225</v>
      </c>
      <c r="G243" s="10" t="s">
        <v>5225</v>
      </c>
      <c r="H243" s="10" t="s">
        <v>5225</v>
      </c>
      <c r="I243" s="48"/>
      <c r="J243" s="10">
        <f t="shared" si="3"/>
        <v>0</v>
      </c>
      <c r="K243" s="9"/>
      <c r="S243" s="9"/>
      <c r="T243" s="9"/>
      <c r="V243" s="222" t="s">
        <v>4555</v>
      </c>
      <c r="W243" s="222" t="s">
        <v>5170</v>
      </c>
      <c r="X243" s="223" t="s">
        <v>4604</v>
      </c>
      <c r="Y243" s="224">
        <v>5</v>
      </c>
      <c r="Z243" s="224">
        <v>100</v>
      </c>
      <c r="AA243" s="225">
        <v>0</v>
      </c>
      <c r="AB243" s="222" t="s">
        <v>4605</v>
      </c>
    </row>
    <row r="244" spans="1:28">
      <c r="A244" s="9" t="s">
        <v>4060</v>
      </c>
      <c r="B244" s="10" t="s">
        <v>4</v>
      </c>
      <c r="C244" s="10" t="s">
        <v>5786</v>
      </c>
      <c r="D244" s="10"/>
      <c r="E244" s="10" t="s">
        <v>5227</v>
      </c>
      <c r="F244" s="10" t="s">
        <v>5227</v>
      </c>
      <c r="G244" s="10" t="s">
        <v>5225</v>
      </c>
      <c r="H244" s="10" t="s">
        <v>5225</v>
      </c>
      <c r="I244" s="48"/>
      <c r="J244" s="10">
        <f t="shared" si="3"/>
        <v>0</v>
      </c>
      <c r="K244" s="9"/>
      <c r="S244" s="9"/>
      <c r="T244" s="9"/>
      <c r="V244" s="35" t="s">
        <v>4555</v>
      </c>
      <c r="W244" s="35" t="s">
        <v>4290</v>
      </c>
      <c r="X244" s="199" t="s">
        <v>3969</v>
      </c>
      <c r="Y244" s="36">
        <v>7</v>
      </c>
      <c r="Z244" s="36">
        <v>200</v>
      </c>
      <c r="AA244" s="36">
        <v>2</v>
      </c>
      <c r="AB244" s="35" t="s">
        <v>3995</v>
      </c>
    </row>
    <row r="245" spans="1:28">
      <c r="A245" s="9" t="s">
        <v>3863</v>
      </c>
      <c r="B245" s="10" t="s">
        <v>3970</v>
      </c>
      <c r="C245" s="10" t="s">
        <v>5786</v>
      </c>
      <c r="D245" s="10"/>
      <c r="E245" s="10" t="s">
        <v>5227</v>
      </c>
      <c r="F245" s="10" t="s">
        <v>5227</v>
      </c>
      <c r="G245" s="10">
        <v>1</v>
      </c>
      <c r="H245" s="10" t="s">
        <v>5225</v>
      </c>
      <c r="I245" s="48" t="s">
        <v>4662</v>
      </c>
      <c r="J245" s="10">
        <f t="shared" si="3"/>
        <v>0</v>
      </c>
      <c r="K245" s="9"/>
      <c r="S245" s="9"/>
      <c r="T245" s="9"/>
      <c r="V245" s="35" t="s">
        <v>4555</v>
      </c>
      <c r="W245" s="35" t="s">
        <v>4554</v>
      </c>
      <c r="X245" s="199" t="s">
        <v>3996</v>
      </c>
      <c r="Y245" s="36">
        <v>7</v>
      </c>
      <c r="Z245" s="36">
        <v>100</v>
      </c>
      <c r="AA245" s="36">
        <v>2</v>
      </c>
      <c r="AB245" s="35" t="s">
        <v>3997</v>
      </c>
    </row>
    <row r="246" spans="1:28">
      <c r="A246" s="9" t="s">
        <v>4099</v>
      </c>
      <c r="B246" s="10" t="s">
        <v>4057</v>
      </c>
      <c r="C246" s="10" t="s">
        <v>5787</v>
      </c>
      <c r="D246" s="10"/>
      <c r="E246" s="10" t="s">
        <v>5227</v>
      </c>
      <c r="F246" s="10" t="s">
        <v>5225</v>
      </c>
      <c r="G246" s="10">
        <v>1</v>
      </c>
      <c r="H246" s="10" t="s">
        <v>5225</v>
      </c>
      <c r="I246" s="48"/>
      <c r="J246" s="10">
        <f t="shared" si="3"/>
        <v>0</v>
      </c>
      <c r="K246" s="9"/>
      <c r="S246" s="9"/>
      <c r="T246" s="9"/>
      <c r="V246" s="35" t="s">
        <v>4555</v>
      </c>
      <c r="W246" s="35" t="s">
        <v>5170</v>
      </c>
      <c r="X246" s="199" t="s">
        <v>4618</v>
      </c>
      <c r="Y246" s="36">
        <v>7</v>
      </c>
      <c r="Z246" s="36">
        <v>100</v>
      </c>
      <c r="AA246" s="36" t="s">
        <v>4561</v>
      </c>
      <c r="AB246" s="35" t="s">
        <v>4482</v>
      </c>
    </row>
    <row r="247" spans="1:28">
      <c r="A247" s="9" t="s">
        <v>5051</v>
      </c>
      <c r="B247" s="10" t="s">
        <v>4057</v>
      </c>
      <c r="C247" s="10" t="s">
        <v>5787</v>
      </c>
      <c r="D247" s="10"/>
      <c r="E247" s="10" t="s">
        <v>5227</v>
      </c>
      <c r="F247" s="10" t="s">
        <v>5225</v>
      </c>
      <c r="G247" s="10">
        <v>1</v>
      </c>
      <c r="H247" s="10" t="s">
        <v>5225</v>
      </c>
      <c r="I247" s="48"/>
      <c r="J247" s="10">
        <f t="shared" si="3"/>
        <v>0</v>
      </c>
      <c r="K247" s="9"/>
      <c r="S247" s="9"/>
      <c r="T247" s="9"/>
      <c r="V247" s="35" t="s">
        <v>4555</v>
      </c>
      <c r="W247" s="35" t="s">
        <v>4877</v>
      </c>
      <c r="X247" s="199" t="s">
        <v>3816</v>
      </c>
      <c r="Y247" s="36">
        <v>8</v>
      </c>
      <c r="Z247" s="36">
        <v>100</v>
      </c>
      <c r="AA247" s="36">
        <v>2</v>
      </c>
      <c r="AB247" s="35" t="s">
        <v>3817</v>
      </c>
    </row>
    <row r="248" spans="1:28">
      <c r="A248" s="9" t="s">
        <v>4042</v>
      </c>
      <c r="B248" s="10" t="s">
        <v>259</v>
      </c>
      <c r="C248" s="10" t="s">
        <v>5786</v>
      </c>
      <c r="D248" s="10"/>
      <c r="E248" s="10" t="s">
        <v>5227</v>
      </c>
      <c r="F248" s="10" t="s">
        <v>5227</v>
      </c>
      <c r="G248" s="10">
        <v>2</v>
      </c>
      <c r="H248" s="10" t="s">
        <v>5225</v>
      </c>
      <c r="I248" s="48"/>
      <c r="J248" s="10">
        <f t="shared" si="3"/>
        <v>0</v>
      </c>
      <c r="K248" s="9"/>
      <c r="S248" s="9"/>
      <c r="T248" s="9"/>
      <c r="V248" s="37" t="s">
        <v>4555</v>
      </c>
      <c r="W248" s="37" t="s">
        <v>4290</v>
      </c>
      <c r="X248" s="200" t="s">
        <v>3819</v>
      </c>
      <c r="Y248" s="38">
        <v>8</v>
      </c>
      <c r="Z248" s="38">
        <v>200</v>
      </c>
      <c r="AA248" s="39" t="s">
        <v>4127</v>
      </c>
      <c r="AB248" s="37" t="s">
        <v>4128</v>
      </c>
    </row>
    <row r="249" spans="1:28">
      <c r="A249" s="9" t="s">
        <v>9</v>
      </c>
      <c r="B249" s="10" t="s">
        <v>259</v>
      </c>
      <c r="C249" s="10" t="s">
        <v>5786</v>
      </c>
      <c r="D249" s="10"/>
      <c r="E249" s="10" t="s">
        <v>5227</v>
      </c>
      <c r="F249" s="10" t="s">
        <v>5227</v>
      </c>
      <c r="G249" s="10">
        <v>2</v>
      </c>
      <c r="H249" s="10" t="s">
        <v>5225</v>
      </c>
      <c r="I249" s="48"/>
      <c r="J249" s="10">
        <f t="shared" si="3"/>
        <v>0</v>
      </c>
      <c r="K249" s="9"/>
      <c r="S249" s="9"/>
      <c r="T249" s="9"/>
    </row>
    <row r="250" spans="1:28">
      <c r="A250" s="9" t="s">
        <v>4024</v>
      </c>
      <c r="B250" s="10" t="s">
        <v>259</v>
      </c>
      <c r="C250" s="10" t="s">
        <v>5786</v>
      </c>
      <c r="D250" s="10"/>
      <c r="E250" s="10" t="s">
        <v>5227</v>
      </c>
      <c r="F250" s="10" t="s">
        <v>5227</v>
      </c>
      <c r="G250" s="10">
        <v>2</v>
      </c>
      <c r="H250" s="10" t="s">
        <v>5225</v>
      </c>
      <c r="I250" s="48"/>
      <c r="J250" s="10">
        <f t="shared" si="3"/>
        <v>0</v>
      </c>
      <c r="K250" s="9"/>
      <c r="S250" s="9"/>
      <c r="T250" s="9"/>
    </row>
    <row r="251" spans="1:28">
      <c r="A251" s="9" t="s">
        <v>4711</v>
      </c>
      <c r="B251" s="10" t="s">
        <v>4027</v>
      </c>
      <c r="C251" s="10" t="s">
        <v>5787</v>
      </c>
      <c r="D251" s="10"/>
      <c r="E251" s="10" t="s">
        <v>5227</v>
      </c>
      <c r="F251" s="10" t="s">
        <v>5225</v>
      </c>
      <c r="G251" s="10">
        <v>1</v>
      </c>
      <c r="H251" s="10" t="s">
        <v>5225</v>
      </c>
      <c r="I251" s="48" t="s">
        <v>4634</v>
      </c>
      <c r="J251" s="10">
        <f t="shared" si="3"/>
        <v>0</v>
      </c>
      <c r="K251" s="9"/>
      <c r="S251" s="9"/>
      <c r="T251" s="9"/>
    </row>
    <row r="252" spans="1:28">
      <c r="A252" s="9" t="s">
        <v>10</v>
      </c>
      <c r="B252" s="10" t="s">
        <v>4027</v>
      </c>
      <c r="C252" s="10" t="s">
        <v>5787</v>
      </c>
      <c r="D252" s="10"/>
      <c r="E252" s="10" t="s">
        <v>5225</v>
      </c>
      <c r="F252" s="10" t="s">
        <v>5225</v>
      </c>
      <c r="G252" s="10">
        <v>1</v>
      </c>
      <c r="H252" s="10" t="s">
        <v>5225</v>
      </c>
      <c r="I252" s="48"/>
      <c r="J252" s="10">
        <f t="shared" si="3"/>
        <v>0</v>
      </c>
      <c r="K252" s="9"/>
      <c r="S252" s="9"/>
      <c r="T252" s="9"/>
    </row>
    <row r="253" spans="1:28">
      <c r="A253" s="9" t="s">
        <v>4197</v>
      </c>
      <c r="B253" s="10" t="s">
        <v>4430</v>
      </c>
      <c r="C253" s="10" t="s">
        <v>5786</v>
      </c>
      <c r="D253" s="10"/>
      <c r="E253" s="10" t="s">
        <v>5225</v>
      </c>
      <c r="F253" s="10" t="s">
        <v>5225</v>
      </c>
      <c r="G253" s="10" t="s">
        <v>5225</v>
      </c>
      <c r="H253" s="10" t="s">
        <v>5225</v>
      </c>
      <c r="I253" s="48" t="s">
        <v>5341</v>
      </c>
      <c r="J253" s="10">
        <f t="shared" si="3"/>
        <v>0</v>
      </c>
      <c r="K253" s="9"/>
      <c r="S253" s="9"/>
      <c r="T253" s="9"/>
    </row>
    <row r="254" spans="1:28">
      <c r="A254" s="9" t="s">
        <v>4220</v>
      </c>
      <c r="B254" s="10" t="s">
        <v>4</v>
      </c>
      <c r="C254" s="10" t="s">
        <v>5788</v>
      </c>
      <c r="D254" s="10"/>
      <c r="E254" s="10" t="s">
        <v>5227</v>
      </c>
      <c r="F254" s="10" t="s">
        <v>5227</v>
      </c>
      <c r="G254" s="10" t="s">
        <v>5225</v>
      </c>
      <c r="H254" s="10" t="s">
        <v>5225</v>
      </c>
      <c r="I254" s="48"/>
      <c r="J254" s="10">
        <f t="shared" si="3"/>
        <v>0</v>
      </c>
      <c r="K254" s="9"/>
      <c r="S254" s="9"/>
      <c r="T254" s="9"/>
    </row>
    <row r="255" spans="1:28">
      <c r="A255" s="9" t="s">
        <v>11</v>
      </c>
      <c r="B255" s="10" t="s">
        <v>167</v>
      </c>
      <c r="C255" s="10" t="s">
        <v>3</v>
      </c>
      <c r="D255" s="10"/>
      <c r="E255" s="10" t="s">
        <v>182</v>
      </c>
      <c r="F255" s="10" t="s">
        <v>182</v>
      </c>
      <c r="G255" s="10" t="s">
        <v>182</v>
      </c>
      <c r="H255" s="10" t="s">
        <v>182</v>
      </c>
      <c r="I255" s="48"/>
      <c r="J255" s="10">
        <f t="shared" si="3"/>
        <v>0</v>
      </c>
      <c r="K255" s="9"/>
      <c r="S255" s="9"/>
      <c r="T255" s="9"/>
    </row>
    <row r="256" spans="1:28">
      <c r="A256" s="9" t="s">
        <v>4232</v>
      </c>
      <c r="B256" s="10" t="s">
        <v>4323</v>
      </c>
      <c r="C256" s="10" t="s">
        <v>5596</v>
      </c>
      <c r="D256" s="10">
        <v>3</v>
      </c>
      <c r="E256" s="10" t="s">
        <v>5227</v>
      </c>
      <c r="F256" s="10" t="s">
        <v>5227</v>
      </c>
      <c r="G256" s="10" t="s">
        <v>5225</v>
      </c>
      <c r="H256" s="10" t="s">
        <v>5225</v>
      </c>
      <c r="I256" s="48"/>
      <c r="J256" s="10">
        <f t="shared" si="3"/>
        <v>0</v>
      </c>
      <c r="K256" s="9"/>
      <c r="S256" s="9"/>
      <c r="T256" s="9"/>
    </row>
    <row r="257" spans="1:20">
      <c r="A257" s="9" t="s">
        <v>3954</v>
      </c>
      <c r="B257" s="10" t="s">
        <v>3955</v>
      </c>
      <c r="C257" s="10" t="s">
        <v>5786</v>
      </c>
      <c r="D257" s="10"/>
      <c r="E257" s="10" t="s">
        <v>5227</v>
      </c>
      <c r="F257" s="10" t="s">
        <v>5227</v>
      </c>
      <c r="G257" s="10" t="s">
        <v>5225</v>
      </c>
      <c r="H257" s="10" t="s">
        <v>5225</v>
      </c>
      <c r="I257" s="48"/>
      <c r="J257" s="10">
        <f t="shared" si="3"/>
        <v>0</v>
      </c>
      <c r="K257" s="9"/>
      <c r="S257" s="9"/>
      <c r="T257" s="9"/>
    </row>
    <row r="258" spans="1:20">
      <c r="A258" s="9" t="s">
        <v>3956</v>
      </c>
      <c r="B258" s="10" t="s">
        <v>4027</v>
      </c>
      <c r="C258" s="10" t="s">
        <v>5596</v>
      </c>
      <c r="D258" s="10"/>
      <c r="E258" s="10" t="s">
        <v>5225</v>
      </c>
      <c r="F258" s="10" t="s">
        <v>5227</v>
      </c>
      <c r="G258" s="10">
        <v>1</v>
      </c>
      <c r="H258" s="10" t="s">
        <v>5225</v>
      </c>
      <c r="I258" s="48" t="s">
        <v>5029</v>
      </c>
      <c r="J258" s="10">
        <f t="shared" si="3"/>
        <v>0</v>
      </c>
      <c r="K258" s="9"/>
      <c r="S258" s="9"/>
      <c r="T258" s="9"/>
    </row>
    <row r="259" spans="1:20">
      <c r="A259" s="9" t="s">
        <v>4300</v>
      </c>
      <c r="B259" s="10" t="s">
        <v>4027</v>
      </c>
      <c r="C259" s="10" t="s">
        <v>5390</v>
      </c>
      <c r="D259" s="10"/>
      <c r="E259" s="10" t="s">
        <v>5227</v>
      </c>
      <c r="F259" s="10" t="s">
        <v>5225</v>
      </c>
      <c r="G259" s="10">
        <v>1</v>
      </c>
      <c r="H259" s="10" t="s">
        <v>5227</v>
      </c>
      <c r="I259" s="48"/>
      <c r="J259" s="10">
        <f t="shared" si="3"/>
        <v>0</v>
      </c>
      <c r="K259" s="9"/>
      <c r="S259" s="9"/>
      <c r="T259" s="9"/>
    </row>
    <row r="260" spans="1:20">
      <c r="A260" s="9" t="s">
        <v>3768</v>
      </c>
      <c r="B260" s="10" t="s">
        <v>4027</v>
      </c>
      <c r="C260" s="10" t="s">
        <v>5787</v>
      </c>
      <c r="D260" s="10"/>
      <c r="E260" s="10" t="s">
        <v>5227</v>
      </c>
      <c r="F260" s="10" t="s">
        <v>5225</v>
      </c>
      <c r="G260" s="10">
        <v>1</v>
      </c>
      <c r="H260" s="10" t="s">
        <v>5225</v>
      </c>
      <c r="I260" s="48" t="s">
        <v>4301</v>
      </c>
      <c r="J260" s="10">
        <f t="shared" ref="J260:J323" si="4">IF(C260="Rank","NA",0)</f>
        <v>0</v>
      </c>
      <c r="K260" s="9"/>
      <c r="S260" s="9"/>
      <c r="T260" s="9"/>
    </row>
    <row r="261" spans="1:20">
      <c r="A261" s="9" t="s">
        <v>5224</v>
      </c>
      <c r="B261" s="10" t="s">
        <v>3955</v>
      </c>
      <c r="C261" s="10" t="s">
        <v>5349</v>
      </c>
      <c r="D261" s="10"/>
      <c r="E261" s="10" t="s">
        <v>5225</v>
      </c>
      <c r="F261" s="10" t="s">
        <v>5225</v>
      </c>
      <c r="G261" s="10" t="s">
        <v>5225</v>
      </c>
      <c r="H261" s="10" t="s">
        <v>5225</v>
      </c>
      <c r="I261" s="48"/>
      <c r="J261" s="10" t="str">
        <f t="shared" si="4"/>
        <v>NA</v>
      </c>
      <c r="K261" s="9"/>
      <c r="S261" s="9"/>
      <c r="T261" s="9"/>
    </row>
    <row r="262" spans="1:20">
      <c r="A262" s="9" t="s">
        <v>4305</v>
      </c>
      <c r="B262" s="10" t="s">
        <v>4027</v>
      </c>
      <c r="C262" s="10" t="s">
        <v>5788</v>
      </c>
      <c r="D262" s="10"/>
      <c r="E262" s="10" t="s">
        <v>5225</v>
      </c>
      <c r="F262" s="10" t="s">
        <v>5225</v>
      </c>
      <c r="G262" s="10">
        <v>1</v>
      </c>
      <c r="H262" s="10" t="s">
        <v>5227</v>
      </c>
      <c r="I262" s="48"/>
      <c r="J262" s="10">
        <f t="shared" si="4"/>
        <v>0</v>
      </c>
      <c r="K262" s="9"/>
      <c r="S262" s="9"/>
      <c r="T262" s="9"/>
    </row>
    <row r="263" spans="1:20">
      <c r="A263" s="9" t="s">
        <v>3769</v>
      </c>
      <c r="B263" s="10" t="s">
        <v>4027</v>
      </c>
      <c r="C263" s="10" t="s">
        <v>5390</v>
      </c>
      <c r="D263" s="10"/>
      <c r="E263" s="10" t="s">
        <v>5225</v>
      </c>
      <c r="F263" s="10" t="s">
        <v>5225</v>
      </c>
      <c r="G263" s="10">
        <v>2</v>
      </c>
      <c r="H263" s="10" t="s">
        <v>5225</v>
      </c>
      <c r="I263" s="48"/>
      <c r="J263" s="10">
        <f t="shared" si="4"/>
        <v>0</v>
      </c>
      <c r="K263" s="9"/>
      <c r="S263" s="9"/>
      <c r="T263" s="9"/>
    </row>
    <row r="264" spans="1:20">
      <c r="A264" s="9" t="s">
        <v>3772</v>
      </c>
      <c r="B264" s="10" t="s">
        <v>3773</v>
      </c>
      <c r="C264" s="10" t="s">
        <v>5390</v>
      </c>
      <c r="D264" s="10"/>
      <c r="E264" s="10" t="s">
        <v>5227</v>
      </c>
      <c r="F264" s="10" t="s">
        <v>5225</v>
      </c>
      <c r="G264" s="10">
        <v>1</v>
      </c>
      <c r="H264" s="10" t="s">
        <v>5225</v>
      </c>
      <c r="I264" s="48" t="s">
        <v>5029</v>
      </c>
      <c r="J264" s="10">
        <f t="shared" si="4"/>
        <v>0</v>
      </c>
      <c r="K264" s="9"/>
      <c r="S264" s="9"/>
      <c r="T264" s="9"/>
    </row>
    <row r="265" spans="1:20">
      <c r="A265" s="9" t="s">
        <v>3967</v>
      </c>
      <c r="B265" s="10" t="s">
        <v>3955</v>
      </c>
      <c r="C265" s="10" t="s">
        <v>5788</v>
      </c>
      <c r="D265" s="10"/>
      <c r="E265" s="10" t="s">
        <v>5225</v>
      </c>
      <c r="F265" s="10" t="s">
        <v>5227</v>
      </c>
      <c r="G265" s="10" t="s">
        <v>5225</v>
      </c>
      <c r="H265" s="10" t="s">
        <v>5225</v>
      </c>
      <c r="I265" s="48"/>
      <c r="J265" s="10">
        <f t="shared" si="4"/>
        <v>0</v>
      </c>
      <c r="K265" s="9"/>
      <c r="S265" s="9"/>
      <c r="T265" s="9"/>
    </row>
    <row r="266" spans="1:20">
      <c r="A266" s="9" t="s">
        <v>5417</v>
      </c>
      <c r="B266" s="10" t="s">
        <v>4858</v>
      </c>
      <c r="C266" s="10" t="s">
        <v>5788</v>
      </c>
      <c r="D266" s="10"/>
      <c r="E266" s="10" t="s">
        <v>5225</v>
      </c>
      <c r="F266" s="10" t="s">
        <v>5227</v>
      </c>
      <c r="G266" s="10" t="s">
        <v>5225</v>
      </c>
      <c r="H266" s="10" t="s">
        <v>5225</v>
      </c>
      <c r="I266" s="48"/>
      <c r="J266" s="10">
        <f t="shared" si="4"/>
        <v>0</v>
      </c>
      <c r="K266" s="9"/>
      <c r="S266" s="9"/>
      <c r="T266" s="9"/>
    </row>
    <row r="267" spans="1:20">
      <c r="A267" s="9" t="s">
        <v>3968</v>
      </c>
      <c r="B267" s="10" t="s">
        <v>4549</v>
      </c>
      <c r="C267" s="10" t="s">
        <v>5786</v>
      </c>
      <c r="D267" s="10"/>
      <c r="E267" s="10" t="s">
        <v>5227</v>
      </c>
      <c r="F267" s="10" t="s">
        <v>5225</v>
      </c>
      <c r="G267" s="10" t="s">
        <v>5225</v>
      </c>
      <c r="H267" s="10" t="s">
        <v>5225</v>
      </c>
      <c r="I267" s="48"/>
      <c r="J267" s="10">
        <f t="shared" si="4"/>
        <v>0</v>
      </c>
      <c r="K267" s="9"/>
      <c r="S267" s="9"/>
      <c r="T267" s="9"/>
    </row>
    <row r="268" spans="1:20">
      <c r="A268" s="9" t="s">
        <v>4292</v>
      </c>
      <c r="B268" s="10" t="s">
        <v>3773</v>
      </c>
      <c r="C268" s="10" t="s">
        <v>5786</v>
      </c>
      <c r="D268" s="10"/>
      <c r="E268" s="10" t="s">
        <v>5225</v>
      </c>
      <c r="F268" s="10" t="s">
        <v>5227</v>
      </c>
      <c r="G268" s="10">
        <v>1</v>
      </c>
      <c r="H268" s="10" t="s">
        <v>5225</v>
      </c>
      <c r="I268" s="48" t="s">
        <v>4490</v>
      </c>
      <c r="J268" s="10">
        <f t="shared" si="4"/>
        <v>0</v>
      </c>
      <c r="K268" s="9"/>
      <c r="S268" s="9"/>
      <c r="T268" s="9"/>
    </row>
    <row r="269" spans="1:20">
      <c r="A269" s="9" t="s">
        <v>4822</v>
      </c>
      <c r="B269" s="10" t="s">
        <v>3955</v>
      </c>
      <c r="C269" s="10" t="s">
        <v>5597</v>
      </c>
      <c r="D269" s="10"/>
      <c r="E269" s="10" t="s">
        <v>5225</v>
      </c>
      <c r="F269" s="10" t="s">
        <v>5225</v>
      </c>
      <c r="G269" s="10" t="s">
        <v>5225</v>
      </c>
      <c r="H269" s="10" t="s">
        <v>5225</v>
      </c>
      <c r="I269" s="48"/>
      <c r="J269" s="10">
        <f t="shared" si="4"/>
        <v>0</v>
      </c>
      <c r="K269" s="9"/>
      <c r="S269" s="9"/>
      <c r="T269" s="9"/>
    </row>
    <row r="270" spans="1:20">
      <c r="A270" s="9" t="s">
        <v>4496</v>
      </c>
      <c r="B270" s="10" t="s">
        <v>3955</v>
      </c>
      <c r="C270" s="10" t="s">
        <v>5786</v>
      </c>
      <c r="D270" s="10"/>
      <c r="E270" s="10" t="s">
        <v>5227</v>
      </c>
      <c r="F270" s="10" t="s">
        <v>5225</v>
      </c>
      <c r="G270" s="10">
        <v>1</v>
      </c>
      <c r="H270" s="10" t="s">
        <v>5225</v>
      </c>
      <c r="I270" s="48"/>
      <c r="J270" s="10">
        <f t="shared" si="4"/>
        <v>0</v>
      </c>
      <c r="K270" s="9"/>
      <c r="S270" s="9"/>
      <c r="T270" s="9"/>
    </row>
    <row r="271" spans="1:20">
      <c r="A271" s="9" t="s">
        <v>5413</v>
      </c>
      <c r="B271" s="10" t="s">
        <v>3818</v>
      </c>
      <c r="C271" s="10" t="s">
        <v>5349</v>
      </c>
      <c r="D271" s="10"/>
      <c r="E271" s="10" t="s">
        <v>5225</v>
      </c>
      <c r="F271" s="10" t="s">
        <v>5225</v>
      </c>
      <c r="G271" s="10" t="s">
        <v>5225</v>
      </c>
      <c r="H271" s="10" t="s">
        <v>5225</v>
      </c>
      <c r="I271" s="48"/>
      <c r="J271" s="10" t="str">
        <f t="shared" si="4"/>
        <v>NA</v>
      </c>
      <c r="K271" s="9"/>
      <c r="S271" s="9"/>
      <c r="T271" s="9"/>
    </row>
    <row r="272" spans="1:20">
      <c r="A272" s="9" t="s">
        <v>5695</v>
      </c>
      <c r="B272" s="10" t="s">
        <v>3773</v>
      </c>
      <c r="C272" s="10" t="s">
        <v>5787</v>
      </c>
      <c r="D272" s="10"/>
      <c r="E272" s="10" t="s">
        <v>5227</v>
      </c>
      <c r="F272" s="10" t="s">
        <v>5227</v>
      </c>
      <c r="G272" s="10" t="s">
        <v>5225</v>
      </c>
      <c r="H272" s="10" t="s">
        <v>5225</v>
      </c>
      <c r="I272" s="48" t="s">
        <v>5694</v>
      </c>
      <c r="J272" s="10">
        <f t="shared" si="4"/>
        <v>0</v>
      </c>
      <c r="K272" s="9"/>
      <c r="S272" s="9"/>
      <c r="T272" s="9"/>
    </row>
    <row r="273" spans="1:20">
      <c r="A273" s="9" t="s">
        <v>4518</v>
      </c>
      <c r="B273" s="10" t="s">
        <v>3773</v>
      </c>
      <c r="C273" s="10" t="s">
        <v>5390</v>
      </c>
      <c r="D273" s="10"/>
      <c r="E273" s="10" t="s">
        <v>5227</v>
      </c>
      <c r="F273" s="10" t="s">
        <v>5227</v>
      </c>
      <c r="G273" s="10">
        <v>1</v>
      </c>
      <c r="H273" s="10" t="s">
        <v>5225</v>
      </c>
      <c r="I273" s="48" t="s">
        <v>5029</v>
      </c>
      <c r="J273" s="10">
        <f t="shared" si="4"/>
        <v>0</v>
      </c>
      <c r="K273" s="9"/>
      <c r="S273" s="9"/>
      <c r="T273" s="9"/>
    </row>
    <row r="274" spans="1:20">
      <c r="A274" s="9" t="s">
        <v>12</v>
      </c>
      <c r="B274" s="10" t="s">
        <v>145</v>
      </c>
      <c r="C274" s="10" t="s">
        <v>29</v>
      </c>
      <c r="D274" s="10"/>
      <c r="E274" s="10" t="s">
        <v>183</v>
      </c>
      <c r="F274" s="10" t="s">
        <v>182</v>
      </c>
      <c r="G274" s="10" t="s">
        <v>182</v>
      </c>
      <c r="H274" s="10" t="s">
        <v>182</v>
      </c>
      <c r="I274" s="48"/>
      <c r="J274" s="10">
        <f t="shared" si="4"/>
        <v>0</v>
      </c>
      <c r="K274" s="9"/>
      <c r="S274" s="9"/>
      <c r="T274" s="9"/>
    </row>
    <row r="275" spans="1:20">
      <c r="A275" s="9" t="s">
        <v>4070</v>
      </c>
      <c r="B275" s="10" t="s">
        <v>260</v>
      </c>
      <c r="C275" s="10" t="s">
        <v>5390</v>
      </c>
      <c r="D275" s="10"/>
      <c r="E275" s="10" t="s">
        <v>5227</v>
      </c>
      <c r="F275" s="10" t="s">
        <v>5225</v>
      </c>
      <c r="G275" s="10" t="s">
        <v>4743</v>
      </c>
      <c r="H275" s="10" t="s">
        <v>5225</v>
      </c>
      <c r="I275" s="48"/>
      <c r="J275" s="10">
        <f t="shared" si="4"/>
        <v>0</v>
      </c>
      <c r="K275" s="9"/>
      <c r="S275" s="9"/>
      <c r="T275" s="9"/>
    </row>
    <row r="276" spans="1:20">
      <c r="A276" s="9" t="s">
        <v>4883</v>
      </c>
      <c r="B276" s="10" t="s">
        <v>4129</v>
      </c>
      <c r="C276" s="10" t="s">
        <v>5787</v>
      </c>
      <c r="D276" s="10"/>
      <c r="E276" s="10" t="s">
        <v>5225</v>
      </c>
      <c r="F276" s="10" t="s">
        <v>5225</v>
      </c>
      <c r="G276" s="10" t="s">
        <v>5225</v>
      </c>
      <c r="H276" s="10" t="s">
        <v>5225</v>
      </c>
      <c r="I276" s="48"/>
      <c r="J276" s="10">
        <f t="shared" si="4"/>
        <v>0</v>
      </c>
      <c r="K276" s="9"/>
      <c r="S276" s="9"/>
      <c r="T276" s="9"/>
    </row>
    <row r="277" spans="1:20">
      <c r="A277" s="9" t="s">
        <v>4895</v>
      </c>
      <c r="B277" s="10" t="s">
        <v>4018</v>
      </c>
      <c r="C277" s="10" t="s">
        <v>5349</v>
      </c>
      <c r="D277" s="10"/>
      <c r="E277" s="10" t="s">
        <v>5225</v>
      </c>
      <c r="F277" s="10" t="s">
        <v>5225</v>
      </c>
      <c r="G277" s="10" t="s">
        <v>5225</v>
      </c>
      <c r="H277" s="10" t="s">
        <v>5225</v>
      </c>
      <c r="I277" s="48"/>
      <c r="J277" s="10" t="str">
        <f t="shared" si="4"/>
        <v>NA</v>
      </c>
      <c r="K277" s="9"/>
      <c r="S277" s="9"/>
      <c r="T277" s="9"/>
    </row>
    <row r="278" spans="1:20">
      <c r="A278" s="9" t="s">
        <v>4446</v>
      </c>
      <c r="B278" s="10" t="s">
        <v>4129</v>
      </c>
      <c r="C278" s="10" t="s">
        <v>5788</v>
      </c>
      <c r="D278" s="10"/>
      <c r="E278" s="10" t="s">
        <v>5227</v>
      </c>
      <c r="F278" s="10" t="s">
        <v>5227</v>
      </c>
      <c r="G278" s="10">
        <v>1</v>
      </c>
      <c r="H278" s="10" t="s">
        <v>5227</v>
      </c>
      <c r="I278" s="48"/>
      <c r="J278" s="10">
        <f t="shared" si="4"/>
        <v>0</v>
      </c>
      <c r="K278" s="9"/>
      <c r="S278" s="9"/>
      <c r="T278" s="9"/>
    </row>
    <row r="279" spans="1:20">
      <c r="A279" s="9" t="s">
        <v>4502</v>
      </c>
      <c r="B279" s="10" t="s">
        <v>3773</v>
      </c>
      <c r="C279" s="10" t="s">
        <v>5787</v>
      </c>
      <c r="D279" s="10"/>
      <c r="E279" s="10" t="s">
        <v>5227</v>
      </c>
      <c r="F279" s="10" t="s">
        <v>5227</v>
      </c>
      <c r="G279" s="10">
        <v>4</v>
      </c>
      <c r="H279" s="10" t="s">
        <v>5225</v>
      </c>
      <c r="I279" s="48"/>
      <c r="J279" s="10">
        <f t="shared" si="4"/>
        <v>0</v>
      </c>
      <c r="K279" s="9"/>
      <c r="S279" s="9"/>
      <c r="T279" s="9"/>
    </row>
    <row r="280" spans="1:20">
      <c r="A280" s="9" t="s">
        <v>5053</v>
      </c>
      <c r="B280" s="10" t="s">
        <v>4129</v>
      </c>
      <c r="C280" s="10" t="s">
        <v>5596</v>
      </c>
      <c r="D280" s="10"/>
      <c r="E280" s="10" t="s">
        <v>5225</v>
      </c>
      <c r="F280" s="10" t="s">
        <v>5227</v>
      </c>
      <c r="G280" s="10" t="s">
        <v>5225</v>
      </c>
      <c r="H280" s="10" t="s">
        <v>5225</v>
      </c>
      <c r="I280" s="48"/>
      <c r="J280" s="10">
        <f t="shared" si="4"/>
        <v>0</v>
      </c>
      <c r="K280" s="9"/>
      <c r="S280" s="9"/>
      <c r="T280" s="9"/>
    </row>
    <row r="281" spans="1:20">
      <c r="A281" s="9" t="s">
        <v>4130</v>
      </c>
      <c r="B281" s="10" t="s">
        <v>4051</v>
      </c>
      <c r="C281" s="10" t="s">
        <v>5786</v>
      </c>
      <c r="D281" s="10"/>
      <c r="E281" s="10" t="s">
        <v>5225</v>
      </c>
      <c r="F281" s="10" t="s">
        <v>5225</v>
      </c>
      <c r="G281" s="10" t="s">
        <v>5225</v>
      </c>
      <c r="H281" s="10" t="s">
        <v>5225</v>
      </c>
      <c r="I281" s="48"/>
      <c r="J281" s="10">
        <f t="shared" si="4"/>
        <v>0</v>
      </c>
      <c r="S281" s="9"/>
      <c r="T281" s="9"/>
    </row>
    <row r="282" spans="1:20">
      <c r="A282" s="9" t="s">
        <v>4581</v>
      </c>
      <c r="B282" s="10" t="s">
        <v>4129</v>
      </c>
      <c r="C282" s="10" t="s">
        <v>5390</v>
      </c>
      <c r="D282" s="10"/>
      <c r="E282" s="10" t="s">
        <v>5227</v>
      </c>
      <c r="F282" s="10" t="s">
        <v>5225</v>
      </c>
      <c r="G282" s="10" t="s">
        <v>5225</v>
      </c>
      <c r="H282" s="10" t="s">
        <v>5225</v>
      </c>
      <c r="I282" s="48"/>
      <c r="J282" s="10">
        <f t="shared" si="4"/>
        <v>0</v>
      </c>
      <c r="S282" s="9"/>
      <c r="T282" s="9"/>
    </row>
    <row r="283" spans="1:20">
      <c r="A283" s="9" t="s">
        <v>4131</v>
      </c>
      <c r="B283" s="10" t="s">
        <v>4129</v>
      </c>
      <c r="C283" s="10" t="s">
        <v>5786</v>
      </c>
      <c r="D283" s="10"/>
      <c r="E283" s="10" t="s">
        <v>5227</v>
      </c>
      <c r="F283" s="10" t="s">
        <v>5225</v>
      </c>
      <c r="G283" s="10">
        <v>1</v>
      </c>
      <c r="H283" s="10" t="s">
        <v>5225</v>
      </c>
      <c r="I283" s="48"/>
      <c r="J283" s="10">
        <f t="shared" si="4"/>
        <v>0</v>
      </c>
      <c r="S283" s="9"/>
      <c r="T283" s="9"/>
    </row>
    <row r="284" spans="1:20">
      <c r="A284" s="9" t="s">
        <v>4132</v>
      </c>
      <c r="B284" s="10" t="s">
        <v>4</v>
      </c>
      <c r="C284" s="10" t="s">
        <v>5786</v>
      </c>
      <c r="D284" s="10"/>
      <c r="E284" s="10" t="s">
        <v>5225</v>
      </c>
      <c r="F284" s="10" t="s">
        <v>5227</v>
      </c>
      <c r="G284" s="10" t="s">
        <v>5225</v>
      </c>
      <c r="H284" s="10" t="s">
        <v>5225</v>
      </c>
      <c r="I284" s="48"/>
      <c r="J284" s="10">
        <f t="shared" si="4"/>
        <v>0</v>
      </c>
      <c r="S284" s="9"/>
      <c r="T284" s="9"/>
    </row>
    <row r="285" spans="1:20">
      <c r="A285" s="9" t="s">
        <v>4797</v>
      </c>
      <c r="B285" s="10" t="s">
        <v>4129</v>
      </c>
      <c r="C285" s="10" t="s">
        <v>5390</v>
      </c>
      <c r="D285" s="10"/>
      <c r="E285" s="10" t="s">
        <v>5227</v>
      </c>
      <c r="F285" s="10" t="s">
        <v>5225</v>
      </c>
      <c r="G285" s="10" t="s">
        <v>5225</v>
      </c>
      <c r="H285" s="10" t="s">
        <v>5227</v>
      </c>
      <c r="I285" s="48"/>
      <c r="J285" s="10">
        <f t="shared" si="4"/>
        <v>0</v>
      </c>
      <c r="S285" s="9"/>
      <c r="T285" s="9"/>
    </row>
    <row r="286" spans="1:20">
      <c r="A286" s="9" t="s">
        <v>4094</v>
      </c>
      <c r="B286" s="10" t="s">
        <v>4095</v>
      </c>
      <c r="C286" s="10" t="s">
        <v>5788</v>
      </c>
      <c r="D286" s="10"/>
      <c r="E286" s="10" t="s">
        <v>5227</v>
      </c>
      <c r="F286" s="10" t="s">
        <v>5227</v>
      </c>
      <c r="G286" s="10">
        <v>1</v>
      </c>
      <c r="H286" s="10" t="s">
        <v>5225</v>
      </c>
      <c r="I286" s="48" t="s">
        <v>4634</v>
      </c>
      <c r="J286" s="10">
        <f t="shared" si="4"/>
        <v>0</v>
      </c>
      <c r="K286" s="9"/>
      <c r="S286" s="9"/>
      <c r="T286" s="9"/>
    </row>
    <row r="287" spans="1:20">
      <c r="A287" s="9" t="s">
        <v>4818</v>
      </c>
      <c r="B287" s="10" t="s">
        <v>4018</v>
      </c>
      <c r="C287" s="10" t="s">
        <v>5787</v>
      </c>
      <c r="D287" s="10"/>
      <c r="E287" s="69" t="s">
        <v>5227</v>
      </c>
      <c r="F287" s="10" t="s">
        <v>5225</v>
      </c>
      <c r="G287" s="10">
        <v>1</v>
      </c>
      <c r="H287" s="10" t="s">
        <v>5225</v>
      </c>
      <c r="I287" s="48"/>
      <c r="J287" s="10">
        <f t="shared" si="4"/>
        <v>0</v>
      </c>
      <c r="K287" s="9"/>
      <c r="S287" s="9"/>
      <c r="T287" s="9"/>
    </row>
    <row r="288" spans="1:20">
      <c r="A288" s="9" t="s">
        <v>4443</v>
      </c>
      <c r="B288" s="10" t="s">
        <v>4095</v>
      </c>
      <c r="C288" s="10" t="s">
        <v>5787</v>
      </c>
      <c r="D288" s="10"/>
      <c r="E288" s="10" t="s">
        <v>5227</v>
      </c>
      <c r="F288" s="10" t="s">
        <v>5227</v>
      </c>
      <c r="G288" s="10" t="s">
        <v>5225</v>
      </c>
      <c r="H288" s="10" t="s">
        <v>5225</v>
      </c>
      <c r="I288" s="48" t="s">
        <v>4301</v>
      </c>
      <c r="J288" s="10">
        <f t="shared" si="4"/>
        <v>0</v>
      </c>
      <c r="K288" s="9"/>
      <c r="S288" s="9"/>
      <c r="T288" s="9"/>
    </row>
    <row r="289" spans="1:20">
      <c r="A289" s="9" t="s">
        <v>5326</v>
      </c>
      <c r="B289" s="10" t="s">
        <v>4129</v>
      </c>
      <c r="C289" s="10" t="s">
        <v>5390</v>
      </c>
      <c r="D289" s="10">
        <v>0</v>
      </c>
      <c r="E289" s="10" t="s">
        <v>5227</v>
      </c>
      <c r="F289" s="10" t="s">
        <v>5225</v>
      </c>
      <c r="G289" s="10" t="s">
        <v>5225</v>
      </c>
      <c r="H289" s="10" t="s">
        <v>5227</v>
      </c>
      <c r="I289" s="48"/>
      <c r="J289" s="10">
        <f t="shared" si="4"/>
        <v>0</v>
      </c>
      <c r="K289" s="9"/>
      <c r="S289" s="9"/>
      <c r="T289" s="9"/>
    </row>
    <row r="290" spans="1:20">
      <c r="A290" s="9" t="s">
        <v>3960</v>
      </c>
      <c r="B290" s="10" t="s">
        <v>3961</v>
      </c>
      <c r="C290" s="10" t="s">
        <v>5786</v>
      </c>
      <c r="D290" s="10"/>
      <c r="E290" s="10" t="s">
        <v>5227</v>
      </c>
      <c r="F290" s="10" t="s">
        <v>5227</v>
      </c>
      <c r="G290" s="10" t="s">
        <v>5225</v>
      </c>
      <c r="H290" s="10" t="s">
        <v>5225</v>
      </c>
      <c r="I290" s="48"/>
      <c r="J290" s="10">
        <f t="shared" si="4"/>
        <v>0</v>
      </c>
      <c r="K290" s="9"/>
      <c r="S290" s="9"/>
      <c r="T290" s="9"/>
    </row>
    <row r="291" spans="1:20">
      <c r="A291" s="9" t="s">
        <v>3962</v>
      </c>
      <c r="B291" s="10" t="s">
        <v>4364</v>
      </c>
      <c r="C291" s="10" t="s">
        <v>5787</v>
      </c>
      <c r="D291" s="10">
        <v>2</v>
      </c>
      <c r="E291" s="10" t="s">
        <v>5225</v>
      </c>
      <c r="F291" s="10" t="s">
        <v>5225</v>
      </c>
      <c r="G291" s="10" t="s">
        <v>5225</v>
      </c>
      <c r="H291" s="10" t="s">
        <v>5225</v>
      </c>
      <c r="I291" s="48" t="s">
        <v>4365</v>
      </c>
      <c r="J291" s="10">
        <f t="shared" si="4"/>
        <v>0</v>
      </c>
      <c r="K291" s="9"/>
      <c r="S291" s="9"/>
      <c r="T291" s="9"/>
    </row>
    <row r="292" spans="1:20">
      <c r="A292" s="9" t="s">
        <v>3963</v>
      </c>
      <c r="B292" s="10" t="s">
        <v>3961</v>
      </c>
      <c r="C292" s="10" t="s">
        <v>5786</v>
      </c>
      <c r="D292" s="10">
        <v>5</v>
      </c>
      <c r="E292" s="10" t="s">
        <v>5227</v>
      </c>
      <c r="F292" s="10" t="s">
        <v>5225</v>
      </c>
      <c r="G292" s="10">
        <v>2</v>
      </c>
      <c r="H292" s="10" t="s">
        <v>5225</v>
      </c>
      <c r="I292" s="48"/>
      <c r="J292" s="10">
        <f t="shared" si="4"/>
        <v>0</v>
      </c>
      <c r="K292" s="9"/>
      <c r="S292" s="9"/>
      <c r="T292" s="9"/>
    </row>
    <row r="293" spans="1:20">
      <c r="A293" s="9" t="s">
        <v>4596</v>
      </c>
      <c r="B293" s="10" t="s">
        <v>3961</v>
      </c>
      <c r="C293" s="10" t="s">
        <v>5786</v>
      </c>
      <c r="D293" s="10"/>
      <c r="E293" s="10" t="s">
        <v>5227</v>
      </c>
      <c r="F293" s="10" t="s">
        <v>5225</v>
      </c>
      <c r="G293" s="10" t="s">
        <v>5225</v>
      </c>
      <c r="H293" s="10" t="s">
        <v>5227</v>
      </c>
      <c r="I293" s="48"/>
      <c r="J293" s="10">
        <f t="shared" si="4"/>
        <v>0</v>
      </c>
      <c r="K293" s="9"/>
      <c r="S293" s="9"/>
      <c r="T293" s="9"/>
    </row>
    <row r="294" spans="1:20">
      <c r="A294" s="9" t="s">
        <v>3964</v>
      </c>
      <c r="B294" s="10" t="s">
        <v>4012</v>
      </c>
      <c r="C294" s="10" t="s">
        <v>5787</v>
      </c>
      <c r="D294" s="10"/>
      <c r="E294" s="10" t="s">
        <v>5227</v>
      </c>
      <c r="F294" s="10" t="s">
        <v>5225</v>
      </c>
      <c r="G294" s="10">
        <v>2</v>
      </c>
      <c r="H294" s="10" t="s">
        <v>5225</v>
      </c>
      <c r="I294" s="48" t="s">
        <v>4501</v>
      </c>
      <c r="J294" s="10">
        <f t="shared" si="4"/>
        <v>0</v>
      </c>
      <c r="K294" s="9"/>
      <c r="S294" s="9"/>
      <c r="T294" s="9"/>
    </row>
    <row r="295" spans="1:20">
      <c r="A295" s="9" t="s">
        <v>3965</v>
      </c>
      <c r="B295" s="10" t="s">
        <v>4012</v>
      </c>
      <c r="C295" s="10" t="s">
        <v>5349</v>
      </c>
      <c r="D295" s="10"/>
      <c r="E295" s="10" t="s">
        <v>5227</v>
      </c>
      <c r="F295" s="10" t="s">
        <v>5225</v>
      </c>
      <c r="G295" s="10">
        <v>1</v>
      </c>
      <c r="H295" s="10" t="s">
        <v>5225</v>
      </c>
      <c r="I295" s="48" t="s">
        <v>4501</v>
      </c>
      <c r="J295" s="10" t="str">
        <f t="shared" si="4"/>
        <v>NA</v>
      </c>
      <c r="K295" s="9"/>
      <c r="S295" s="9"/>
      <c r="T295" s="9"/>
    </row>
    <row r="296" spans="1:20">
      <c r="A296" s="9" t="s">
        <v>4104</v>
      </c>
      <c r="B296" s="10" t="s">
        <v>4095</v>
      </c>
      <c r="C296" s="10" t="s">
        <v>5787</v>
      </c>
      <c r="D296" s="10"/>
      <c r="E296" s="10" t="s">
        <v>5227</v>
      </c>
      <c r="F296" s="10" t="s">
        <v>5225</v>
      </c>
      <c r="G296" s="10">
        <v>1</v>
      </c>
      <c r="H296" s="10"/>
      <c r="I296" s="48"/>
      <c r="J296" s="10">
        <f t="shared" si="4"/>
        <v>0</v>
      </c>
      <c r="K296" s="9"/>
      <c r="S296" s="9"/>
      <c r="T296" s="9"/>
    </row>
    <row r="297" spans="1:20">
      <c r="A297" s="9" t="s">
        <v>4407</v>
      </c>
      <c r="B297" s="10" t="s">
        <v>3961</v>
      </c>
      <c r="C297" s="10" t="s">
        <v>5787</v>
      </c>
      <c r="D297" s="10">
        <v>5</v>
      </c>
      <c r="E297" s="10" t="s">
        <v>5227</v>
      </c>
      <c r="F297" s="10" t="s">
        <v>5225</v>
      </c>
      <c r="G297" s="10">
        <v>1</v>
      </c>
      <c r="H297" s="10" t="s">
        <v>5225</v>
      </c>
      <c r="I297" s="48"/>
      <c r="J297" s="10">
        <f t="shared" si="4"/>
        <v>0</v>
      </c>
      <c r="K297" s="9"/>
      <c r="S297" s="9"/>
      <c r="T297" s="9"/>
    </row>
    <row r="298" spans="1:20">
      <c r="A298" s="9" t="s">
        <v>4105</v>
      </c>
      <c r="B298" s="10" t="s">
        <v>4018</v>
      </c>
      <c r="C298" s="10" t="s">
        <v>5787</v>
      </c>
      <c r="D298" s="10"/>
      <c r="E298" s="10" t="s">
        <v>5225</v>
      </c>
      <c r="F298" s="10" t="s">
        <v>5227</v>
      </c>
      <c r="G298" s="10" t="s">
        <v>5225</v>
      </c>
      <c r="H298" s="10" t="s">
        <v>5225</v>
      </c>
      <c r="I298" s="48"/>
      <c r="J298" s="10">
        <f t="shared" si="4"/>
        <v>0</v>
      </c>
      <c r="K298" s="9"/>
      <c r="S298" s="9"/>
      <c r="T298" s="9"/>
    </row>
    <row r="299" spans="1:20">
      <c r="A299" s="9" t="s">
        <v>4961</v>
      </c>
      <c r="B299" s="10" t="s">
        <v>3961</v>
      </c>
      <c r="C299" s="10" t="s">
        <v>5390</v>
      </c>
      <c r="D299" s="10">
        <v>0</v>
      </c>
      <c r="E299" s="10" t="s">
        <v>5227</v>
      </c>
      <c r="F299" s="10" t="s">
        <v>5225</v>
      </c>
      <c r="G299" s="10" t="s">
        <v>5225</v>
      </c>
      <c r="H299" s="10" t="s">
        <v>5227</v>
      </c>
      <c r="I299" s="48"/>
      <c r="J299" s="10">
        <f t="shared" si="4"/>
        <v>0</v>
      </c>
      <c r="K299" s="9"/>
      <c r="S299" s="9"/>
      <c r="T299" s="9"/>
    </row>
    <row r="300" spans="1:20">
      <c r="A300" s="49" t="s">
        <v>4106</v>
      </c>
      <c r="B300" s="10" t="s">
        <v>4107</v>
      </c>
      <c r="C300" s="10" t="s">
        <v>5786</v>
      </c>
      <c r="D300" s="10"/>
      <c r="E300" s="10" t="s">
        <v>5225</v>
      </c>
      <c r="F300" s="10" t="s">
        <v>5225</v>
      </c>
      <c r="G300" s="10" t="s">
        <v>5225</v>
      </c>
      <c r="H300" s="10" t="s">
        <v>5225</v>
      </c>
      <c r="I300" s="48" t="s">
        <v>4108</v>
      </c>
      <c r="J300" s="10">
        <f t="shared" si="4"/>
        <v>0</v>
      </c>
      <c r="K300" s="9"/>
      <c r="S300" s="9"/>
      <c r="T300" s="9"/>
    </row>
    <row r="301" spans="1:20">
      <c r="A301" s="9" t="s">
        <v>4959</v>
      </c>
      <c r="B301" s="10" t="s">
        <v>3961</v>
      </c>
      <c r="C301" s="10" t="s">
        <v>5390</v>
      </c>
      <c r="D301" s="10">
        <v>0</v>
      </c>
      <c r="E301" s="10" t="s">
        <v>5225</v>
      </c>
      <c r="F301" s="10" t="s">
        <v>5225</v>
      </c>
      <c r="G301" s="10">
        <v>1</v>
      </c>
      <c r="H301" s="10" t="s">
        <v>5227</v>
      </c>
      <c r="I301" s="48"/>
      <c r="J301" s="10">
        <f t="shared" si="4"/>
        <v>0</v>
      </c>
      <c r="K301" s="9"/>
      <c r="S301" s="9"/>
      <c r="T301" s="9"/>
    </row>
    <row r="302" spans="1:20">
      <c r="A302" s="9" t="s">
        <v>4436</v>
      </c>
      <c r="B302" s="10" t="s">
        <v>4095</v>
      </c>
      <c r="C302" s="10" t="s">
        <v>5786</v>
      </c>
      <c r="D302" s="10"/>
      <c r="E302" s="10" t="s">
        <v>5227</v>
      </c>
      <c r="F302" s="10" t="s">
        <v>5225</v>
      </c>
      <c r="G302" s="10">
        <v>1</v>
      </c>
      <c r="H302" s="10" t="s">
        <v>5225</v>
      </c>
      <c r="I302" s="48" t="s">
        <v>5032</v>
      </c>
      <c r="J302" s="10">
        <f t="shared" si="4"/>
        <v>0</v>
      </c>
      <c r="K302" s="9"/>
      <c r="S302" s="9"/>
      <c r="T302" s="9"/>
    </row>
    <row r="303" spans="1:20">
      <c r="A303" s="9" t="s">
        <v>4109</v>
      </c>
      <c r="B303" s="10" t="s">
        <v>4095</v>
      </c>
      <c r="C303" s="10" t="s">
        <v>5787</v>
      </c>
      <c r="D303" s="10"/>
      <c r="E303" s="10" t="s">
        <v>5227</v>
      </c>
      <c r="F303" s="10" t="s">
        <v>5225</v>
      </c>
      <c r="G303" s="10">
        <v>1</v>
      </c>
      <c r="H303" s="10" t="s">
        <v>5225</v>
      </c>
      <c r="I303" s="48" t="s">
        <v>5032</v>
      </c>
      <c r="J303" s="10">
        <f t="shared" si="4"/>
        <v>0</v>
      </c>
      <c r="K303" s="9"/>
      <c r="S303" s="9"/>
      <c r="T303" s="9"/>
    </row>
    <row r="304" spans="1:20">
      <c r="A304" s="9" t="s">
        <v>4110</v>
      </c>
      <c r="B304" s="10" t="s">
        <v>4430</v>
      </c>
      <c r="C304" s="10" t="s">
        <v>5349</v>
      </c>
      <c r="D304" s="10"/>
      <c r="E304" s="10" t="s">
        <v>5225</v>
      </c>
      <c r="F304" s="10" t="s">
        <v>5225</v>
      </c>
      <c r="G304" s="10" t="s">
        <v>5225</v>
      </c>
      <c r="H304" s="10" t="s">
        <v>5225</v>
      </c>
      <c r="I304" s="48" t="s">
        <v>5492</v>
      </c>
      <c r="J304" s="10" t="str">
        <f t="shared" si="4"/>
        <v>NA</v>
      </c>
      <c r="K304" s="9"/>
      <c r="S304" s="9"/>
      <c r="T304" s="9"/>
    </row>
    <row r="305" spans="1:20">
      <c r="A305" s="9" t="s">
        <v>4474</v>
      </c>
      <c r="B305" s="10" t="s">
        <v>3961</v>
      </c>
      <c r="C305" s="10" t="s">
        <v>4111</v>
      </c>
      <c r="D305" s="10"/>
      <c r="E305" s="10" t="s">
        <v>5225</v>
      </c>
      <c r="F305" s="10" t="s">
        <v>5225</v>
      </c>
      <c r="G305" s="10">
        <v>1</v>
      </c>
      <c r="H305" s="10" t="s">
        <v>5225</v>
      </c>
      <c r="I305" s="48"/>
      <c r="J305" s="10">
        <f t="shared" si="4"/>
        <v>0</v>
      </c>
      <c r="K305" s="9"/>
      <c r="S305" s="9"/>
      <c r="T305" s="9"/>
    </row>
    <row r="306" spans="1:20">
      <c r="A306" s="9" t="s">
        <v>4112</v>
      </c>
      <c r="B306" s="10" t="s">
        <v>261</v>
      </c>
      <c r="C306" s="10" t="s">
        <v>5349</v>
      </c>
      <c r="D306" s="10"/>
      <c r="E306" s="10" t="s">
        <v>5225</v>
      </c>
      <c r="F306" s="10" t="s">
        <v>5225</v>
      </c>
      <c r="G306" s="10" t="s">
        <v>182</v>
      </c>
      <c r="H306" s="10" t="s">
        <v>5225</v>
      </c>
      <c r="I306" s="48"/>
      <c r="J306" s="10" t="str">
        <f t="shared" si="4"/>
        <v>NA</v>
      </c>
      <c r="K306" s="9"/>
      <c r="S306" s="9"/>
      <c r="T306" s="9"/>
    </row>
    <row r="307" spans="1:20">
      <c r="A307" s="9" t="s">
        <v>4277</v>
      </c>
      <c r="B307" s="10" t="s">
        <v>4018</v>
      </c>
      <c r="C307" s="10" t="s">
        <v>5787</v>
      </c>
      <c r="D307" s="10"/>
      <c r="E307" s="10" t="s">
        <v>5227</v>
      </c>
      <c r="F307" s="10" t="s">
        <v>5227</v>
      </c>
      <c r="G307" s="10" t="s">
        <v>5225</v>
      </c>
      <c r="H307" s="10" t="s">
        <v>5225</v>
      </c>
      <c r="I307" s="48"/>
      <c r="J307" s="10">
        <f t="shared" si="4"/>
        <v>0</v>
      </c>
      <c r="K307" s="9"/>
      <c r="S307" s="9"/>
      <c r="T307" s="9"/>
    </row>
    <row r="308" spans="1:20">
      <c r="A308" s="9" t="s">
        <v>4278</v>
      </c>
      <c r="B308" s="10" t="s">
        <v>4279</v>
      </c>
      <c r="C308" s="10" t="s">
        <v>5390</v>
      </c>
      <c r="D308" s="10">
        <v>0</v>
      </c>
      <c r="E308" s="10" t="s">
        <v>5227</v>
      </c>
      <c r="F308" s="10" t="s">
        <v>5227</v>
      </c>
      <c r="G308" s="10" t="s">
        <v>4743</v>
      </c>
      <c r="H308" s="10" t="s">
        <v>5225</v>
      </c>
      <c r="I308" s="48"/>
      <c r="J308" s="10">
        <f t="shared" si="4"/>
        <v>0</v>
      </c>
      <c r="K308" s="9"/>
      <c r="S308" s="9"/>
      <c r="T308" s="9"/>
    </row>
    <row r="309" spans="1:20">
      <c r="A309" s="9" t="s">
        <v>4280</v>
      </c>
      <c r="B309" s="10" t="s">
        <v>4279</v>
      </c>
      <c r="C309" s="10" t="s">
        <v>5390</v>
      </c>
      <c r="D309" s="10">
        <v>0</v>
      </c>
      <c r="E309" s="10" t="s">
        <v>5227</v>
      </c>
      <c r="F309" s="10" t="s">
        <v>5227</v>
      </c>
      <c r="G309" s="10" t="s">
        <v>4743</v>
      </c>
      <c r="H309" s="10" t="s">
        <v>5225</v>
      </c>
      <c r="I309" s="48"/>
      <c r="J309" s="10">
        <f t="shared" si="4"/>
        <v>0</v>
      </c>
      <c r="K309" s="9"/>
      <c r="S309" s="9"/>
      <c r="T309" s="9"/>
    </row>
    <row r="310" spans="1:20">
      <c r="A310" s="9" t="s">
        <v>4281</v>
      </c>
      <c r="B310" s="10" t="s">
        <v>4279</v>
      </c>
      <c r="C310" s="10" t="s">
        <v>5390</v>
      </c>
      <c r="D310" s="10">
        <v>0</v>
      </c>
      <c r="E310" s="10" t="s">
        <v>5227</v>
      </c>
      <c r="F310" s="10" t="s">
        <v>5227</v>
      </c>
      <c r="G310" s="10" t="s">
        <v>4743</v>
      </c>
      <c r="H310" s="10" t="s">
        <v>5225</v>
      </c>
      <c r="I310" s="48"/>
      <c r="J310" s="10">
        <f t="shared" si="4"/>
        <v>0</v>
      </c>
      <c r="K310" s="9"/>
      <c r="S310" s="9"/>
      <c r="T310" s="9"/>
    </row>
    <row r="311" spans="1:20">
      <c r="A311" s="9" t="s">
        <v>4005</v>
      </c>
      <c r="B311" s="10" t="s">
        <v>4279</v>
      </c>
      <c r="C311" s="10" t="s">
        <v>5786</v>
      </c>
      <c r="D311" s="10"/>
      <c r="E311" s="10" t="s">
        <v>5227</v>
      </c>
      <c r="F311" s="10" t="s">
        <v>5225</v>
      </c>
      <c r="G311" s="10" t="s">
        <v>5225</v>
      </c>
      <c r="H311" s="10" t="s">
        <v>5225</v>
      </c>
      <c r="I311" s="48"/>
      <c r="J311" s="10">
        <f t="shared" si="4"/>
        <v>0</v>
      </c>
      <c r="K311" s="9"/>
      <c r="S311" s="9"/>
      <c r="T311" s="9"/>
    </row>
    <row r="312" spans="1:20">
      <c r="A312" s="9" t="s">
        <v>4006</v>
      </c>
      <c r="B312" s="10" t="s">
        <v>4279</v>
      </c>
      <c r="C312" s="10" t="s">
        <v>5786</v>
      </c>
      <c r="D312" s="10"/>
      <c r="E312" s="10" t="s">
        <v>5225</v>
      </c>
      <c r="F312" s="10" t="s">
        <v>5225</v>
      </c>
      <c r="G312" s="10">
        <v>1</v>
      </c>
      <c r="H312" s="10" t="s">
        <v>5225</v>
      </c>
      <c r="I312" s="48"/>
      <c r="J312" s="10">
        <f t="shared" si="4"/>
        <v>0</v>
      </c>
      <c r="K312" s="9"/>
      <c r="S312" s="9"/>
      <c r="T312" s="9"/>
    </row>
    <row r="313" spans="1:20">
      <c r="A313" s="9" t="s">
        <v>4793</v>
      </c>
      <c r="B313" s="10" t="s">
        <v>3961</v>
      </c>
      <c r="C313" s="10" t="s">
        <v>5786</v>
      </c>
      <c r="D313" s="10"/>
      <c r="E313" s="10" t="s">
        <v>5227</v>
      </c>
      <c r="F313" s="10" t="s">
        <v>5225</v>
      </c>
      <c r="G313" s="10">
        <v>1</v>
      </c>
      <c r="H313" s="10" t="s">
        <v>5225</v>
      </c>
      <c r="I313" s="48"/>
      <c r="J313" s="10">
        <f t="shared" si="4"/>
        <v>0</v>
      </c>
      <c r="K313" s="9"/>
      <c r="S313" s="9"/>
      <c r="T313" s="9"/>
    </row>
    <row r="314" spans="1:20">
      <c r="A314" s="9" t="s">
        <v>13</v>
      </c>
      <c r="B314" s="10" t="s">
        <v>217</v>
      </c>
      <c r="C314" s="10" t="s">
        <v>186</v>
      </c>
      <c r="D314" s="10"/>
      <c r="E314" s="10" t="s">
        <v>183</v>
      </c>
      <c r="F314" s="10" t="s">
        <v>182</v>
      </c>
      <c r="G314" s="10">
        <v>2</v>
      </c>
      <c r="H314" s="10" t="s">
        <v>182</v>
      </c>
      <c r="I314" s="48"/>
      <c r="J314" s="10">
        <f t="shared" si="4"/>
        <v>0</v>
      </c>
      <c r="K314" s="9"/>
      <c r="S314" s="9"/>
      <c r="T314" s="9"/>
    </row>
    <row r="315" spans="1:20">
      <c r="A315" s="9" t="s">
        <v>4154</v>
      </c>
      <c r="B315" s="10" t="s">
        <v>4874</v>
      </c>
      <c r="C315" s="10" t="s">
        <v>5786</v>
      </c>
      <c r="D315" s="10"/>
      <c r="E315" s="10" t="s">
        <v>5227</v>
      </c>
      <c r="F315" s="10" t="s">
        <v>5225</v>
      </c>
      <c r="G315" s="10" t="s">
        <v>4155</v>
      </c>
      <c r="H315" s="10" t="s">
        <v>5225</v>
      </c>
      <c r="I315" s="48"/>
      <c r="J315" s="10">
        <f t="shared" si="4"/>
        <v>0</v>
      </c>
      <c r="K315" s="9"/>
      <c r="S315" s="9"/>
      <c r="T315" s="9"/>
    </row>
    <row r="316" spans="1:20">
      <c r="A316" s="9" t="s">
        <v>4329</v>
      </c>
      <c r="B316" s="10" t="s">
        <v>4</v>
      </c>
      <c r="C316" s="10" t="s">
        <v>5786</v>
      </c>
      <c r="D316" s="10"/>
      <c r="E316" s="10" t="s">
        <v>5227</v>
      </c>
      <c r="F316" s="10" t="s">
        <v>5225</v>
      </c>
      <c r="G316" s="10" t="s">
        <v>5225</v>
      </c>
      <c r="H316" s="10" t="s">
        <v>5227</v>
      </c>
      <c r="I316" s="48"/>
      <c r="J316" s="10">
        <f t="shared" si="4"/>
        <v>0</v>
      </c>
      <c r="K316" s="9"/>
      <c r="S316" s="9"/>
      <c r="T316" s="9"/>
    </row>
    <row r="317" spans="1:20">
      <c r="A317" s="9" t="s">
        <v>4156</v>
      </c>
      <c r="B317" s="10" t="s">
        <v>4007</v>
      </c>
      <c r="C317" s="10" t="s">
        <v>5787</v>
      </c>
      <c r="D317" s="10"/>
      <c r="E317" s="10" t="s">
        <v>5225</v>
      </c>
      <c r="F317" s="10" t="s">
        <v>5227</v>
      </c>
      <c r="G317" s="10" t="s">
        <v>5225</v>
      </c>
      <c r="H317" s="10" t="s">
        <v>5225</v>
      </c>
      <c r="I317" s="48"/>
      <c r="J317" s="10">
        <f t="shared" si="4"/>
        <v>0</v>
      </c>
      <c r="K317" s="9"/>
      <c r="S317" s="9"/>
      <c r="T317" s="9"/>
    </row>
    <row r="318" spans="1:20">
      <c r="A318" s="9" t="s">
        <v>4461</v>
      </c>
      <c r="B318" s="10" t="s">
        <v>4008</v>
      </c>
      <c r="C318" s="10" t="s">
        <v>5786</v>
      </c>
      <c r="D318" s="10"/>
      <c r="E318" s="10" t="s">
        <v>5227</v>
      </c>
      <c r="F318" s="10" t="s">
        <v>5227</v>
      </c>
      <c r="G318" s="10" t="s">
        <v>5225</v>
      </c>
      <c r="H318" s="10" t="s">
        <v>5225</v>
      </c>
      <c r="I318" s="48"/>
      <c r="J318" s="10">
        <f t="shared" si="4"/>
        <v>0</v>
      </c>
      <c r="K318" s="9"/>
      <c r="S318" s="9"/>
      <c r="T318" s="9"/>
    </row>
    <row r="319" spans="1:20">
      <c r="A319" s="9" t="s">
        <v>3870</v>
      </c>
      <c r="B319" s="10" t="s">
        <v>3871</v>
      </c>
      <c r="C319" s="10" t="s">
        <v>5787</v>
      </c>
      <c r="D319" s="10">
        <v>0</v>
      </c>
      <c r="E319" s="10" t="s">
        <v>5225</v>
      </c>
      <c r="F319" s="10" t="s">
        <v>5225</v>
      </c>
      <c r="G319" s="10" t="s">
        <v>4743</v>
      </c>
      <c r="H319" s="10" t="s">
        <v>5225</v>
      </c>
      <c r="I319" s="48"/>
      <c r="J319" s="10">
        <f t="shared" si="4"/>
        <v>0</v>
      </c>
      <c r="K319" s="9"/>
      <c r="S319" s="9"/>
      <c r="T319" s="9"/>
    </row>
    <row r="320" spans="1:20">
      <c r="A320" s="9" t="s">
        <v>4331</v>
      </c>
      <c r="B320" s="10" t="s">
        <v>14</v>
      </c>
      <c r="C320" s="10" t="s">
        <v>5390</v>
      </c>
      <c r="D320" s="10"/>
      <c r="E320" s="10" t="s">
        <v>5225</v>
      </c>
      <c r="F320" s="10" t="s">
        <v>5225</v>
      </c>
      <c r="G320" s="10">
        <v>1</v>
      </c>
      <c r="H320" s="10" t="s">
        <v>5227</v>
      </c>
      <c r="I320" s="48"/>
      <c r="J320" s="10">
        <f t="shared" si="4"/>
        <v>0</v>
      </c>
      <c r="K320" s="9"/>
      <c r="S320" s="9"/>
      <c r="T320" s="9"/>
    </row>
    <row r="321" spans="1:20">
      <c r="A321" s="9" t="s">
        <v>3872</v>
      </c>
      <c r="B321" s="10" t="s">
        <v>4095</v>
      </c>
      <c r="C321" s="10" t="s">
        <v>5786</v>
      </c>
      <c r="D321" s="10"/>
      <c r="E321" s="10" t="s">
        <v>5227</v>
      </c>
      <c r="F321" s="10" t="s">
        <v>5227</v>
      </c>
      <c r="G321" s="10">
        <v>1</v>
      </c>
      <c r="H321" s="10" t="s">
        <v>5225</v>
      </c>
      <c r="I321" s="48" t="s">
        <v>4634</v>
      </c>
      <c r="J321" s="10">
        <f t="shared" si="4"/>
        <v>0</v>
      </c>
      <c r="K321" s="9"/>
      <c r="S321" s="9"/>
      <c r="T321" s="9"/>
    </row>
    <row r="322" spans="1:20">
      <c r="A322" s="9" t="s">
        <v>4791</v>
      </c>
      <c r="B322" s="10" t="s">
        <v>4095</v>
      </c>
      <c r="C322" s="10" t="s">
        <v>5787</v>
      </c>
      <c r="D322" s="10"/>
      <c r="E322" s="10" t="s">
        <v>5227</v>
      </c>
      <c r="F322" s="10" t="s">
        <v>5225</v>
      </c>
      <c r="G322" s="10">
        <v>2</v>
      </c>
      <c r="H322" s="10" t="s">
        <v>5225</v>
      </c>
      <c r="I322" s="48"/>
      <c r="J322" s="10">
        <f t="shared" si="4"/>
        <v>0</v>
      </c>
      <c r="K322" s="9"/>
      <c r="S322" s="9"/>
      <c r="T322" s="9"/>
    </row>
    <row r="323" spans="1:20">
      <c r="A323" s="9" t="s">
        <v>15</v>
      </c>
      <c r="B323" s="10" t="s">
        <v>16</v>
      </c>
      <c r="C323" s="10" t="s">
        <v>252</v>
      </c>
      <c r="D323" s="10"/>
      <c r="E323" s="10" t="s">
        <v>182</v>
      </c>
      <c r="F323" s="10" t="s">
        <v>183</v>
      </c>
      <c r="G323" s="10">
        <v>2</v>
      </c>
      <c r="H323" s="10" t="s">
        <v>182</v>
      </c>
      <c r="I323" s="48"/>
      <c r="J323" s="10">
        <f t="shared" si="4"/>
        <v>0</v>
      </c>
      <c r="K323" s="9"/>
      <c r="S323" s="9"/>
      <c r="T323" s="9"/>
    </row>
    <row r="324" spans="1:20">
      <c r="A324" s="9" t="s">
        <v>17</v>
      </c>
      <c r="B324" s="10" t="s">
        <v>18</v>
      </c>
      <c r="C324" s="10" t="s">
        <v>186</v>
      </c>
      <c r="D324" s="10"/>
      <c r="E324" s="10" t="s">
        <v>183</v>
      </c>
      <c r="F324" s="10" t="s">
        <v>182</v>
      </c>
      <c r="G324" s="10" t="s">
        <v>182</v>
      </c>
      <c r="H324" s="10" t="s">
        <v>182</v>
      </c>
      <c r="I324" s="48"/>
      <c r="J324" s="10">
        <f t="shared" ref="J324:J387" si="5">IF(C324="Rank","NA",0)</f>
        <v>0</v>
      </c>
      <c r="K324" s="9"/>
      <c r="S324" s="9"/>
      <c r="T324" s="9"/>
    </row>
    <row r="325" spans="1:20">
      <c r="A325" s="9" t="s">
        <v>4333</v>
      </c>
      <c r="B325" s="10" t="s">
        <v>218</v>
      </c>
      <c r="C325" s="10" t="s">
        <v>5788</v>
      </c>
      <c r="D325" s="10"/>
      <c r="E325" s="10" t="s">
        <v>5227</v>
      </c>
      <c r="F325" s="10" t="s">
        <v>5225</v>
      </c>
      <c r="G325" s="10" t="s">
        <v>5225</v>
      </c>
      <c r="H325" s="10" t="s">
        <v>5227</v>
      </c>
      <c r="I325" s="48"/>
      <c r="J325" s="10">
        <f t="shared" si="5"/>
        <v>0</v>
      </c>
      <c r="K325" s="9"/>
      <c r="S325" s="9"/>
      <c r="T325" s="9"/>
    </row>
    <row r="326" spans="1:20">
      <c r="A326" s="9" t="s">
        <v>3873</v>
      </c>
      <c r="B326" s="10" t="s">
        <v>3874</v>
      </c>
      <c r="C326" s="10" t="s">
        <v>5390</v>
      </c>
      <c r="D326" s="10">
        <v>0</v>
      </c>
      <c r="E326" s="10" t="s">
        <v>5227</v>
      </c>
      <c r="F326" s="10" t="s">
        <v>5227</v>
      </c>
      <c r="G326" s="10">
        <v>1</v>
      </c>
      <c r="H326" s="10" t="s">
        <v>5225</v>
      </c>
      <c r="I326" s="48" t="s">
        <v>4301</v>
      </c>
      <c r="J326" s="10">
        <f t="shared" si="5"/>
        <v>0</v>
      </c>
      <c r="K326" s="9"/>
      <c r="S326" s="9"/>
      <c r="T326" s="9"/>
    </row>
    <row r="327" spans="1:20">
      <c r="A327" s="9" t="s">
        <v>4481</v>
      </c>
      <c r="B327" s="10" t="s">
        <v>4008</v>
      </c>
      <c r="C327" s="10" t="s">
        <v>5390</v>
      </c>
      <c r="D327" s="10"/>
      <c r="E327" s="10" t="s">
        <v>5227</v>
      </c>
      <c r="F327" s="10" t="s">
        <v>5225</v>
      </c>
      <c r="G327" s="10" t="s">
        <v>5225</v>
      </c>
      <c r="H327" s="10" t="s">
        <v>5227</v>
      </c>
      <c r="I327" s="48"/>
      <c r="J327" s="10">
        <f t="shared" si="5"/>
        <v>0</v>
      </c>
      <c r="K327" s="9"/>
      <c r="S327" s="9"/>
      <c r="T327" s="9"/>
    </row>
    <row r="328" spans="1:20">
      <c r="A328" s="9" t="s">
        <v>4495</v>
      </c>
      <c r="B328" s="10" t="s">
        <v>3875</v>
      </c>
      <c r="C328" s="10" t="s">
        <v>5787</v>
      </c>
      <c r="D328" s="10"/>
      <c r="E328" s="10" t="s">
        <v>5227</v>
      </c>
      <c r="F328" s="10" t="s">
        <v>5225</v>
      </c>
      <c r="G328" s="10" t="s">
        <v>5225</v>
      </c>
      <c r="H328" s="10" t="s">
        <v>5227</v>
      </c>
      <c r="I328" s="48" t="s">
        <v>4625</v>
      </c>
      <c r="J328" s="10">
        <f t="shared" si="5"/>
        <v>0</v>
      </c>
      <c r="K328" s="9"/>
      <c r="S328" s="9"/>
      <c r="T328" s="9"/>
    </row>
    <row r="329" spans="1:20">
      <c r="A329" s="9" t="s">
        <v>4900</v>
      </c>
      <c r="B329" s="10" t="s">
        <v>4007</v>
      </c>
      <c r="C329" s="10" t="s">
        <v>5390</v>
      </c>
      <c r="D329" s="10">
        <v>0</v>
      </c>
      <c r="E329" s="10" t="s">
        <v>5227</v>
      </c>
      <c r="F329" s="10" t="s">
        <v>5225</v>
      </c>
      <c r="G329" s="10" t="s">
        <v>5225</v>
      </c>
      <c r="H329" s="10" t="s">
        <v>5227</v>
      </c>
      <c r="I329" s="48"/>
      <c r="J329" s="10">
        <f t="shared" si="5"/>
        <v>0</v>
      </c>
      <c r="K329" s="9"/>
      <c r="S329" s="9"/>
      <c r="T329" s="9"/>
    </row>
    <row r="330" spans="1:20">
      <c r="A330" s="9" t="s">
        <v>3876</v>
      </c>
      <c r="B330" s="10" t="s">
        <v>3877</v>
      </c>
      <c r="C330" s="10" t="s">
        <v>5788</v>
      </c>
      <c r="D330" s="10">
        <v>10</v>
      </c>
      <c r="E330" s="10" t="s">
        <v>5227</v>
      </c>
      <c r="F330" s="10" t="s">
        <v>5225</v>
      </c>
      <c r="G330" s="10">
        <v>1</v>
      </c>
      <c r="H330" s="10" t="s">
        <v>5225</v>
      </c>
      <c r="I330" s="48"/>
      <c r="J330" s="10">
        <f t="shared" si="5"/>
        <v>0</v>
      </c>
      <c r="K330" s="9"/>
      <c r="S330" s="9"/>
      <c r="T330" s="9"/>
    </row>
    <row r="331" spans="1:20">
      <c r="A331" s="9" t="s">
        <v>5058</v>
      </c>
      <c r="B331" s="10" t="s">
        <v>4008</v>
      </c>
      <c r="C331" s="10" t="s">
        <v>5597</v>
      </c>
      <c r="D331" s="10"/>
      <c r="E331" s="10" t="s">
        <v>5225</v>
      </c>
      <c r="F331" s="10" t="s">
        <v>5225</v>
      </c>
      <c r="G331" s="10" t="s">
        <v>5225</v>
      </c>
      <c r="H331" s="10" t="s">
        <v>5225</v>
      </c>
      <c r="I331" s="48"/>
      <c r="J331" s="10">
        <f t="shared" si="5"/>
        <v>0</v>
      </c>
      <c r="K331" s="9"/>
      <c r="S331" s="9"/>
      <c r="T331" s="9"/>
    </row>
    <row r="332" spans="1:20">
      <c r="A332" s="9" t="s">
        <v>3878</v>
      </c>
      <c r="B332" s="10" t="s">
        <v>4012</v>
      </c>
      <c r="C332" s="10" t="s">
        <v>5787</v>
      </c>
      <c r="D332" s="10"/>
      <c r="E332" s="10" t="s">
        <v>5227</v>
      </c>
      <c r="F332" s="10" t="s">
        <v>5225</v>
      </c>
      <c r="G332" s="10">
        <v>1</v>
      </c>
      <c r="H332" s="10" t="s">
        <v>5225</v>
      </c>
      <c r="I332" s="48" t="s">
        <v>4501</v>
      </c>
      <c r="J332" s="10">
        <f t="shared" si="5"/>
        <v>0</v>
      </c>
      <c r="K332" s="9"/>
      <c r="S332" s="9"/>
      <c r="T332" s="9"/>
    </row>
    <row r="333" spans="1:20">
      <c r="A333" s="9" t="s">
        <v>3879</v>
      </c>
      <c r="B333" s="10" t="s">
        <v>3880</v>
      </c>
      <c r="C333" s="10" t="s">
        <v>5787</v>
      </c>
      <c r="D333" s="10"/>
      <c r="E333" s="10" t="s">
        <v>5225</v>
      </c>
      <c r="F333" s="10" t="s">
        <v>5225</v>
      </c>
      <c r="G333" s="10">
        <v>2</v>
      </c>
      <c r="H333" s="10" t="s">
        <v>5225</v>
      </c>
      <c r="I333" s="48" t="s">
        <v>3881</v>
      </c>
      <c r="J333" s="10">
        <f t="shared" si="5"/>
        <v>0</v>
      </c>
      <c r="S333" s="9"/>
      <c r="T333" s="9"/>
    </row>
    <row r="334" spans="1:20">
      <c r="A334" s="9" t="s">
        <v>19</v>
      </c>
      <c r="B334" s="10" t="s">
        <v>16</v>
      </c>
      <c r="C334" s="10" t="s">
        <v>29</v>
      </c>
      <c r="D334" s="10"/>
      <c r="E334" s="10" t="s">
        <v>182</v>
      </c>
      <c r="F334" s="10" t="s">
        <v>183</v>
      </c>
      <c r="G334" s="10">
        <v>2</v>
      </c>
      <c r="H334" s="10" t="s">
        <v>182</v>
      </c>
      <c r="I334" s="48"/>
      <c r="J334" s="10">
        <f t="shared" si="5"/>
        <v>0</v>
      </c>
      <c r="S334" s="9"/>
      <c r="T334" s="9"/>
    </row>
    <row r="335" spans="1:20">
      <c r="A335" s="9" t="s">
        <v>3882</v>
      </c>
      <c r="B335" s="10" t="s">
        <v>3883</v>
      </c>
      <c r="C335" s="10" t="s">
        <v>5786</v>
      </c>
      <c r="D335" s="10"/>
      <c r="E335" s="10" t="s">
        <v>5227</v>
      </c>
      <c r="F335" s="10" t="s">
        <v>5227</v>
      </c>
      <c r="G335" s="10" t="s">
        <v>5225</v>
      </c>
      <c r="H335" s="10" t="s">
        <v>5225</v>
      </c>
      <c r="I335" s="48" t="s">
        <v>4501</v>
      </c>
      <c r="J335" s="10">
        <f t="shared" si="5"/>
        <v>0</v>
      </c>
      <c r="S335" s="9"/>
      <c r="T335" s="9"/>
    </row>
    <row r="336" spans="1:20">
      <c r="A336" s="9" t="s">
        <v>4045</v>
      </c>
      <c r="B336" s="10" t="s">
        <v>4364</v>
      </c>
      <c r="C336" s="10" t="s">
        <v>5787</v>
      </c>
      <c r="D336" s="10">
        <v>2</v>
      </c>
      <c r="E336" s="10" t="s">
        <v>5227</v>
      </c>
      <c r="F336" s="10" t="s">
        <v>5225</v>
      </c>
      <c r="G336" s="10">
        <v>2</v>
      </c>
      <c r="H336" s="10" t="s">
        <v>5225</v>
      </c>
      <c r="I336" s="48" t="s">
        <v>4365</v>
      </c>
      <c r="J336" s="10">
        <f t="shared" si="5"/>
        <v>0</v>
      </c>
      <c r="S336" s="9"/>
      <c r="T336" s="9"/>
    </row>
    <row r="337" spans="1:20">
      <c r="A337" s="9" t="s">
        <v>4046</v>
      </c>
      <c r="B337" s="10" t="s">
        <v>4364</v>
      </c>
      <c r="C337" s="10" t="s">
        <v>5787</v>
      </c>
      <c r="D337" s="10">
        <v>2</v>
      </c>
      <c r="E337" s="10" t="s">
        <v>5227</v>
      </c>
      <c r="F337" s="10" t="s">
        <v>5225</v>
      </c>
      <c r="G337" s="10" t="s">
        <v>4743</v>
      </c>
      <c r="H337" s="10" t="s">
        <v>5225</v>
      </c>
      <c r="I337" s="48" t="s">
        <v>4365</v>
      </c>
      <c r="J337" s="10">
        <f t="shared" si="5"/>
        <v>0</v>
      </c>
      <c r="S337" s="9"/>
      <c r="T337" s="9"/>
    </row>
    <row r="338" spans="1:20">
      <c r="A338" s="9" t="s">
        <v>4047</v>
      </c>
      <c r="B338" s="10" t="s">
        <v>3871</v>
      </c>
      <c r="C338" s="10" t="s">
        <v>5786</v>
      </c>
      <c r="D338" s="10"/>
      <c r="E338" s="10" t="s">
        <v>5225</v>
      </c>
      <c r="F338" s="10" t="s">
        <v>5225</v>
      </c>
      <c r="G338" s="10">
        <v>1</v>
      </c>
      <c r="H338" s="10" t="s">
        <v>5225</v>
      </c>
      <c r="I338" s="48"/>
      <c r="J338" s="10">
        <f t="shared" si="5"/>
        <v>0</v>
      </c>
      <c r="S338" s="9"/>
      <c r="T338" s="9"/>
    </row>
    <row r="339" spans="1:20">
      <c r="A339" s="9" t="s">
        <v>4049</v>
      </c>
      <c r="B339" s="10" t="s">
        <v>4271</v>
      </c>
      <c r="C339" s="10" t="s">
        <v>5787</v>
      </c>
      <c r="D339" s="10"/>
      <c r="E339" s="10" t="s">
        <v>183</v>
      </c>
      <c r="F339" s="10" t="s">
        <v>5225</v>
      </c>
      <c r="G339" s="10">
        <v>3</v>
      </c>
      <c r="H339" s="10" t="s">
        <v>5225</v>
      </c>
      <c r="I339" s="48"/>
      <c r="J339" s="10">
        <f t="shared" si="5"/>
        <v>0</v>
      </c>
      <c r="S339" s="9"/>
      <c r="T339" s="9"/>
    </row>
    <row r="340" spans="1:20">
      <c r="A340" s="9" t="s">
        <v>4048</v>
      </c>
      <c r="B340" s="10" t="s">
        <v>4271</v>
      </c>
      <c r="C340" s="10" t="s">
        <v>5787</v>
      </c>
      <c r="D340" s="10"/>
      <c r="E340" s="10" t="s">
        <v>183</v>
      </c>
      <c r="F340" s="10" t="s">
        <v>5225</v>
      </c>
      <c r="G340" s="10">
        <v>1</v>
      </c>
      <c r="H340" s="10" t="s">
        <v>5225</v>
      </c>
      <c r="I340" s="48"/>
      <c r="J340" s="10">
        <f t="shared" si="5"/>
        <v>0</v>
      </c>
      <c r="S340" s="9"/>
      <c r="T340" s="9"/>
    </row>
    <row r="341" spans="1:20">
      <c r="A341" s="9" t="s">
        <v>3717</v>
      </c>
      <c r="B341" s="10" t="s">
        <v>3874</v>
      </c>
      <c r="C341" s="10" t="s">
        <v>5787</v>
      </c>
      <c r="D341" s="10"/>
      <c r="E341" s="10" t="s">
        <v>5227</v>
      </c>
      <c r="F341" s="10" t="s">
        <v>5227</v>
      </c>
      <c r="G341" s="10">
        <v>1</v>
      </c>
      <c r="H341" s="10" t="s">
        <v>5225</v>
      </c>
      <c r="I341" s="48" t="s">
        <v>4662</v>
      </c>
      <c r="J341" s="10">
        <f t="shared" si="5"/>
        <v>0</v>
      </c>
      <c r="S341" s="9"/>
      <c r="T341" s="9"/>
    </row>
    <row r="342" spans="1:20">
      <c r="A342" s="9" t="s">
        <v>3718</v>
      </c>
      <c r="B342" s="10" t="s">
        <v>3719</v>
      </c>
      <c r="C342" s="10" t="s">
        <v>5787</v>
      </c>
      <c r="D342" s="10"/>
      <c r="E342" s="10" t="s">
        <v>5227</v>
      </c>
      <c r="F342" s="10" t="s">
        <v>5225</v>
      </c>
      <c r="G342" s="10">
        <v>15</v>
      </c>
      <c r="H342" s="10" t="s">
        <v>5225</v>
      </c>
      <c r="I342" s="48" t="s">
        <v>3720</v>
      </c>
      <c r="J342" s="10">
        <f t="shared" si="5"/>
        <v>0</v>
      </c>
      <c r="S342" s="9"/>
      <c r="T342" s="9"/>
    </row>
    <row r="343" spans="1:20">
      <c r="A343" s="9" t="s">
        <v>5409</v>
      </c>
      <c r="B343" s="10" t="s">
        <v>3818</v>
      </c>
      <c r="C343" s="10" t="s">
        <v>5349</v>
      </c>
      <c r="D343" s="10"/>
      <c r="E343" s="10" t="s">
        <v>5225</v>
      </c>
      <c r="F343" s="10" t="s">
        <v>5225</v>
      </c>
      <c r="G343" s="10" t="s">
        <v>5225</v>
      </c>
      <c r="H343" s="10" t="s">
        <v>5225</v>
      </c>
      <c r="I343" s="48"/>
      <c r="J343" s="10" t="str">
        <f t="shared" si="5"/>
        <v>NA</v>
      </c>
      <c r="S343" s="9"/>
      <c r="T343" s="9"/>
    </row>
    <row r="344" spans="1:20">
      <c r="A344" s="9" t="s">
        <v>3721</v>
      </c>
      <c r="B344" s="10" t="s">
        <v>3877</v>
      </c>
      <c r="C344" s="10" t="s">
        <v>5390</v>
      </c>
      <c r="D344" s="10"/>
      <c r="E344" s="10" t="s">
        <v>5225</v>
      </c>
      <c r="F344" s="10" t="s">
        <v>5225</v>
      </c>
      <c r="G344" s="10" t="s">
        <v>4743</v>
      </c>
      <c r="H344" s="10" t="s">
        <v>5225</v>
      </c>
      <c r="I344" s="48"/>
      <c r="J344" s="10">
        <f t="shared" si="5"/>
        <v>0</v>
      </c>
      <c r="S344" s="9"/>
      <c r="T344" s="9"/>
    </row>
    <row r="345" spans="1:20">
      <c r="A345" s="9" t="s">
        <v>4820</v>
      </c>
      <c r="B345" s="10" t="s">
        <v>3877</v>
      </c>
      <c r="C345" s="10" t="s">
        <v>5390</v>
      </c>
      <c r="D345" s="10"/>
      <c r="E345" s="10" t="s">
        <v>5225</v>
      </c>
      <c r="F345" s="10" t="s">
        <v>5225</v>
      </c>
      <c r="G345" s="10" t="s">
        <v>4743</v>
      </c>
      <c r="H345" s="10" t="s">
        <v>5227</v>
      </c>
      <c r="I345" s="48"/>
      <c r="J345" s="10">
        <f t="shared" si="5"/>
        <v>0</v>
      </c>
      <c r="S345" s="9"/>
      <c r="T345" s="9"/>
    </row>
    <row r="346" spans="1:20">
      <c r="A346" s="9" t="s">
        <v>3722</v>
      </c>
      <c r="B346" s="10" t="s">
        <v>3723</v>
      </c>
      <c r="C346" s="10" t="s">
        <v>5787</v>
      </c>
      <c r="D346" s="10"/>
      <c r="E346" s="10" t="s">
        <v>5227</v>
      </c>
      <c r="F346" s="10" t="s">
        <v>5227</v>
      </c>
      <c r="G346" s="10">
        <v>5</v>
      </c>
      <c r="H346" s="10" t="s">
        <v>5225</v>
      </c>
      <c r="I346" s="48"/>
      <c r="J346" s="10">
        <f t="shared" si="5"/>
        <v>0</v>
      </c>
      <c r="S346" s="9"/>
      <c r="T346" s="9"/>
    </row>
    <row r="347" spans="1:20">
      <c r="A347" s="9" t="s">
        <v>3724</v>
      </c>
      <c r="B347" s="10" t="s">
        <v>3725</v>
      </c>
      <c r="C347" s="10" t="s">
        <v>5788</v>
      </c>
      <c r="D347" s="10"/>
      <c r="E347" s="10" t="s">
        <v>5227</v>
      </c>
      <c r="F347" s="10" t="s">
        <v>5227</v>
      </c>
      <c r="G347" s="10" t="s">
        <v>4743</v>
      </c>
      <c r="H347" s="10" t="s">
        <v>5225</v>
      </c>
      <c r="I347" s="48"/>
      <c r="J347" s="10">
        <f t="shared" si="5"/>
        <v>0</v>
      </c>
      <c r="S347" s="9"/>
      <c r="T347" s="9"/>
    </row>
    <row r="348" spans="1:20">
      <c r="A348" s="9" t="s">
        <v>3726</v>
      </c>
      <c r="B348" s="10" t="s">
        <v>3918</v>
      </c>
      <c r="C348" s="10" t="s">
        <v>5786</v>
      </c>
      <c r="D348" s="10"/>
      <c r="E348" s="10" t="s">
        <v>5227</v>
      </c>
      <c r="F348" s="10" t="s">
        <v>5225</v>
      </c>
      <c r="G348" s="10">
        <v>1</v>
      </c>
      <c r="H348" s="10" t="s">
        <v>5225</v>
      </c>
      <c r="I348" s="48"/>
      <c r="J348" s="10">
        <f t="shared" si="5"/>
        <v>0</v>
      </c>
      <c r="S348" s="9"/>
      <c r="T348" s="9"/>
    </row>
    <row r="349" spans="1:20">
      <c r="A349" s="9" t="s">
        <v>4230</v>
      </c>
      <c r="B349" s="10" t="s">
        <v>3874</v>
      </c>
      <c r="C349" s="10" t="s">
        <v>5390</v>
      </c>
      <c r="D349" s="10"/>
      <c r="E349" s="10" t="s">
        <v>5225</v>
      </c>
      <c r="F349" s="10" t="s">
        <v>5225</v>
      </c>
      <c r="G349" s="10">
        <v>1</v>
      </c>
      <c r="H349" s="10" t="s">
        <v>5227</v>
      </c>
      <c r="I349" s="48" t="s">
        <v>5029</v>
      </c>
      <c r="J349" s="10">
        <f t="shared" si="5"/>
        <v>0</v>
      </c>
      <c r="S349" s="9"/>
      <c r="T349" s="9"/>
    </row>
    <row r="350" spans="1:20">
      <c r="A350" s="9" t="s">
        <v>4749</v>
      </c>
      <c r="B350" s="10" t="s">
        <v>4008</v>
      </c>
      <c r="C350" s="10" t="s">
        <v>5786</v>
      </c>
      <c r="D350" s="10"/>
      <c r="E350" s="10" t="s">
        <v>5227</v>
      </c>
      <c r="F350" s="10" t="s">
        <v>5225</v>
      </c>
      <c r="G350" s="10" t="s">
        <v>5225</v>
      </c>
      <c r="H350" s="10" t="s">
        <v>5227</v>
      </c>
      <c r="I350" s="48"/>
      <c r="J350" s="10">
        <f t="shared" si="5"/>
        <v>0</v>
      </c>
      <c r="S350" s="9"/>
      <c r="T350" s="9"/>
    </row>
    <row r="351" spans="1:20">
      <c r="A351" s="9" t="s">
        <v>171</v>
      </c>
      <c r="B351" s="10" t="s">
        <v>3919</v>
      </c>
      <c r="C351" s="10" t="s">
        <v>5786</v>
      </c>
      <c r="D351" s="10"/>
      <c r="E351" s="10" t="s">
        <v>5227</v>
      </c>
      <c r="F351" s="10" t="s">
        <v>5225</v>
      </c>
      <c r="G351" s="10" t="s">
        <v>5225</v>
      </c>
      <c r="H351" s="10" t="s">
        <v>5227</v>
      </c>
      <c r="I351" s="48"/>
      <c r="J351" s="10">
        <f t="shared" si="5"/>
        <v>0</v>
      </c>
      <c r="S351" s="9"/>
      <c r="T351" s="9"/>
    </row>
    <row r="352" spans="1:20">
      <c r="A352" s="9" t="s">
        <v>4382</v>
      </c>
      <c r="B352" s="10" t="s">
        <v>3920</v>
      </c>
      <c r="C352" s="10" t="s">
        <v>5786</v>
      </c>
      <c r="D352" s="10"/>
      <c r="E352" s="10" t="s">
        <v>5227</v>
      </c>
      <c r="F352" s="10" t="s">
        <v>5225</v>
      </c>
      <c r="G352" s="10" t="s">
        <v>5225</v>
      </c>
      <c r="H352" s="10" t="s">
        <v>5227</v>
      </c>
      <c r="I352" s="48" t="s">
        <v>4625</v>
      </c>
      <c r="J352" s="10">
        <f t="shared" si="5"/>
        <v>0</v>
      </c>
      <c r="S352" s="9"/>
      <c r="T352" s="9"/>
    </row>
    <row r="353" spans="1:20">
      <c r="A353" s="9" t="s">
        <v>3921</v>
      </c>
      <c r="B353" s="10" t="s">
        <v>3874</v>
      </c>
      <c r="C353" s="10" t="s">
        <v>5597</v>
      </c>
      <c r="D353" s="10"/>
      <c r="E353" s="10" t="s">
        <v>5225</v>
      </c>
      <c r="F353" s="10" t="s">
        <v>5225</v>
      </c>
      <c r="G353" s="10" t="s">
        <v>5225</v>
      </c>
      <c r="H353" s="10" t="s">
        <v>5225</v>
      </c>
      <c r="I353" s="48" t="s">
        <v>4301</v>
      </c>
      <c r="J353" s="10">
        <f t="shared" si="5"/>
        <v>0</v>
      </c>
      <c r="S353" s="9"/>
      <c r="T353" s="9"/>
    </row>
    <row r="354" spans="1:20">
      <c r="A354" s="9" t="s">
        <v>4374</v>
      </c>
      <c r="B354" s="10" t="s">
        <v>3922</v>
      </c>
      <c r="C354" s="10" t="s">
        <v>5786</v>
      </c>
      <c r="D354" s="10"/>
      <c r="E354" s="10" t="s">
        <v>5227</v>
      </c>
      <c r="F354" s="10" t="s">
        <v>5225</v>
      </c>
      <c r="G354" s="10" t="s">
        <v>5225</v>
      </c>
      <c r="H354" s="10" t="s">
        <v>5227</v>
      </c>
      <c r="I354" s="48"/>
      <c r="J354" s="10">
        <f t="shared" si="5"/>
        <v>0</v>
      </c>
      <c r="S354" s="9"/>
      <c r="T354" s="9"/>
    </row>
    <row r="355" spans="1:20">
      <c r="A355" s="9" t="s">
        <v>3738</v>
      </c>
      <c r="B355" s="10" t="s">
        <v>3919</v>
      </c>
      <c r="C355" s="10" t="s">
        <v>5787</v>
      </c>
      <c r="D355" s="10"/>
      <c r="E355" s="10" t="s">
        <v>5227</v>
      </c>
      <c r="F355" s="10" t="s">
        <v>5225</v>
      </c>
      <c r="G355" s="10">
        <v>2</v>
      </c>
      <c r="H355" s="10" t="s">
        <v>5225</v>
      </c>
      <c r="I355" s="48"/>
      <c r="J355" s="10">
        <f t="shared" si="5"/>
        <v>0</v>
      </c>
      <c r="S355" s="9"/>
      <c r="T355" s="9"/>
    </row>
    <row r="356" spans="1:20">
      <c r="A356" s="9" t="s">
        <v>3740</v>
      </c>
      <c r="B356" s="10" t="s">
        <v>73</v>
      </c>
      <c r="C356" s="10" t="s">
        <v>5349</v>
      </c>
      <c r="D356" s="10"/>
      <c r="E356" s="10" t="s">
        <v>5225</v>
      </c>
      <c r="F356" s="10" t="s">
        <v>5225</v>
      </c>
      <c r="G356" s="10" t="s">
        <v>5225</v>
      </c>
      <c r="H356" s="10" t="s">
        <v>5225</v>
      </c>
      <c r="I356" s="48"/>
      <c r="J356" s="10" t="str">
        <f t="shared" si="5"/>
        <v>NA</v>
      </c>
      <c r="L356" s="48"/>
      <c r="M356" s="9"/>
      <c r="N356" s="9"/>
      <c r="O356" s="9"/>
      <c r="P356" s="9"/>
      <c r="Q356" s="9"/>
      <c r="R356" s="9"/>
      <c r="S356" s="9"/>
      <c r="T356" s="9"/>
    </row>
    <row r="357" spans="1:20">
      <c r="A357" s="9" t="s">
        <v>74</v>
      </c>
      <c r="B357" s="10" t="s">
        <v>3919</v>
      </c>
      <c r="C357" s="10" t="s">
        <v>5787</v>
      </c>
      <c r="D357" s="10"/>
      <c r="E357" s="10" t="s">
        <v>5225</v>
      </c>
      <c r="F357" s="10" t="s">
        <v>5225</v>
      </c>
      <c r="G357" s="10">
        <v>1</v>
      </c>
      <c r="H357" s="10" t="s">
        <v>5225</v>
      </c>
      <c r="I357" s="48"/>
      <c r="J357" s="10">
        <f t="shared" si="5"/>
        <v>0</v>
      </c>
      <c r="L357" s="48"/>
      <c r="M357" s="9"/>
      <c r="N357" s="9"/>
      <c r="O357" s="9"/>
      <c r="P357" s="9"/>
      <c r="Q357" s="9"/>
      <c r="R357" s="9"/>
      <c r="S357" s="9"/>
      <c r="T357" s="9"/>
    </row>
    <row r="358" spans="1:20">
      <c r="A358" s="9" t="s">
        <v>4389</v>
      </c>
      <c r="B358" s="10" t="s">
        <v>3741</v>
      </c>
      <c r="C358" s="10" t="s">
        <v>5786</v>
      </c>
      <c r="D358" s="10"/>
      <c r="E358" s="10" t="s">
        <v>5227</v>
      </c>
      <c r="F358" s="10" t="s">
        <v>5225</v>
      </c>
      <c r="G358" s="10" t="s">
        <v>5225</v>
      </c>
      <c r="H358" s="10" t="s">
        <v>5227</v>
      </c>
      <c r="I358" s="48" t="s">
        <v>3742</v>
      </c>
      <c r="J358" s="10">
        <f t="shared" si="5"/>
        <v>0</v>
      </c>
      <c r="L358" s="48"/>
      <c r="M358" s="9"/>
      <c r="N358" s="9"/>
      <c r="O358" s="9"/>
      <c r="P358" s="9"/>
      <c r="Q358" s="9"/>
      <c r="R358" s="9"/>
      <c r="S358" s="9"/>
      <c r="T358" s="9"/>
    </row>
    <row r="359" spans="1:20">
      <c r="A359" s="9" t="s">
        <v>4798</v>
      </c>
      <c r="B359" s="10" t="s">
        <v>3919</v>
      </c>
      <c r="C359" s="10" t="s">
        <v>5390</v>
      </c>
      <c r="D359" s="10">
        <v>3</v>
      </c>
      <c r="E359" s="10" t="s">
        <v>5225</v>
      </c>
      <c r="F359" s="10" t="s">
        <v>5227</v>
      </c>
      <c r="G359" s="10">
        <v>2</v>
      </c>
      <c r="H359" s="10" t="s">
        <v>5227</v>
      </c>
      <c r="I359" s="48"/>
      <c r="J359" s="10">
        <f t="shared" si="5"/>
        <v>0</v>
      </c>
      <c r="L359" s="48"/>
      <c r="M359" s="9"/>
      <c r="N359" s="9"/>
      <c r="O359" s="9"/>
      <c r="P359" s="9"/>
      <c r="Q359" s="9"/>
      <c r="R359" s="9"/>
      <c r="S359" s="9"/>
      <c r="T359" s="9"/>
    </row>
    <row r="360" spans="1:20">
      <c r="A360" s="9" t="s">
        <v>4062</v>
      </c>
      <c r="B360" s="10" t="s">
        <v>3883</v>
      </c>
      <c r="C360" s="10" t="s">
        <v>5787</v>
      </c>
      <c r="D360" s="10"/>
      <c r="E360" s="10" t="s">
        <v>5227</v>
      </c>
      <c r="F360" s="10" t="s">
        <v>5227</v>
      </c>
      <c r="G360" s="10">
        <v>10</v>
      </c>
      <c r="H360" s="10" t="s">
        <v>5225</v>
      </c>
      <c r="I360" s="48" t="s">
        <v>4501</v>
      </c>
      <c r="J360" s="10">
        <f t="shared" si="5"/>
        <v>0</v>
      </c>
      <c r="L360" s="48"/>
      <c r="M360" s="9"/>
      <c r="N360" s="9"/>
      <c r="O360" s="9"/>
      <c r="P360" s="9"/>
      <c r="Q360" s="9"/>
      <c r="R360" s="9"/>
      <c r="S360" s="9"/>
      <c r="T360" s="9"/>
    </row>
    <row r="361" spans="1:20">
      <c r="A361" s="9" t="s">
        <v>4063</v>
      </c>
      <c r="B361" s="10" t="s">
        <v>4064</v>
      </c>
      <c r="C361" s="10" t="s">
        <v>5786</v>
      </c>
      <c r="D361" s="10"/>
      <c r="E361" s="10" t="s">
        <v>5227</v>
      </c>
      <c r="F361" s="10" t="s">
        <v>5227</v>
      </c>
      <c r="G361" s="10">
        <v>2</v>
      </c>
      <c r="H361" s="10" t="s">
        <v>5225</v>
      </c>
      <c r="I361" s="48"/>
      <c r="J361" s="10">
        <f t="shared" si="5"/>
        <v>0</v>
      </c>
      <c r="L361" s="48"/>
      <c r="M361" s="9"/>
      <c r="N361" s="9"/>
      <c r="O361" s="9"/>
      <c r="P361" s="9"/>
      <c r="Q361" s="9"/>
      <c r="R361" s="9"/>
      <c r="S361" s="9"/>
      <c r="T361" s="9"/>
    </row>
    <row r="362" spans="1:20">
      <c r="A362" s="9" t="s">
        <v>4065</v>
      </c>
      <c r="B362" s="10" t="s">
        <v>3874</v>
      </c>
      <c r="C362" s="10" t="s">
        <v>5786</v>
      </c>
      <c r="D362" s="10"/>
      <c r="E362" s="10" t="s">
        <v>5227</v>
      </c>
      <c r="F362" s="10" t="s">
        <v>5225</v>
      </c>
      <c r="G362" s="10">
        <v>1</v>
      </c>
      <c r="H362" s="10" t="s">
        <v>5225</v>
      </c>
      <c r="I362" s="48" t="s">
        <v>4526</v>
      </c>
      <c r="J362" s="10">
        <f t="shared" si="5"/>
        <v>0</v>
      </c>
      <c r="L362" s="48"/>
      <c r="M362" s="9"/>
      <c r="N362" s="9"/>
      <c r="O362" s="9"/>
      <c r="P362" s="9"/>
      <c r="Q362" s="9"/>
      <c r="R362" s="9"/>
      <c r="S362" s="9"/>
      <c r="T362" s="9"/>
    </row>
    <row r="363" spans="1:20">
      <c r="A363" s="9" t="s">
        <v>4530</v>
      </c>
      <c r="B363" s="10" t="s">
        <v>3918</v>
      </c>
      <c r="C363" s="10" t="s">
        <v>5390</v>
      </c>
      <c r="D363" s="86">
        <v>0</v>
      </c>
      <c r="E363" s="10" t="s">
        <v>5225</v>
      </c>
      <c r="F363" s="10" t="s">
        <v>5225</v>
      </c>
      <c r="G363" s="10" t="s">
        <v>5225</v>
      </c>
      <c r="H363" s="10" t="s">
        <v>5227</v>
      </c>
      <c r="I363" s="48"/>
      <c r="J363" s="10">
        <f t="shared" si="5"/>
        <v>0</v>
      </c>
      <c r="L363" s="48"/>
      <c r="M363" s="9"/>
      <c r="N363" s="9"/>
      <c r="O363" s="9"/>
      <c r="P363" s="9"/>
      <c r="Q363" s="9"/>
      <c r="R363" s="9"/>
      <c r="S363" s="9"/>
      <c r="T363" s="9"/>
    </row>
    <row r="364" spans="1:20">
      <c r="A364" s="9" t="s">
        <v>4477</v>
      </c>
      <c r="B364" s="10" t="s">
        <v>3919</v>
      </c>
      <c r="C364" s="10" t="s">
        <v>5786</v>
      </c>
      <c r="D364" s="10"/>
      <c r="E364" s="10" t="s">
        <v>5227</v>
      </c>
      <c r="F364" s="10" t="s">
        <v>5227</v>
      </c>
      <c r="G364" s="10" t="s">
        <v>5225</v>
      </c>
      <c r="H364" s="10" t="s">
        <v>5225</v>
      </c>
      <c r="I364" s="48"/>
      <c r="J364" s="10">
        <f t="shared" si="5"/>
        <v>0</v>
      </c>
      <c r="L364" s="48"/>
      <c r="M364" s="9"/>
      <c r="N364" s="9"/>
      <c r="O364" s="9"/>
      <c r="P364" s="9"/>
      <c r="Q364" s="9"/>
      <c r="R364" s="9"/>
      <c r="S364" s="9"/>
      <c r="T364" s="9"/>
    </row>
    <row r="365" spans="1:20">
      <c r="A365" s="9" t="s">
        <v>4033</v>
      </c>
      <c r="B365" s="10" t="s">
        <v>3918</v>
      </c>
      <c r="C365" s="10" t="s">
        <v>5787</v>
      </c>
      <c r="D365" s="10"/>
      <c r="E365" s="10" t="s">
        <v>5227</v>
      </c>
      <c r="F365" s="10" t="s">
        <v>5227</v>
      </c>
      <c r="G365" s="10" t="s">
        <v>5225</v>
      </c>
      <c r="H365" s="10" t="s">
        <v>5225</v>
      </c>
      <c r="I365" s="48"/>
      <c r="J365" s="10">
        <f t="shared" si="5"/>
        <v>0</v>
      </c>
      <c r="L365" s="48"/>
      <c r="M365" s="9"/>
      <c r="N365" s="9"/>
      <c r="O365" s="9"/>
      <c r="P365" s="9"/>
      <c r="Q365" s="9"/>
      <c r="R365" s="9"/>
      <c r="S365" s="9"/>
      <c r="T365" s="9"/>
    </row>
    <row r="366" spans="1:20">
      <c r="A366" s="9" t="s">
        <v>4034</v>
      </c>
      <c r="B366" s="10" t="s">
        <v>3920</v>
      </c>
      <c r="C366" s="10" t="s">
        <v>5786</v>
      </c>
      <c r="D366" s="10"/>
      <c r="E366" s="10" t="s">
        <v>5225</v>
      </c>
      <c r="F366" s="10" t="s">
        <v>5225</v>
      </c>
      <c r="G366" s="10" t="s">
        <v>5225</v>
      </c>
      <c r="H366" s="10" t="s">
        <v>5225</v>
      </c>
      <c r="I366" s="48" t="s">
        <v>5341</v>
      </c>
      <c r="J366" s="10">
        <f t="shared" si="5"/>
        <v>0</v>
      </c>
      <c r="L366" s="48"/>
      <c r="M366" s="9"/>
      <c r="N366" s="9"/>
      <c r="O366" s="9"/>
      <c r="P366" s="9"/>
      <c r="Q366" s="9"/>
      <c r="R366" s="9"/>
      <c r="S366" s="9"/>
      <c r="T366" s="9"/>
    </row>
    <row r="367" spans="1:20">
      <c r="A367" s="9" t="s">
        <v>4035</v>
      </c>
      <c r="B367" s="10" t="s">
        <v>3918</v>
      </c>
      <c r="C367" s="10" t="s">
        <v>5788</v>
      </c>
      <c r="D367" s="10"/>
      <c r="E367" s="10" t="s">
        <v>5227</v>
      </c>
      <c r="F367" s="10" t="s">
        <v>5225</v>
      </c>
      <c r="G367" s="10">
        <v>1</v>
      </c>
      <c r="H367" s="10" t="s">
        <v>5225</v>
      </c>
      <c r="I367" s="48"/>
      <c r="J367" s="10">
        <f t="shared" si="5"/>
        <v>0</v>
      </c>
      <c r="L367" s="48"/>
      <c r="M367" s="9"/>
      <c r="N367" s="9"/>
      <c r="O367" s="9"/>
      <c r="P367" s="9"/>
      <c r="Q367" s="9"/>
      <c r="R367" s="9"/>
      <c r="S367" s="9"/>
      <c r="T367" s="9"/>
    </row>
    <row r="368" spans="1:20">
      <c r="A368" s="9" t="s">
        <v>4401</v>
      </c>
      <c r="B368" s="10" t="s">
        <v>75</v>
      </c>
      <c r="C368" s="10" t="s">
        <v>5786</v>
      </c>
      <c r="D368" s="10"/>
      <c r="E368" s="10" t="s">
        <v>5227</v>
      </c>
      <c r="F368" s="10" t="s">
        <v>5225</v>
      </c>
      <c r="G368" s="10">
        <v>1</v>
      </c>
      <c r="H368" s="10" t="s">
        <v>5227</v>
      </c>
      <c r="I368" s="48"/>
      <c r="J368" s="10">
        <f t="shared" si="5"/>
        <v>0</v>
      </c>
      <c r="L368" s="48"/>
      <c r="M368" s="9"/>
      <c r="N368" s="9"/>
      <c r="O368" s="9"/>
      <c r="P368" s="9"/>
      <c r="Q368" s="9"/>
      <c r="R368" s="9"/>
      <c r="S368" s="9"/>
      <c r="T368" s="9"/>
    </row>
    <row r="369" spans="1:20">
      <c r="A369" s="9" t="s">
        <v>4821</v>
      </c>
      <c r="B369" s="10" t="s">
        <v>4180</v>
      </c>
      <c r="C369" s="10" t="s">
        <v>5390</v>
      </c>
      <c r="D369" s="10">
        <v>0</v>
      </c>
      <c r="E369" s="10" t="s">
        <v>5225</v>
      </c>
      <c r="F369" s="10" t="s">
        <v>5227</v>
      </c>
      <c r="G369" s="10">
        <v>1</v>
      </c>
      <c r="H369" s="10" t="s">
        <v>5227</v>
      </c>
      <c r="I369" s="48"/>
      <c r="J369" s="10">
        <f t="shared" si="5"/>
        <v>0</v>
      </c>
      <c r="L369" s="48"/>
      <c r="M369" s="9"/>
      <c r="N369" s="9"/>
      <c r="O369" s="9"/>
      <c r="P369" s="9"/>
      <c r="Q369" s="9"/>
      <c r="R369" s="9"/>
      <c r="S369" s="9"/>
      <c r="T369" s="9"/>
    </row>
    <row r="370" spans="1:20">
      <c r="A370" s="9" t="s">
        <v>4819</v>
      </c>
      <c r="B370" s="10" t="s">
        <v>3917</v>
      </c>
      <c r="C370" s="10" t="s">
        <v>5787</v>
      </c>
      <c r="D370" s="10"/>
      <c r="E370" s="10" t="s">
        <v>5225</v>
      </c>
      <c r="F370" s="10" t="s">
        <v>5227</v>
      </c>
      <c r="G370" s="10">
        <v>1</v>
      </c>
      <c r="H370" s="10" t="s">
        <v>5225</v>
      </c>
      <c r="I370" s="48"/>
      <c r="J370" s="10">
        <f t="shared" si="5"/>
        <v>0</v>
      </c>
      <c r="L370" s="48"/>
      <c r="M370" s="9"/>
      <c r="N370" s="9"/>
      <c r="O370" s="9"/>
      <c r="P370" s="9"/>
      <c r="Q370" s="9"/>
      <c r="R370" s="9"/>
      <c r="S370" s="9"/>
      <c r="T370" s="9"/>
    </row>
    <row r="371" spans="1:20">
      <c r="A371" s="9" t="s">
        <v>4074</v>
      </c>
      <c r="B371" s="10" t="s">
        <v>73</v>
      </c>
      <c r="C371" s="10" t="s">
        <v>5390</v>
      </c>
      <c r="D371" s="10">
        <v>0</v>
      </c>
      <c r="E371" s="10" t="s">
        <v>5225</v>
      </c>
      <c r="F371" s="10" t="s">
        <v>5225</v>
      </c>
      <c r="G371" s="10">
        <v>1</v>
      </c>
      <c r="H371" s="10" t="s">
        <v>5225</v>
      </c>
      <c r="I371" s="48"/>
      <c r="J371" s="10">
        <f t="shared" si="5"/>
        <v>0</v>
      </c>
      <c r="L371" s="48"/>
      <c r="M371" s="9"/>
      <c r="N371" s="9"/>
      <c r="O371" s="9"/>
      <c r="P371" s="9"/>
      <c r="Q371" s="9"/>
      <c r="R371" s="9"/>
      <c r="S371" s="9"/>
      <c r="T371" s="9"/>
    </row>
    <row r="372" spans="1:20">
      <c r="A372" s="9" t="s">
        <v>4257</v>
      </c>
      <c r="B372" s="10" t="s">
        <v>76</v>
      </c>
      <c r="C372" s="10" t="s">
        <v>5390</v>
      </c>
      <c r="D372" s="10">
        <v>0</v>
      </c>
      <c r="E372" s="10" t="s">
        <v>5225</v>
      </c>
      <c r="F372" s="10" t="s">
        <v>182</v>
      </c>
      <c r="G372" s="10">
        <v>1</v>
      </c>
      <c r="H372" s="10" t="s">
        <v>5225</v>
      </c>
      <c r="I372" s="48"/>
      <c r="J372" s="10">
        <f t="shared" si="5"/>
        <v>0</v>
      </c>
      <c r="L372" s="48"/>
      <c r="M372" s="9"/>
      <c r="N372" s="9"/>
      <c r="O372" s="9"/>
      <c r="P372" s="9"/>
      <c r="Q372" s="9"/>
      <c r="R372" s="9"/>
      <c r="S372" s="9"/>
      <c r="T372" s="9"/>
    </row>
    <row r="373" spans="1:20">
      <c r="A373" s="9" t="s">
        <v>4958</v>
      </c>
      <c r="B373" s="10" t="s">
        <v>4180</v>
      </c>
      <c r="C373" s="10" t="s">
        <v>5390</v>
      </c>
      <c r="D373" s="10">
        <v>0</v>
      </c>
      <c r="E373" s="10" t="s">
        <v>5225</v>
      </c>
      <c r="F373" s="10" t="s">
        <v>5225</v>
      </c>
      <c r="G373" s="10">
        <v>1</v>
      </c>
      <c r="H373" s="10" t="s">
        <v>5227</v>
      </c>
      <c r="I373" s="48"/>
      <c r="J373" s="10">
        <f t="shared" si="5"/>
        <v>0</v>
      </c>
      <c r="L373" s="48"/>
      <c r="M373" s="9"/>
      <c r="N373" s="9"/>
      <c r="O373" s="9"/>
      <c r="P373" s="9"/>
      <c r="Q373" s="9"/>
      <c r="R373" s="9"/>
      <c r="S373" s="9"/>
      <c r="T373" s="9"/>
    </row>
    <row r="374" spans="1:20">
      <c r="A374" s="9" t="s">
        <v>77</v>
      </c>
      <c r="B374" s="10" t="s">
        <v>168</v>
      </c>
      <c r="C374" s="10" t="s">
        <v>207</v>
      </c>
      <c r="D374" s="10"/>
      <c r="E374" s="10" t="s">
        <v>183</v>
      </c>
      <c r="F374" s="10" t="s">
        <v>182</v>
      </c>
      <c r="G374" s="10" t="s">
        <v>182</v>
      </c>
      <c r="H374" s="10" t="s">
        <v>183</v>
      </c>
      <c r="I374" s="48"/>
      <c r="J374" s="10">
        <f t="shared" si="5"/>
        <v>0</v>
      </c>
      <c r="L374" s="48"/>
      <c r="M374" s="9"/>
      <c r="N374" s="9"/>
      <c r="O374" s="9"/>
      <c r="P374" s="9"/>
      <c r="Q374" s="9"/>
      <c r="R374" s="9"/>
      <c r="S374" s="9"/>
      <c r="T374" s="9"/>
    </row>
    <row r="375" spans="1:20">
      <c r="A375" s="9" t="s">
        <v>4043</v>
      </c>
      <c r="B375" s="10" t="s">
        <v>4044</v>
      </c>
      <c r="C375" s="10" t="s">
        <v>5786</v>
      </c>
      <c r="D375" s="10"/>
      <c r="E375" s="10" t="s">
        <v>5227</v>
      </c>
      <c r="F375" s="10" t="s">
        <v>5225</v>
      </c>
      <c r="G375" s="10" t="s">
        <v>5225</v>
      </c>
      <c r="H375" s="10" t="s">
        <v>5225</v>
      </c>
      <c r="I375" s="48"/>
      <c r="J375" s="10">
        <f t="shared" si="5"/>
        <v>0</v>
      </c>
      <c r="L375" s="48"/>
      <c r="M375" s="9"/>
      <c r="N375" s="9"/>
      <c r="O375" s="9"/>
      <c r="P375" s="9"/>
      <c r="Q375" s="9"/>
      <c r="R375" s="9"/>
      <c r="S375" s="9"/>
      <c r="T375" s="9"/>
    </row>
    <row r="376" spans="1:20">
      <c r="A376" s="9" t="s">
        <v>4200</v>
      </c>
      <c r="B376" s="10" t="s">
        <v>75</v>
      </c>
      <c r="C376" s="10" t="s">
        <v>5786</v>
      </c>
      <c r="D376" s="10"/>
      <c r="E376" s="10" t="s">
        <v>5227</v>
      </c>
      <c r="F376" s="10" t="s">
        <v>5225</v>
      </c>
      <c r="G376" s="10">
        <v>1</v>
      </c>
      <c r="H376" s="10" t="s">
        <v>5225</v>
      </c>
      <c r="I376" s="48"/>
      <c r="J376" s="10">
        <f t="shared" si="5"/>
        <v>0</v>
      </c>
      <c r="L376" s="48"/>
      <c r="M376" s="9"/>
      <c r="N376" s="9"/>
      <c r="O376" s="9"/>
      <c r="P376" s="9"/>
      <c r="Q376" s="9"/>
      <c r="R376" s="9"/>
      <c r="S376" s="9"/>
      <c r="T376" s="9"/>
    </row>
    <row r="377" spans="1:20">
      <c r="A377" s="9" t="s">
        <v>4201</v>
      </c>
      <c r="B377" s="10" t="s">
        <v>219</v>
      </c>
      <c r="C377" s="10" t="s">
        <v>5786</v>
      </c>
      <c r="D377" s="10"/>
      <c r="E377" s="10" t="s">
        <v>5227</v>
      </c>
      <c r="F377" s="10" t="s">
        <v>5225</v>
      </c>
      <c r="G377" s="10">
        <v>1</v>
      </c>
      <c r="H377" s="10" t="s">
        <v>5225</v>
      </c>
      <c r="I377" s="48"/>
      <c r="J377" s="10">
        <f t="shared" si="5"/>
        <v>0</v>
      </c>
      <c r="L377" s="48"/>
      <c r="M377" s="9"/>
      <c r="N377" s="9"/>
      <c r="O377" s="9"/>
      <c r="P377" s="9"/>
      <c r="Q377" s="9"/>
      <c r="R377" s="9"/>
      <c r="S377" s="9"/>
      <c r="T377" s="9"/>
    </row>
    <row r="378" spans="1:20">
      <c r="A378" s="9" t="s">
        <v>4202</v>
      </c>
      <c r="B378" s="10" t="s">
        <v>3917</v>
      </c>
      <c r="C378" s="10" t="s">
        <v>5786</v>
      </c>
      <c r="D378" s="10"/>
      <c r="E378" s="10" t="s">
        <v>5227</v>
      </c>
      <c r="F378" s="10" t="s">
        <v>5225</v>
      </c>
      <c r="G378" s="10">
        <v>1</v>
      </c>
      <c r="H378" s="10" t="s">
        <v>5225</v>
      </c>
      <c r="I378" s="48"/>
      <c r="J378" s="10">
        <f t="shared" si="5"/>
        <v>0</v>
      </c>
      <c r="L378" s="48"/>
      <c r="M378" s="9"/>
      <c r="N378" s="9"/>
      <c r="O378" s="9"/>
      <c r="P378" s="9"/>
      <c r="Q378" s="9"/>
      <c r="R378" s="9"/>
      <c r="S378" s="9"/>
      <c r="T378" s="9"/>
    </row>
    <row r="379" spans="1:20">
      <c r="A379" s="9" t="s">
        <v>4203</v>
      </c>
      <c r="B379" s="10" t="s">
        <v>4204</v>
      </c>
      <c r="C379" s="10" t="s">
        <v>5786</v>
      </c>
      <c r="D379" s="10"/>
      <c r="E379" s="10" t="s">
        <v>5227</v>
      </c>
      <c r="F379" s="10" t="s">
        <v>5225</v>
      </c>
      <c r="G379" s="10" t="s">
        <v>5225</v>
      </c>
      <c r="H379" s="10" t="s">
        <v>5225</v>
      </c>
      <c r="I379" s="48"/>
      <c r="J379" s="10">
        <f t="shared" si="5"/>
        <v>0</v>
      </c>
      <c r="L379" s="48"/>
      <c r="M379" s="9"/>
      <c r="N379" s="9"/>
      <c r="O379" s="9"/>
      <c r="P379" s="9"/>
      <c r="Q379" s="9"/>
      <c r="R379" s="9"/>
      <c r="S379" s="9"/>
      <c r="T379" s="9"/>
    </row>
    <row r="380" spans="1:20">
      <c r="A380" s="9" t="s">
        <v>4881</v>
      </c>
      <c r="B380" s="10" t="s">
        <v>4180</v>
      </c>
      <c r="C380" s="10" t="s">
        <v>5786</v>
      </c>
      <c r="D380" s="10"/>
      <c r="E380" s="10" t="s">
        <v>5225</v>
      </c>
      <c r="F380" s="10" t="s">
        <v>5225</v>
      </c>
      <c r="G380" s="10">
        <v>1</v>
      </c>
      <c r="H380" s="10" t="s">
        <v>5225</v>
      </c>
      <c r="I380" s="48"/>
      <c r="J380" s="10">
        <f t="shared" si="5"/>
        <v>0</v>
      </c>
      <c r="L380" s="48"/>
      <c r="M380" s="9"/>
      <c r="N380" s="9"/>
      <c r="O380" s="9"/>
      <c r="P380" s="9"/>
      <c r="Q380" s="9"/>
      <c r="R380" s="9"/>
      <c r="S380" s="9"/>
      <c r="T380" s="9"/>
    </row>
    <row r="381" spans="1:20">
      <c r="A381" s="9" t="s">
        <v>4413</v>
      </c>
      <c r="B381" s="10" t="s">
        <v>3883</v>
      </c>
      <c r="C381" s="10" t="s">
        <v>5390</v>
      </c>
      <c r="D381" s="10"/>
      <c r="E381" s="10" t="s">
        <v>5227</v>
      </c>
      <c r="F381" s="10" t="s">
        <v>5225</v>
      </c>
      <c r="G381" s="10">
        <v>1</v>
      </c>
      <c r="H381" s="10" t="s">
        <v>5227</v>
      </c>
      <c r="I381" s="48" t="s">
        <v>4501</v>
      </c>
      <c r="J381" s="10">
        <f t="shared" si="5"/>
        <v>0</v>
      </c>
    </row>
    <row r="382" spans="1:20">
      <c r="A382" s="9" t="s">
        <v>4205</v>
      </c>
      <c r="B382" s="10" t="s">
        <v>4044</v>
      </c>
      <c r="C382" s="10" t="s">
        <v>5786</v>
      </c>
      <c r="D382" s="10"/>
      <c r="E382" s="10" t="s">
        <v>5225</v>
      </c>
      <c r="F382" s="10" t="s">
        <v>5225</v>
      </c>
      <c r="G382" s="10">
        <v>1</v>
      </c>
      <c r="H382" s="10" t="s">
        <v>5225</v>
      </c>
      <c r="I382" s="48"/>
      <c r="J382" s="10">
        <f t="shared" si="5"/>
        <v>0</v>
      </c>
    </row>
    <row r="383" spans="1:20">
      <c r="A383" s="9" t="s">
        <v>4206</v>
      </c>
      <c r="B383" s="10" t="s">
        <v>75</v>
      </c>
      <c r="C383" s="10" t="s">
        <v>5349</v>
      </c>
      <c r="D383" s="10"/>
      <c r="E383" s="10" t="s">
        <v>5225</v>
      </c>
      <c r="F383" s="10" t="s">
        <v>5225</v>
      </c>
      <c r="G383" s="10" t="s">
        <v>5225</v>
      </c>
      <c r="H383" s="10" t="s">
        <v>5225</v>
      </c>
      <c r="I383" s="48" t="s">
        <v>4803</v>
      </c>
      <c r="J383" s="10" t="str">
        <f t="shared" si="5"/>
        <v>NA</v>
      </c>
    </row>
    <row r="384" spans="1:20">
      <c r="A384" s="9" t="s">
        <v>4207</v>
      </c>
      <c r="B384" s="10" t="s">
        <v>3917</v>
      </c>
      <c r="C384" s="10" t="s">
        <v>5349</v>
      </c>
      <c r="D384" s="10"/>
      <c r="E384" s="10" t="s">
        <v>5225</v>
      </c>
      <c r="F384" s="10" t="s">
        <v>5225</v>
      </c>
      <c r="G384" s="10" t="s">
        <v>5225</v>
      </c>
      <c r="H384" s="10" t="s">
        <v>5225</v>
      </c>
      <c r="I384" s="48"/>
      <c r="J384" s="10" t="str">
        <f t="shared" si="5"/>
        <v>NA</v>
      </c>
    </row>
    <row r="385" spans="1:10">
      <c r="A385" s="9" t="s">
        <v>78</v>
      </c>
      <c r="B385" s="10" t="s">
        <v>172</v>
      </c>
      <c r="C385" s="10" t="s">
        <v>133</v>
      </c>
      <c r="D385" s="10"/>
      <c r="E385" s="10" t="s">
        <v>182</v>
      </c>
      <c r="F385" s="10" t="s">
        <v>182</v>
      </c>
      <c r="G385" s="10">
        <v>1</v>
      </c>
      <c r="H385" s="10" t="s">
        <v>183</v>
      </c>
      <c r="I385" s="48"/>
      <c r="J385" s="10">
        <f t="shared" si="5"/>
        <v>0</v>
      </c>
    </row>
    <row r="386" spans="1:10">
      <c r="A386" s="9" t="s">
        <v>4208</v>
      </c>
      <c r="B386" s="10" t="s">
        <v>4189</v>
      </c>
      <c r="C386" s="10" t="s">
        <v>5787</v>
      </c>
      <c r="D386" s="10"/>
      <c r="E386" s="10" t="s">
        <v>5227</v>
      </c>
      <c r="F386" s="10" t="s">
        <v>5225</v>
      </c>
      <c r="G386" s="10">
        <v>1</v>
      </c>
      <c r="H386" s="10" t="s">
        <v>5225</v>
      </c>
      <c r="I386" s="48" t="s">
        <v>4108</v>
      </c>
      <c r="J386" s="10">
        <f t="shared" si="5"/>
        <v>0</v>
      </c>
    </row>
    <row r="387" spans="1:10">
      <c r="A387" s="9" t="s">
        <v>4901</v>
      </c>
      <c r="B387" s="10" t="s">
        <v>3917</v>
      </c>
      <c r="C387" s="10" t="s">
        <v>5390</v>
      </c>
      <c r="D387" s="10">
        <v>0</v>
      </c>
      <c r="E387" s="69" t="s">
        <v>182</v>
      </c>
      <c r="F387" s="10" t="s">
        <v>5225</v>
      </c>
      <c r="G387" s="10">
        <v>1</v>
      </c>
      <c r="H387" s="10" t="s">
        <v>5225</v>
      </c>
      <c r="I387" s="48"/>
      <c r="J387" s="10">
        <f t="shared" si="5"/>
        <v>0</v>
      </c>
    </row>
    <row r="388" spans="1:10">
      <c r="A388" s="9" t="s">
        <v>4417</v>
      </c>
      <c r="B388" s="10" t="s">
        <v>4180</v>
      </c>
      <c r="C388" s="10" t="s">
        <v>5596</v>
      </c>
      <c r="D388" s="10">
        <v>0</v>
      </c>
      <c r="E388" s="10" t="s">
        <v>183</v>
      </c>
      <c r="F388" s="10" t="s">
        <v>5225</v>
      </c>
      <c r="G388" s="10">
        <v>1</v>
      </c>
      <c r="H388" s="10" t="s">
        <v>5227</v>
      </c>
      <c r="I388" s="48"/>
      <c r="J388" s="10">
        <f t="shared" ref="J388:J451" si="6">IF(C388="Rank","NA",0)</f>
        <v>0</v>
      </c>
    </row>
    <row r="389" spans="1:10">
      <c r="A389" s="9" t="s">
        <v>4801</v>
      </c>
      <c r="B389" s="10" t="s">
        <v>4044</v>
      </c>
      <c r="C389" s="10" t="s">
        <v>5788</v>
      </c>
      <c r="D389" s="10"/>
      <c r="E389" s="10" t="s">
        <v>5227</v>
      </c>
      <c r="F389" s="10" t="s">
        <v>5227</v>
      </c>
      <c r="G389" s="10">
        <v>1</v>
      </c>
      <c r="H389" s="10" t="s">
        <v>5225</v>
      </c>
      <c r="I389" s="48"/>
      <c r="J389" s="10">
        <f t="shared" si="6"/>
        <v>0</v>
      </c>
    </row>
    <row r="390" spans="1:10">
      <c r="A390" s="9" t="s">
        <v>4435</v>
      </c>
      <c r="B390" s="10" t="s">
        <v>4216</v>
      </c>
      <c r="C390" s="10" t="s">
        <v>5788</v>
      </c>
      <c r="D390" s="10"/>
      <c r="E390" s="10" t="s">
        <v>5227</v>
      </c>
      <c r="F390" s="10" t="s">
        <v>5227</v>
      </c>
      <c r="G390" s="10" t="s">
        <v>5225</v>
      </c>
      <c r="H390" s="10" t="s">
        <v>5227</v>
      </c>
      <c r="I390" s="48" t="s">
        <v>4501</v>
      </c>
      <c r="J390" s="10">
        <f t="shared" si="6"/>
        <v>0</v>
      </c>
    </row>
    <row r="391" spans="1:10">
      <c r="A391" s="9" t="s">
        <v>4217</v>
      </c>
      <c r="B391" s="10" t="s">
        <v>4218</v>
      </c>
      <c r="C391" s="10" t="s">
        <v>5786</v>
      </c>
      <c r="D391" s="10"/>
      <c r="E391" s="10" t="s">
        <v>5227</v>
      </c>
      <c r="F391" s="10" t="s">
        <v>5225</v>
      </c>
      <c r="G391" s="10">
        <v>1</v>
      </c>
      <c r="H391" s="10" t="s">
        <v>5225</v>
      </c>
      <c r="I391" s="48"/>
      <c r="J391" s="10">
        <f t="shared" si="6"/>
        <v>0</v>
      </c>
    </row>
    <row r="392" spans="1:10">
      <c r="A392" s="9" t="s">
        <v>4013</v>
      </c>
      <c r="B392" s="10" t="s">
        <v>4215</v>
      </c>
      <c r="C392" s="10" t="s">
        <v>5596</v>
      </c>
      <c r="D392" s="10"/>
      <c r="E392" s="10" t="s">
        <v>79</v>
      </c>
      <c r="F392" s="10" t="s">
        <v>5227</v>
      </c>
      <c r="G392" s="10">
        <v>3</v>
      </c>
      <c r="H392" s="10" t="s">
        <v>5225</v>
      </c>
      <c r="I392" s="48"/>
      <c r="J392" s="10">
        <f t="shared" si="6"/>
        <v>0</v>
      </c>
    </row>
    <row r="393" spans="1:10">
      <c r="A393" s="9" t="s">
        <v>4440</v>
      </c>
      <c r="B393" s="10" t="s">
        <v>4180</v>
      </c>
      <c r="C393" s="10" t="s">
        <v>5390</v>
      </c>
      <c r="D393" s="10"/>
      <c r="E393" s="10" t="s">
        <v>5225</v>
      </c>
      <c r="F393" s="10" t="s">
        <v>5225</v>
      </c>
      <c r="G393" s="10" t="s">
        <v>5225</v>
      </c>
      <c r="H393" s="10" t="s">
        <v>5227</v>
      </c>
      <c r="I393" s="48"/>
      <c r="J393" s="10">
        <f t="shared" si="6"/>
        <v>0</v>
      </c>
    </row>
    <row r="394" spans="1:10">
      <c r="A394" s="9" t="s">
        <v>4162</v>
      </c>
      <c r="B394" s="10" t="s">
        <v>4218</v>
      </c>
      <c r="C394" s="10" t="s">
        <v>5788</v>
      </c>
      <c r="D394" s="10"/>
      <c r="E394" s="10" t="s">
        <v>5227</v>
      </c>
      <c r="F394" s="10" t="s">
        <v>5227</v>
      </c>
      <c r="G394" s="10">
        <v>2</v>
      </c>
      <c r="H394" s="10" t="s">
        <v>5227</v>
      </c>
      <c r="I394" s="48"/>
      <c r="J394" s="10">
        <f t="shared" si="6"/>
        <v>0</v>
      </c>
    </row>
    <row r="395" spans="1:10">
      <c r="A395" s="9" t="s">
        <v>80</v>
      </c>
      <c r="B395" s="10" t="s">
        <v>16</v>
      </c>
      <c r="C395" s="10" t="s">
        <v>29</v>
      </c>
      <c r="D395" s="10"/>
      <c r="E395" s="10" t="s">
        <v>182</v>
      </c>
      <c r="F395" s="10" t="s">
        <v>182</v>
      </c>
      <c r="G395" s="10" t="s">
        <v>182</v>
      </c>
      <c r="H395" s="10" t="s">
        <v>183</v>
      </c>
      <c r="I395" s="48"/>
      <c r="J395" s="10">
        <f t="shared" si="6"/>
        <v>0</v>
      </c>
    </row>
    <row r="396" spans="1:10">
      <c r="A396" s="9" t="s">
        <v>3949</v>
      </c>
      <c r="B396" s="10" t="s">
        <v>4218</v>
      </c>
      <c r="C396" s="10" t="s">
        <v>5787</v>
      </c>
      <c r="D396" s="10"/>
      <c r="E396" s="10" t="s">
        <v>5227</v>
      </c>
      <c r="F396" s="10" t="s">
        <v>5227</v>
      </c>
      <c r="G396" s="10" t="s">
        <v>5225</v>
      </c>
      <c r="H396" s="10" t="s">
        <v>5225</v>
      </c>
      <c r="I396" s="48"/>
      <c r="J396" s="10">
        <f t="shared" si="6"/>
        <v>0</v>
      </c>
    </row>
    <row r="397" spans="1:10">
      <c r="A397" s="9" t="s">
        <v>3950</v>
      </c>
      <c r="B397" s="10" t="s">
        <v>4218</v>
      </c>
      <c r="C397" s="10" t="s">
        <v>5787</v>
      </c>
      <c r="D397" s="10"/>
      <c r="E397" s="10" t="s">
        <v>5225</v>
      </c>
      <c r="F397" s="10" t="s">
        <v>5227</v>
      </c>
      <c r="G397" s="10">
        <v>1</v>
      </c>
      <c r="H397" s="10" t="s">
        <v>5225</v>
      </c>
      <c r="I397" s="48"/>
      <c r="J397" s="10">
        <f t="shared" si="6"/>
        <v>0</v>
      </c>
    </row>
    <row r="398" spans="1:10">
      <c r="A398" s="9" t="s">
        <v>3951</v>
      </c>
      <c r="B398" s="10" t="s">
        <v>3952</v>
      </c>
      <c r="C398" s="10" t="s">
        <v>5787</v>
      </c>
      <c r="D398" s="10">
        <v>10</v>
      </c>
      <c r="E398" s="10" t="s">
        <v>5225</v>
      </c>
      <c r="F398" s="10" t="s">
        <v>5225</v>
      </c>
      <c r="G398" s="10">
        <v>3</v>
      </c>
      <c r="H398" s="10" t="s">
        <v>5225</v>
      </c>
      <c r="I398" s="48"/>
      <c r="J398" s="10">
        <f t="shared" si="6"/>
        <v>0</v>
      </c>
    </row>
    <row r="399" spans="1:10">
      <c r="A399" s="9" t="s">
        <v>4166</v>
      </c>
      <c r="B399" s="10" t="s">
        <v>4180</v>
      </c>
      <c r="C399" s="10" t="s">
        <v>5786</v>
      </c>
      <c r="D399" s="10"/>
      <c r="E399" s="10" t="s">
        <v>5227</v>
      </c>
      <c r="F399" s="10" t="s">
        <v>5227</v>
      </c>
      <c r="G399" s="10">
        <v>1</v>
      </c>
      <c r="H399" s="10" t="s">
        <v>5225</v>
      </c>
      <c r="I399" s="48"/>
      <c r="J399" s="10">
        <f t="shared" si="6"/>
        <v>0</v>
      </c>
    </row>
    <row r="400" spans="1:10">
      <c r="A400" s="9" t="s">
        <v>3953</v>
      </c>
      <c r="B400" s="10" t="s">
        <v>3952</v>
      </c>
      <c r="C400" s="10" t="s">
        <v>5786</v>
      </c>
      <c r="D400" s="10"/>
      <c r="E400" s="10" t="s">
        <v>5227</v>
      </c>
      <c r="F400" s="10" t="s">
        <v>5225</v>
      </c>
      <c r="G400" s="10" t="s">
        <v>5225</v>
      </c>
      <c r="H400" s="10" t="s">
        <v>5225</v>
      </c>
      <c r="I400" s="48"/>
      <c r="J400" s="10">
        <f t="shared" si="6"/>
        <v>0</v>
      </c>
    </row>
    <row r="401" spans="1:10">
      <c r="A401" s="9" t="s">
        <v>3981</v>
      </c>
      <c r="B401" s="10" t="s">
        <v>4549</v>
      </c>
      <c r="C401" s="10" t="s">
        <v>5349</v>
      </c>
      <c r="D401" s="10"/>
      <c r="E401" s="10" t="s">
        <v>5225</v>
      </c>
      <c r="F401" s="10" t="s">
        <v>5225</v>
      </c>
      <c r="G401" s="10" t="s">
        <v>5225</v>
      </c>
      <c r="H401" s="10" t="s">
        <v>5225</v>
      </c>
      <c r="I401" s="48" t="s">
        <v>4803</v>
      </c>
      <c r="J401" s="10" t="str">
        <f t="shared" si="6"/>
        <v>NA</v>
      </c>
    </row>
    <row r="402" spans="1:10">
      <c r="A402" s="9" t="s">
        <v>3982</v>
      </c>
      <c r="B402" s="10" t="s">
        <v>3983</v>
      </c>
      <c r="C402" s="10" t="s">
        <v>5349</v>
      </c>
      <c r="D402" s="10"/>
      <c r="E402" s="10" t="s">
        <v>5225</v>
      </c>
      <c r="F402" s="10" t="s">
        <v>5225</v>
      </c>
      <c r="G402" s="10" t="s">
        <v>5225</v>
      </c>
      <c r="H402" s="10" t="s">
        <v>5225</v>
      </c>
      <c r="I402" s="48"/>
      <c r="J402" s="10" t="str">
        <f t="shared" si="6"/>
        <v>NA</v>
      </c>
    </row>
    <row r="403" spans="1:10">
      <c r="A403" s="9" t="s">
        <v>5170</v>
      </c>
      <c r="B403" s="10" t="s">
        <v>3983</v>
      </c>
      <c r="C403" s="10" t="s">
        <v>5786</v>
      </c>
      <c r="D403" s="10">
        <v>0</v>
      </c>
      <c r="E403" s="10" t="s">
        <v>5227</v>
      </c>
      <c r="F403" s="10" t="s">
        <v>5225</v>
      </c>
      <c r="G403" s="10" t="s">
        <v>5225</v>
      </c>
      <c r="H403" s="10" t="s">
        <v>5227</v>
      </c>
      <c r="I403" s="48"/>
      <c r="J403" s="10">
        <f t="shared" si="6"/>
        <v>0</v>
      </c>
    </row>
    <row r="404" spans="1:10">
      <c r="A404" s="9" t="s">
        <v>4171</v>
      </c>
      <c r="B404" s="10" t="s">
        <v>4172</v>
      </c>
      <c r="C404" s="10" t="s">
        <v>5390</v>
      </c>
      <c r="D404" s="10"/>
      <c r="E404" s="10" t="s">
        <v>5227</v>
      </c>
      <c r="F404" s="10" t="s">
        <v>5225</v>
      </c>
      <c r="G404" s="10">
        <v>4</v>
      </c>
      <c r="H404" s="10" t="s">
        <v>5227</v>
      </c>
      <c r="I404" s="48"/>
      <c r="J404" s="10">
        <f t="shared" si="6"/>
        <v>0</v>
      </c>
    </row>
    <row r="405" spans="1:10">
      <c r="A405" s="9" t="s">
        <v>3984</v>
      </c>
      <c r="B405" s="10" t="s">
        <v>4044</v>
      </c>
      <c r="C405" s="10" t="s">
        <v>5787</v>
      </c>
      <c r="D405" s="10"/>
      <c r="E405" s="10" t="s">
        <v>5227</v>
      </c>
      <c r="F405" s="10" t="s">
        <v>5227</v>
      </c>
      <c r="G405" s="10">
        <v>2</v>
      </c>
      <c r="H405" s="10" t="s">
        <v>5225</v>
      </c>
      <c r="I405" s="48" t="s">
        <v>4634</v>
      </c>
      <c r="J405" s="10">
        <f t="shared" si="6"/>
        <v>0</v>
      </c>
    </row>
    <row r="406" spans="1:10">
      <c r="A406" s="9" t="s">
        <v>4228</v>
      </c>
      <c r="B406" s="10" t="s">
        <v>3983</v>
      </c>
      <c r="C406" s="10" t="s">
        <v>5786</v>
      </c>
      <c r="D406" s="10"/>
      <c r="E406" s="10" t="s">
        <v>5225</v>
      </c>
      <c r="F406" s="10" t="s">
        <v>5225</v>
      </c>
      <c r="G406" s="10" t="s">
        <v>4743</v>
      </c>
      <c r="H406" s="10" t="s">
        <v>5225</v>
      </c>
      <c r="I406" s="48"/>
      <c r="J406" s="10">
        <f t="shared" si="6"/>
        <v>0</v>
      </c>
    </row>
    <row r="407" spans="1:10">
      <c r="A407" s="9" t="s">
        <v>4339</v>
      </c>
      <c r="B407" s="10" t="s">
        <v>3983</v>
      </c>
      <c r="C407" s="10" t="s">
        <v>5787</v>
      </c>
      <c r="D407" s="10">
        <v>5</v>
      </c>
      <c r="E407" s="10" t="s">
        <v>5227</v>
      </c>
      <c r="F407" s="10" t="s">
        <v>5225</v>
      </c>
      <c r="G407" s="10">
        <v>1</v>
      </c>
      <c r="H407" s="10" t="s">
        <v>5225</v>
      </c>
      <c r="I407" s="48"/>
      <c r="J407" s="10">
        <f t="shared" si="6"/>
        <v>0</v>
      </c>
    </row>
    <row r="408" spans="1:10">
      <c r="A408" s="9" t="s">
        <v>4784</v>
      </c>
      <c r="B408" s="10" t="s">
        <v>3983</v>
      </c>
      <c r="C408" s="10" t="s">
        <v>5786</v>
      </c>
      <c r="D408" s="10"/>
      <c r="E408" s="10" t="s">
        <v>5227</v>
      </c>
      <c r="F408" s="10" t="s">
        <v>5225</v>
      </c>
      <c r="G408" s="10">
        <v>1</v>
      </c>
      <c r="H408" s="10" t="s">
        <v>5225</v>
      </c>
      <c r="I408" s="48"/>
      <c r="J408" s="10">
        <f t="shared" si="6"/>
        <v>0</v>
      </c>
    </row>
    <row r="409" spans="1:10">
      <c r="A409" s="9" t="s">
        <v>4606</v>
      </c>
      <c r="B409" s="10" t="s">
        <v>3985</v>
      </c>
      <c r="C409" s="10" t="s">
        <v>5787</v>
      </c>
      <c r="D409" s="10">
        <v>0</v>
      </c>
      <c r="E409" s="10" t="s">
        <v>5227</v>
      </c>
      <c r="F409" s="10" t="s">
        <v>5225</v>
      </c>
      <c r="G409" s="10">
        <v>1</v>
      </c>
      <c r="H409" s="10" t="s">
        <v>5225</v>
      </c>
      <c r="I409" s="48"/>
      <c r="J409" s="10">
        <f t="shared" si="6"/>
        <v>0</v>
      </c>
    </row>
    <row r="410" spans="1:10">
      <c r="A410" s="9" t="s">
        <v>4451</v>
      </c>
      <c r="B410" s="10" t="s">
        <v>3985</v>
      </c>
      <c r="C410" s="10" t="s">
        <v>5786</v>
      </c>
      <c r="D410" s="10"/>
      <c r="E410" s="10" t="s">
        <v>5225</v>
      </c>
      <c r="F410" s="10" t="s">
        <v>5225</v>
      </c>
      <c r="G410" s="10" t="s">
        <v>5225</v>
      </c>
      <c r="H410" s="10" t="s">
        <v>5225</v>
      </c>
      <c r="I410" s="48"/>
      <c r="J410" s="10">
        <f t="shared" si="6"/>
        <v>0</v>
      </c>
    </row>
    <row r="411" spans="1:10">
      <c r="A411" s="9" t="s">
        <v>3986</v>
      </c>
      <c r="B411" s="10" t="s">
        <v>3987</v>
      </c>
      <c r="C411" s="10" t="s">
        <v>5349</v>
      </c>
      <c r="D411" s="10"/>
      <c r="E411" s="10" t="s">
        <v>5225</v>
      </c>
      <c r="F411" s="10" t="s">
        <v>5227</v>
      </c>
      <c r="G411" s="10">
        <v>4</v>
      </c>
      <c r="H411" s="10" t="s">
        <v>5225</v>
      </c>
      <c r="I411" s="48"/>
      <c r="J411" s="10" t="str">
        <f t="shared" si="6"/>
        <v>NA</v>
      </c>
    </row>
    <row r="412" spans="1:10">
      <c r="A412" s="9" t="s">
        <v>3988</v>
      </c>
      <c r="B412" s="10" t="s">
        <v>3985</v>
      </c>
      <c r="C412" s="10" t="s">
        <v>5786</v>
      </c>
      <c r="D412" s="10"/>
      <c r="E412" s="10" t="s">
        <v>5225</v>
      </c>
      <c r="F412" s="10" t="s">
        <v>5225</v>
      </c>
      <c r="G412" s="10">
        <v>1</v>
      </c>
      <c r="H412" s="10" t="s">
        <v>5225</v>
      </c>
      <c r="I412" s="48"/>
      <c r="J412" s="10">
        <f t="shared" si="6"/>
        <v>0</v>
      </c>
    </row>
    <row r="413" spans="1:10">
      <c r="A413" s="9" t="s">
        <v>4765</v>
      </c>
      <c r="B413" s="10" t="s">
        <v>3985</v>
      </c>
      <c r="C413" s="10" t="s">
        <v>5349</v>
      </c>
      <c r="D413" s="10"/>
      <c r="E413" s="10" t="s">
        <v>5225</v>
      </c>
      <c r="F413" s="10" t="s">
        <v>5225</v>
      </c>
      <c r="G413" s="10">
        <v>1</v>
      </c>
      <c r="H413" s="10" t="s">
        <v>5227</v>
      </c>
      <c r="I413" s="48"/>
      <c r="J413" s="10" t="str">
        <f t="shared" si="6"/>
        <v>NA</v>
      </c>
    </row>
    <row r="414" spans="1:10">
      <c r="A414" s="9" t="s">
        <v>81</v>
      </c>
      <c r="B414" s="10" t="s">
        <v>175</v>
      </c>
      <c r="C414" s="10" t="s">
        <v>29</v>
      </c>
      <c r="D414" s="10"/>
      <c r="E414" s="10" t="s">
        <v>182</v>
      </c>
      <c r="F414" s="10" t="s">
        <v>182</v>
      </c>
      <c r="G414" s="10" t="s">
        <v>182</v>
      </c>
      <c r="H414" s="10" t="s">
        <v>183</v>
      </c>
      <c r="I414" s="48"/>
      <c r="J414" s="10">
        <f t="shared" si="6"/>
        <v>0</v>
      </c>
    </row>
    <row r="415" spans="1:10">
      <c r="A415" s="9" t="s">
        <v>4236</v>
      </c>
      <c r="B415" s="10" t="s">
        <v>3985</v>
      </c>
      <c r="C415" s="10" t="s">
        <v>5787</v>
      </c>
      <c r="D415" s="10"/>
      <c r="E415" s="10" t="s">
        <v>5225</v>
      </c>
      <c r="F415" s="10" t="s">
        <v>5225</v>
      </c>
      <c r="G415" s="10" t="s">
        <v>5225</v>
      </c>
      <c r="H415" s="10" t="s">
        <v>5225</v>
      </c>
      <c r="I415" s="48"/>
      <c r="J415" s="10">
        <f t="shared" si="6"/>
        <v>0</v>
      </c>
    </row>
    <row r="416" spans="1:10">
      <c r="A416" s="9" t="s">
        <v>4366</v>
      </c>
      <c r="B416" s="10" t="s">
        <v>3985</v>
      </c>
      <c r="C416" s="10" t="s">
        <v>5788</v>
      </c>
      <c r="D416" s="10"/>
      <c r="E416" s="10" t="s">
        <v>5227</v>
      </c>
      <c r="F416" s="10" t="s">
        <v>5225</v>
      </c>
      <c r="G416" s="10">
        <v>1</v>
      </c>
      <c r="H416" s="10" t="s">
        <v>5225</v>
      </c>
      <c r="I416" s="48"/>
      <c r="J416" s="10">
        <f t="shared" si="6"/>
        <v>0</v>
      </c>
    </row>
    <row r="417" spans="1:11">
      <c r="A417" s="9" t="s">
        <v>4450</v>
      </c>
      <c r="B417" s="10" t="s">
        <v>4044</v>
      </c>
      <c r="C417" s="10" t="s">
        <v>5786</v>
      </c>
      <c r="D417" s="10"/>
      <c r="E417" s="10" t="s">
        <v>5225</v>
      </c>
      <c r="F417" s="10" t="s">
        <v>5225</v>
      </c>
      <c r="G417" s="10" t="s">
        <v>5225</v>
      </c>
      <c r="H417" s="10" t="s">
        <v>5227</v>
      </c>
      <c r="I417" s="48" t="s">
        <v>4526</v>
      </c>
      <c r="J417" s="10">
        <f t="shared" si="6"/>
        <v>0</v>
      </c>
    </row>
    <row r="418" spans="1:11">
      <c r="A418" s="9" t="s">
        <v>3989</v>
      </c>
      <c r="B418" s="10" t="s">
        <v>3952</v>
      </c>
      <c r="C418" s="10" t="s">
        <v>5597</v>
      </c>
      <c r="D418" s="10"/>
      <c r="E418" s="10" t="s">
        <v>5227</v>
      </c>
      <c r="F418" s="10" t="s">
        <v>5225</v>
      </c>
      <c r="G418" s="10">
        <v>2</v>
      </c>
      <c r="H418" s="10" t="s">
        <v>5225</v>
      </c>
      <c r="I418" s="48"/>
      <c r="J418" s="10">
        <f t="shared" si="6"/>
        <v>0</v>
      </c>
    </row>
    <row r="419" spans="1:11">
      <c r="A419" s="9" t="s">
        <v>3990</v>
      </c>
      <c r="B419" s="10" t="s">
        <v>3985</v>
      </c>
      <c r="C419" s="10" t="s">
        <v>5788</v>
      </c>
      <c r="D419" s="10"/>
      <c r="E419" s="10" t="s">
        <v>5227</v>
      </c>
      <c r="F419" s="10" t="s">
        <v>5225</v>
      </c>
      <c r="G419" s="10">
        <v>1</v>
      </c>
      <c r="H419" s="10" t="s">
        <v>5225</v>
      </c>
      <c r="I419" s="48"/>
      <c r="J419" s="10">
        <f t="shared" si="6"/>
        <v>0</v>
      </c>
    </row>
    <row r="420" spans="1:11">
      <c r="A420" s="9" t="s">
        <v>4431</v>
      </c>
      <c r="B420" s="10" t="s">
        <v>4044</v>
      </c>
      <c r="C420" s="10" t="s">
        <v>5786</v>
      </c>
      <c r="D420" s="10"/>
      <c r="E420" s="10" t="s">
        <v>5227</v>
      </c>
      <c r="F420" s="10" t="s">
        <v>5227</v>
      </c>
      <c r="G420" s="10" t="s">
        <v>5225</v>
      </c>
      <c r="H420" s="10" t="s">
        <v>5225</v>
      </c>
      <c r="I420" s="48" t="s">
        <v>5032</v>
      </c>
      <c r="J420" s="10">
        <f t="shared" si="6"/>
        <v>0</v>
      </c>
    </row>
    <row r="421" spans="1:11">
      <c r="A421" s="9" t="s">
        <v>3991</v>
      </c>
      <c r="B421" s="10" t="s">
        <v>73</v>
      </c>
      <c r="C421" s="10" t="s">
        <v>5787</v>
      </c>
      <c r="D421" s="10"/>
      <c r="E421" s="10" t="s">
        <v>5227</v>
      </c>
      <c r="F421" s="10" t="s">
        <v>5225</v>
      </c>
      <c r="G421" s="10">
        <v>2</v>
      </c>
      <c r="H421" s="10" t="s">
        <v>5225</v>
      </c>
      <c r="I421" s="48"/>
      <c r="J421" s="10">
        <f t="shared" si="6"/>
        <v>0</v>
      </c>
    </row>
    <row r="422" spans="1:11">
      <c r="A422" s="9" t="s">
        <v>4455</v>
      </c>
      <c r="B422" s="10" t="s">
        <v>220</v>
      </c>
      <c r="C422" s="10" t="s">
        <v>5786</v>
      </c>
      <c r="D422" s="10"/>
      <c r="E422" s="10" t="s">
        <v>5227</v>
      </c>
      <c r="F422" s="10" t="s">
        <v>5227</v>
      </c>
      <c r="G422" s="10" t="s">
        <v>5225</v>
      </c>
      <c r="H422" s="10" t="s">
        <v>5227</v>
      </c>
      <c r="I422" s="48"/>
      <c r="J422" s="10">
        <f t="shared" si="6"/>
        <v>0</v>
      </c>
    </row>
    <row r="423" spans="1:11">
      <c r="A423" s="9" t="s">
        <v>3992</v>
      </c>
      <c r="B423" s="10" t="s">
        <v>3952</v>
      </c>
      <c r="C423" s="10" t="s">
        <v>5786</v>
      </c>
      <c r="D423" s="10"/>
      <c r="E423" s="10" t="s">
        <v>5227</v>
      </c>
      <c r="F423" s="10" t="s">
        <v>5225</v>
      </c>
      <c r="G423" s="10">
        <v>2</v>
      </c>
      <c r="H423" s="10" t="s">
        <v>5225</v>
      </c>
      <c r="I423" s="48"/>
      <c r="J423" s="10">
        <f t="shared" si="6"/>
        <v>0</v>
      </c>
    </row>
    <row r="424" spans="1:11">
      <c r="A424" s="9" t="s">
        <v>3993</v>
      </c>
      <c r="B424" s="10" t="s">
        <v>3994</v>
      </c>
      <c r="C424" s="10" t="s">
        <v>5786</v>
      </c>
      <c r="D424" s="10"/>
      <c r="E424" s="10" t="s">
        <v>5227</v>
      </c>
      <c r="F424" s="10" t="s">
        <v>5225</v>
      </c>
      <c r="G424" s="10">
        <v>2</v>
      </c>
      <c r="H424" s="10" t="s">
        <v>5225</v>
      </c>
      <c r="I424" s="48"/>
      <c r="J424" s="10">
        <f t="shared" si="6"/>
        <v>0</v>
      </c>
    </row>
    <row r="425" spans="1:11">
      <c r="A425" s="9" t="s">
        <v>82</v>
      </c>
      <c r="B425" s="10" t="s">
        <v>221</v>
      </c>
      <c r="C425" s="10" t="s">
        <v>252</v>
      </c>
      <c r="D425" s="10"/>
      <c r="E425" s="10" t="s">
        <v>183</v>
      </c>
      <c r="F425" s="10" t="s">
        <v>182</v>
      </c>
      <c r="G425" s="10">
        <v>1</v>
      </c>
      <c r="H425" s="10" t="s">
        <v>182</v>
      </c>
      <c r="I425" s="48"/>
      <c r="J425" s="10">
        <f t="shared" si="6"/>
        <v>0</v>
      </c>
    </row>
    <row r="426" spans="1:11">
      <c r="A426" s="9" t="s">
        <v>190</v>
      </c>
      <c r="B426" s="10" t="s">
        <v>222</v>
      </c>
      <c r="C426" s="10" t="s">
        <v>252</v>
      </c>
      <c r="D426" s="10"/>
      <c r="E426" s="10" t="s">
        <v>183</v>
      </c>
      <c r="F426" s="10" t="s">
        <v>183</v>
      </c>
      <c r="G426" s="10">
        <v>0</v>
      </c>
      <c r="H426" s="10" t="s">
        <v>182</v>
      </c>
      <c r="I426" s="48"/>
      <c r="J426" s="10">
        <f t="shared" si="6"/>
        <v>0</v>
      </c>
    </row>
    <row r="427" spans="1:11">
      <c r="A427" s="9" t="s">
        <v>4459</v>
      </c>
      <c r="B427" s="10" t="s">
        <v>3985</v>
      </c>
      <c r="C427" s="10" t="s">
        <v>5596</v>
      </c>
      <c r="D427" s="10"/>
      <c r="E427" s="10" t="s">
        <v>5225</v>
      </c>
      <c r="F427" s="10" t="s">
        <v>5225</v>
      </c>
      <c r="G427" s="10" t="s">
        <v>5225</v>
      </c>
      <c r="H427" s="10" t="s">
        <v>5227</v>
      </c>
      <c r="I427" s="48"/>
      <c r="J427" s="10">
        <f t="shared" si="6"/>
        <v>0</v>
      </c>
    </row>
    <row r="428" spans="1:11">
      <c r="A428" s="9" t="s">
        <v>4465</v>
      </c>
      <c r="B428" s="10" t="s">
        <v>4458</v>
      </c>
      <c r="C428" s="10" t="s">
        <v>133</v>
      </c>
      <c r="D428" s="10">
        <v>0</v>
      </c>
      <c r="E428" s="69" t="s">
        <v>182</v>
      </c>
      <c r="F428" s="10" t="s">
        <v>5227</v>
      </c>
      <c r="G428" s="10" t="s">
        <v>5225</v>
      </c>
      <c r="H428" s="10" t="s">
        <v>5227</v>
      </c>
      <c r="I428" s="48"/>
      <c r="J428" s="10">
        <f t="shared" si="6"/>
        <v>0</v>
      </c>
    </row>
    <row r="429" spans="1:11">
      <c r="A429" s="9" t="s">
        <v>4467</v>
      </c>
      <c r="B429" s="10" t="s">
        <v>4458</v>
      </c>
      <c r="C429" s="10" t="s">
        <v>5390</v>
      </c>
      <c r="D429" s="10">
        <v>0</v>
      </c>
      <c r="E429" s="10" t="s">
        <v>5225</v>
      </c>
      <c r="F429" s="10" t="s">
        <v>5225</v>
      </c>
      <c r="G429" s="10">
        <v>1</v>
      </c>
      <c r="H429" s="10" t="s">
        <v>5227</v>
      </c>
      <c r="I429" s="48"/>
      <c r="J429" s="10">
        <f t="shared" si="6"/>
        <v>0</v>
      </c>
      <c r="K429" s="230"/>
    </row>
    <row r="430" spans="1:11">
      <c r="A430" s="9" t="s">
        <v>191</v>
      </c>
      <c r="B430" s="10" t="s">
        <v>222</v>
      </c>
      <c r="C430" s="10" t="s">
        <v>133</v>
      </c>
      <c r="D430" s="10"/>
      <c r="E430" s="10" t="s">
        <v>183</v>
      </c>
      <c r="F430" s="10" t="s">
        <v>182</v>
      </c>
      <c r="G430" s="10" t="s">
        <v>192</v>
      </c>
      <c r="H430" s="10" t="s">
        <v>183</v>
      </c>
      <c r="I430" s="48"/>
      <c r="J430" s="10">
        <f t="shared" si="6"/>
        <v>0</v>
      </c>
    </row>
    <row r="431" spans="1:11">
      <c r="A431" s="9" t="s">
        <v>3823</v>
      </c>
      <c r="B431" s="10" t="s">
        <v>3824</v>
      </c>
      <c r="C431" s="10" t="s">
        <v>5390</v>
      </c>
      <c r="D431" s="10">
        <v>0</v>
      </c>
      <c r="E431" s="10" t="s">
        <v>5227</v>
      </c>
      <c r="F431" s="10" t="s">
        <v>5225</v>
      </c>
      <c r="G431" s="10">
        <v>1</v>
      </c>
      <c r="H431" s="10" t="s">
        <v>5225</v>
      </c>
      <c r="I431" s="48"/>
      <c r="J431" s="10">
        <f t="shared" si="6"/>
        <v>0</v>
      </c>
    </row>
    <row r="432" spans="1:11">
      <c r="A432" s="9" t="s">
        <v>4347</v>
      </c>
      <c r="B432" s="10" t="s">
        <v>73</v>
      </c>
      <c r="C432" s="10" t="s">
        <v>5786</v>
      </c>
      <c r="D432" s="10"/>
      <c r="E432" s="10" t="s">
        <v>5227</v>
      </c>
      <c r="F432" s="10" t="s">
        <v>5225</v>
      </c>
      <c r="G432" s="10" t="s">
        <v>5225</v>
      </c>
      <c r="H432" s="10" t="s">
        <v>5227</v>
      </c>
      <c r="I432" s="48"/>
      <c r="J432" s="10">
        <f t="shared" si="6"/>
        <v>0</v>
      </c>
    </row>
    <row r="433" spans="1:10">
      <c r="A433" s="9" t="s">
        <v>193</v>
      </c>
      <c r="B433" s="10" t="s">
        <v>222</v>
      </c>
      <c r="C433" s="10" t="s">
        <v>29</v>
      </c>
      <c r="D433" s="10"/>
      <c r="E433" s="10" t="s">
        <v>182</v>
      </c>
      <c r="F433" s="10" t="s">
        <v>182</v>
      </c>
      <c r="G433" s="10">
        <v>1</v>
      </c>
      <c r="H433" s="10" t="s">
        <v>182</v>
      </c>
      <c r="I433" s="48"/>
      <c r="J433" s="10">
        <f t="shared" si="6"/>
        <v>0</v>
      </c>
    </row>
    <row r="434" spans="1:10">
      <c r="A434" s="9" t="s">
        <v>4306</v>
      </c>
      <c r="B434" s="10" t="s">
        <v>4044</v>
      </c>
      <c r="C434" s="10" t="s">
        <v>5390</v>
      </c>
      <c r="D434" s="10"/>
      <c r="E434" s="10" t="s">
        <v>5227</v>
      </c>
      <c r="F434" s="10" t="s">
        <v>5225</v>
      </c>
      <c r="G434" s="10">
        <v>1</v>
      </c>
      <c r="H434" s="10" t="s">
        <v>5225</v>
      </c>
      <c r="I434" s="48"/>
      <c r="J434" s="10">
        <f t="shared" si="6"/>
        <v>0</v>
      </c>
    </row>
    <row r="435" spans="1:10">
      <c r="A435" s="9" t="s">
        <v>3825</v>
      </c>
      <c r="B435" s="10" t="s">
        <v>3987</v>
      </c>
      <c r="C435" s="10" t="s">
        <v>5788</v>
      </c>
      <c r="D435" s="10"/>
      <c r="E435" s="10" t="s">
        <v>5225</v>
      </c>
      <c r="F435" s="10" t="s">
        <v>5227</v>
      </c>
      <c r="G435" s="10">
        <v>3</v>
      </c>
      <c r="H435" s="10" t="s">
        <v>5225</v>
      </c>
      <c r="I435" s="48"/>
      <c r="J435" s="10">
        <f t="shared" si="6"/>
        <v>0</v>
      </c>
    </row>
    <row r="436" spans="1:10">
      <c r="A436" s="9" t="s">
        <v>5613</v>
      </c>
      <c r="B436" s="10" t="s">
        <v>3818</v>
      </c>
      <c r="C436" s="10" t="s">
        <v>5786</v>
      </c>
      <c r="D436" s="10"/>
      <c r="E436" s="10" t="s">
        <v>5227</v>
      </c>
      <c r="F436" s="10" t="s">
        <v>5227</v>
      </c>
      <c r="G436" s="10">
        <v>3</v>
      </c>
      <c r="H436" s="10" t="s">
        <v>5225</v>
      </c>
      <c r="I436" s="48"/>
      <c r="J436" s="10">
        <f t="shared" si="6"/>
        <v>0</v>
      </c>
    </row>
    <row r="437" spans="1:10">
      <c r="A437" s="9" t="s">
        <v>4897</v>
      </c>
      <c r="B437" s="10" t="s">
        <v>3994</v>
      </c>
      <c r="C437" s="10" t="s">
        <v>5788</v>
      </c>
      <c r="D437" s="10"/>
      <c r="E437" s="10" t="s">
        <v>5227</v>
      </c>
      <c r="F437" s="10" t="s">
        <v>5227</v>
      </c>
      <c r="G437" s="10" t="s">
        <v>5225</v>
      </c>
      <c r="H437" s="10" t="s">
        <v>5227</v>
      </c>
      <c r="I437" s="48"/>
      <c r="J437" s="10">
        <f t="shared" si="6"/>
        <v>0</v>
      </c>
    </row>
    <row r="438" spans="1:10">
      <c r="A438" s="9" t="s">
        <v>3826</v>
      </c>
      <c r="B438" s="10" t="s">
        <v>3827</v>
      </c>
      <c r="C438" s="10" t="s">
        <v>5788</v>
      </c>
      <c r="D438" s="10"/>
      <c r="E438" s="10" t="s">
        <v>5227</v>
      </c>
      <c r="F438" s="10" t="s">
        <v>5225</v>
      </c>
      <c r="G438" s="10">
        <v>1</v>
      </c>
      <c r="H438" s="10" t="s">
        <v>5225</v>
      </c>
      <c r="I438" s="48" t="s">
        <v>4634</v>
      </c>
      <c r="J438" s="10">
        <f t="shared" si="6"/>
        <v>0</v>
      </c>
    </row>
    <row r="439" spans="1:10">
      <c r="A439" s="9" t="s">
        <v>4960</v>
      </c>
      <c r="B439" s="10" t="s">
        <v>4458</v>
      </c>
      <c r="C439" s="10" t="s">
        <v>5788</v>
      </c>
      <c r="D439" s="10"/>
      <c r="E439" s="10" t="s">
        <v>5227</v>
      </c>
      <c r="F439" s="10" t="s">
        <v>5225</v>
      </c>
      <c r="G439" s="10" t="s">
        <v>5225</v>
      </c>
      <c r="H439" s="10" t="s">
        <v>5227</v>
      </c>
      <c r="I439" s="48"/>
      <c r="J439" s="10">
        <f t="shared" si="6"/>
        <v>0</v>
      </c>
    </row>
    <row r="440" spans="1:10">
      <c r="A440" s="9" t="s">
        <v>3828</v>
      </c>
      <c r="B440" s="10" t="s">
        <v>4364</v>
      </c>
      <c r="C440" s="10" t="s">
        <v>5787</v>
      </c>
      <c r="D440" s="10">
        <v>2</v>
      </c>
      <c r="E440" s="10" t="s">
        <v>5227</v>
      </c>
      <c r="F440" s="10" t="s">
        <v>5225</v>
      </c>
      <c r="G440" s="10">
        <v>2</v>
      </c>
      <c r="H440" s="10" t="s">
        <v>5225</v>
      </c>
      <c r="I440" s="48" t="s">
        <v>4365</v>
      </c>
      <c r="J440" s="10">
        <f t="shared" si="6"/>
        <v>0</v>
      </c>
    </row>
    <row r="441" spans="1:10">
      <c r="A441" s="9" t="s">
        <v>3829</v>
      </c>
      <c r="B441" s="10" t="s">
        <v>4458</v>
      </c>
      <c r="C441" s="10" t="s">
        <v>5787</v>
      </c>
      <c r="D441" s="10"/>
      <c r="E441" s="10" t="s">
        <v>5227</v>
      </c>
      <c r="F441" s="10" t="s">
        <v>5225</v>
      </c>
      <c r="G441" s="10" t="s">
        <v>5225</v>
      </c>
      <c r="H441" s="10" t="s">
        <v>5225</v>
      </c>
      <c r="I441" s="48"/>
      <c r="J441" s="10">
        <f t="shared" si="6"/>
        <v>0</v>
      </c>
    </row>
    <row r="442" spans="1:10">
      <c r="A442" s="9" t="s">
        <v>3637</v>
      </c>
      <c r="B442" s="10" t="s">
        <v>4458</v>
      </c>
      <c r="C442" s="10" t="s">
        <v>5787</v>
      </c>
      <c r="D442" s="10"/>
      <c r="E442" s="10" t="s">
        <v>5227</v>
      </c>
      <c r="F442" s="10" t="s">
        <v>5225</v>
      </c>
      <c r="G442" s="10" t="s">
        <v>5225</v>
      </c>
      <c r="H442" s="10" t="s">
        <v>5225</v>
      </c>
      <c r="I442" s="48"/>
      <c r="J442" s="10">
        <f t="shared" si="6"/>
        <v>0</v>
      </c>
    </row>
    <row r="443" spans="1:10">
      <c r="A443" s="9" t="s">
        <v>3638</v>
      </c>
      <c r="B443" s="10" t="s">
        <v>4458</v>
      </c>
      <c r="C443" s="10" t="s">
        <v>5787</v>
      </c>
      <c r="D443" s="10"/>
      <c r="E443" s="10" t="s">
        <v>5227</v>
      </c>
      <c r="F443" s="10" t="s">
        <v>5225</v>
      </c>
      <c r="G443" s="10">
        <v>1</v>
      </c>
      <c r="H443" s="10" t="s">
        <v>5225</v>
      </c>
      <c r="I443" s="48"/>
      <c r="J443" s="10">
        <f t="shared" si="6"/>
        <v>0</v>
      </c>
    </row>
    <row r="444" spans="1:10">
      <c r="A444" s="9" t="s">
        <v>194</v>
      </c>
      <c r="B444" s="10" t="s">
        <v>223</v>
      </c>
      <c r="C444" s="10" t="s">
        <v>252</v>
      </c>
      <c r="D444" s="10"/>
      <c r="E444" s="10" t="s">
        <v>182</v>
      </c>
      <c r="F444" s="10" t="s">
        <v>182</v>
      </c>
      <c r="G444" s="10">
        <v>1</v>
      </c>
      <c r="H444" s="10" t="s">
        <v>182</v>
      </c>
      <c r="I444" s="48"/>
      <c r="J444" s="10">
        <f t="shared" si="6"/>
        <v>0</v>
      </c>
    </row>
    <row r="445" spans="1:10">
      <c r="A445" s="9" t="s">
        <v>3639</v>
      </c>
      <c r="B445" s="10" t="s">
        <v>3994</v>
      </c>
      <c r="C445" s="10" t="s">
        <v>5786</v>
      </c>
      <c r="D445" s="10"/>
      <c r="E445" s="10" t="s">
        <v>5227</v>
      </c>
      <c r="F445" s="10" t="s">
        <v>5225</v>
      </c>
      <c r="G445" s="10">
        <v>1</v>
      </c>
      <c r="H445" s="10" t="s">
        <v>5225</v>
      </c>
      <c r="I445" s="48"/>
      <c r="J445" s="10">
        <f t="shared" si="6"/>
        <v>0</v>
      </c>
    </row>
    <row r="446" spans="1:10">
      <c r="A446" s="9" t="s">
        <v>3640</v>
      </c>
      <c r="B446" s="10" t="s">
        <v>3994</v>
      </c>
      <c r="C446" s="10" t="s">
        <v>5786</v>
      </c>
      <c r="D446" s="10"/>
      <c r="E446" s="10" t="s">
        <v>5225</v>
      </c>
      <c r="F446" s="10" t="s">
        <v>5225</v>
      </c>
      <c r="G446" s="10" t="s">
        <v>5225</v>
      </c>
      <c r="H446" s="10" t="s">
        <v>5225</v>
      </c>
      <c r="I446" s="48"/>
      <c r="J446" s="10">
        <f t="shared" si="6"/>
        <v>0</v>
      </c>
    </row>
    <row r="447" spans="1:10">
      <c r="A447" s="9" t="s">
        <v>3641</v>
      </c>
      <c r="B447" s="10" t="s">
        <v>4458</v>
      </c>
      <c r="C447" s="10" t="s">
        <v>5786</v>
      </c>
      <c r="D447" s="10">
        <v>0</v>
      </c>
      <c r="E447" s="10" t="s">
        <v>5227</v>
      </c>
      <c r="F447" s="10" t="s">
        <v>5225</v>
      </c>
      <c r="G447" s="10" t="s">
        <v>5225</v>
      </c>
      <c r="H447" s="10" t="s">
        <v>5225</v>
      </c>
      <c r="I447" s="48"/>
      <c r="J447" s="10">
        <f t="shared" si="6"/>
        <v>0</v>
      </c>
    </row>
    <row r="448" spans="1:10">
      <c r="A448" s="9" t="s">
        <v>4956</v>
      </c>
      <c r="B448" s="10" t="s">
        <v>3642</v>
      </c>
      <c r="C448" s="10" t="s">
        <v>5390</v>
      </c>
      <c r="D448" s="10">
        <v>0</v>
      </c>
      <c r="E448" s="10" t="s">
        <v>5227</v>
      </c>
      <c r="F448" s="10" t="s">
        <v>5225</v>
      </c>
      <c r="G448" s="10" t="s">
        <v>5225</v>
      </c>
      <c r="H448" s="10" t="s">
        <v>5227</v>
      </c>
      <c r="I448" s="48"/>
      <c r="J448" s="10">
        <f t="shared" si="6"/>
        <v>0</v>
      </c>
    </row>
    <row r="449" spans="1:10">
      <c r="A449" s="9" t="s">
        <v>3643</v>
      </c>
      <c r="B449" s="10" t="s">
        <v>3644</v>
      </c>
      <c r="C449" s="10" t="s">
        <v>5596</v>
      </c>
      <c r="D449" s="10"/>
      <c r="E449" s="10" t="s">
        <v>5225</v>
      </c>
      <c r="F449" s="10" t="s">
        <v>5225</v>
      </c>
      <c r="G449" s="10">
        <v>1</v>
      </c>
      <c r="H449" s="10" t="s">
        <v>5225</v>
      </c>
      <c r="I449" s="48"/>
      <c r="J449" s="10">
        <f t="shared" si="6"/>
        <v>0</v>
      </c>
    </row>
    <row r="450" spans="1:10">
      <c r="A450" s="9" t="s">
        <v>3645</v>
      </c>
      <c r="B450" s="10" t="s">
        <v>3642</v>
      </c>
      <c r="C450" s="10" t="s">
        <v>5349</v>
      </c>
      <c r="D450" s="10"/>
      <c r="E450" s="10" t="s">
        <v>5225</v>
      </c>
      <c r="F450" s="10" t="s">
        <v>5225</v>
      </c>
      <c r="G450" s="10">
        <v>1</v>
      </c>
      <c r="H450" s="10" t="s">
        <v>5225</v>
      </c>
      <c r="I450" s="48" t="s">
        <v>195</v>
      </c>
      <c r="J450" s="10" t="str">
        <f t="shared" si="6"/>
        <v>NA</v>
      </c>
    </row>
    <row r="451" spans="1:10">
      <c r="A451" s="9" t="s">
        <v>3646</v>
      </c>
      <c r="B451" s="10" t="s">
        <v>3827</v>
      </c>
      <c r="C451" s="10" t="s">
        <v>5787</v>
      </c>
      <c r="D451" s="10"/>
      <c r="E451" s="10" t="s">
        <v>5227</v>
      </c>
      <c r="F451" s="10" t="s">
        <v>5225</v>
      </c>
      <c r="G451" s="10">
        <v>1</v>
      </c>
      <c r="H451" s="10" t="s">
        <v>5225</v>
      </c>
      <c r="I451" s="48" t="s">
        <v>4662</v>
      </c>
      <c r="J451" s="10">
        <f t="shared" si="6"/>
        <v>0</v>
      </c>
    </row>
    <row r="452" spans="1:10">
      <c r="A452" s="9" t="s">
        <v>3647</v>
      </c>
      <c r="B452" s="10" t="s">
        <v>3644</v>
      </c>
      <c r="C452" s="10" t="s">
        <v>5786</v>
      </c>
      <c r="D452" s="10"/>
      <c r="E452" s="10" t="s">
        <v>5225</v>
      </c>
      <c r="F452" s="10" t="s">
        <v>5225</v>
      </c>
      <c r="G452" s="10">
        <v>1</v>
      </c>
      <c r="H452" s="10" t="s">
        <v>5225</v>
      </c>
      <c r="I452" s="48"/>
      <c r="J452" s="10">
        <f t="shared" ref="J452:J496" si="7">IF(C452="Rank","NA",0)</f>
        <v>0</v>
      </c>
    </row>
    <row r="453" spans="1:10">
      <c r="A453" s="9" t="s">
        <v>5230</v>
      </c>
      <c r="B453" s="10" t="s">
        <v>3642</v>
      </c>
      <c r="C453" s="10" t="s">
        <v>5786</v>
      </c>
      <c r="D453" s="10"/>
      <c r="E453" s="10" t="s">
        <v>5227</v>
      </c>
      <c r="F453" s="10" t="s">
        <v>5225</v>
      </c>
      <c r="G453" s="10">
        <v>1</v>
      </c>
      <c r="H453" s="10" t="s">
        <v>5225</v>
      </c>
      <c r="I453" s="48"/>
      <c r="J453" s="10">
        <f t="shared" si="7"/>
        <v>0</v>
      </c>
    </row>
    <row r="454" spans="1:10">
      <c r="A454" s="9" t="s">
        <v>4080</v>
      </c>
      <c r="B454" s="10" t="s">
        <v>3827</v>
      </c>
      <c r="C454" s="10" t="s">
        <v>5788</v>
      </c>
      <c r="D454" s="10"/>
      <c r="E454" s="10" t="s">
        <v>5227</v>
      </c>
      <c r="F454" s="10" t="s">
        <v>5225</v>
      </c>
      <c r="G454" s="10" t="s">
        <v>5225</v>
      </c>
      <c r="H454" s="10" t="s">
        <v>5227</v>
      </c>
      <c r="I454" s="48" t="s">
        <v>4696</v>
      </c>
      <c r="J454" s="10">
        <f t="shared" si="7"/>
        <v>0</v>
      </c>
    </row>
    <row r="455" spans="1:10">
      <c r="A455" s="9" t="s">
        <v>4084</v>
      </c>
      <c r="B455" s="10" t="s">
        <v>3644</v>
      </c>
      <c r="C455" s="10" t="s">
        <v>5787</v>
      </c>
      <c r="D455" s="10">
        <v>10</v>
      </c>
      <c r="E455" s="10" t="s">
        <v>5225</v>
      </c>
      <c r="F455" s="10" t="s">
        <v>5225</v>
      </c>
      <c r="G455" s="10">
        <v>1</v>
      </c>
      <c r="H455" s="10" t="s">
        <v>5227</v>
      </c>
      <c r="I455" s="48"/>
      <c r="J455" s="10">
        <f t="shared" si="7"/>
        <v>0</v>
      </c>
    </row>
    <row r="456" spans="1:10">
      <c r="A456" s="9" t="s">
        <v>4088</v>
      </c>
      <c r="B456" s="10" t="s">
        <v>3642</v>
      </c>
      <c r="C456" s="10" t="s">
        <v>5390</v>
      </c>
      <c r="D456" s="10"/>
      <c r="E456" s="69" t="s">
        <v>182</v>
      </c>
      <c r="F456" s="10" t="s">
        <v>5225</v>
      </c>
      <c r="G456" s="10" t="s">
        <v>4743</v>
      </c>
      <c r="H456" s="10" t="s">
        <v>5227</v>
      </c>
      <c r="I456" s="48"/>
      <c r="J456" s="10">
        <f t="shared" si="7"/>
        <v>0</v>
      </c>
    </row>
    <row r="457" spans="1:10">
      <c r="A457" s="9" t="s">
        <v>3820</v>
      </c>
      <c r="B457" s="10" t="s">
        <v>3821</v>
      </c>
      <c r="C457" s="10" t="s">
        <v>5787</v>
      </c>
      <c r="D457" s="10"/>
      <c r="E457" s="10" t="s">
        <v>5227</v>
      </c>
      <c r="F457" s="10" t="s">
        <v>5227</v>
      </c>
      <c r="G457" s="10">
        <v>1</v>
      </c>
      <c r="H457" s="10" t="s">
        <v>5225</v>
      </c>
      <c r="I457" s="48"/>
      <c r="J457" s="10">
        <f t="shared" si="7"/>
        <v>0</v>
      </c>
    </row>
    <row r="458" spans="1:10">
      <c r="A458" s="9" t="s">
        <v>4727</v>
      </c>
      <c r="B458" s="10" t="s">
        <v>3642</v>
      </c>
      <c r="C458" s="10" t="s">
        <v>5787</v>
      </c>
      <c r="D458" s="10"/>
      <c r="E458" s="10" t="s">
        <v>5225</v>
      </c>
      <c r="F458" s="10" t="s">
        <v>5225</v>
      </c>
      <c r="G458" s="10">
        <v>1</v>
      </c>
      <c r="H458" s="10" t="s">
        <v>5227</v>
      </c>
      <c r="I458" s="48"/>
      <c r="J458" s="10">
        <f t="shared" si="7"/>
        <v>0</v>
      </c>
    </row>
    <row r="459" spans="1:10">
      <c r="A459" s="9" t="s">
        <v>4823</v>
      </c>
      <c r="B459" s="10" t="s">
        <v>3642</v>
      </c>
      <c r="C459" s="10" t="s">
        <v>5390</v>
      </c>
      <c r="D459" s="10">
        <v>0</v>
      </c>
      <c r="E459" s="10" t="s">
        <v>5227</v>
      </c>
      <c r="F459" s="10" t="s">
        <v>5227</v>
      </c>
      <c r="G459" s="10" t="s">
        <v>5225</v>
      </c>
      <c r="H459" s="10" t="s">
        <v>5225</v>
      </c>
      <c r="I459" s="48"/>
      <c r="J459" s="10">
        <f t="shared" si="7"/>
        <v>0</v>
      </c>
    </row>
    <row r="460" spans="1:10">
      <c r="A460" s="9" t="s">
        <v>3830</v>
      </c>
      <c r="B460" s="10" t="s">
        <v>3831</v>
      </c>
      <c r="C460" s="10" t="s">
        <v>5786</v>
      </c>
      <c r="D460" s="10"/>
      <c r="E460" s="10" t="s">
        <v>5225</v>
      </c>
      <c r="F460" s="10" t="s">
        <v>5225</v>
      </c>
      <c r="G460" s="10">
        <v>1</v>
      </c>
      <c r="H460" s="10" t="s">
        <v>5225</v>
      </c>
      <c r="I460" s="48"/>
      <c r="J460" s="10">
        <f t="shared" si="7"/>
        <v>0</v>
      </c>
    </row>
    <row r="461" spans="1:10">
      <c r="A461" s="9" t="s">
        <v>3832</v>
      </c>
      <c r="B461" s="10" t="s">
        <v>3644</v>
      </c>
      <c r="C461" s="10" t="s">
        <v>5786</v>
      </c>
      <c r="D461" s="10"/>
      <c r="E461" s="10" t="s">
        <v>5227</v>
      </c>
      <c r="F461" s="10" t="s">
        <v>5227</v>
      </c>
      <c r="G461" s="10" t="s">
        <v>5225</v>
      </c>
      <c r="H461" s="10" t="s">
        <v>5225</v>
      </c>
      <c r="I461" s="48"/>
      <c r="J461" s="10">
        <f t="shared" si="7"/>
        <v>0</v>
      </c>
    </row>
    <row r="462" spans="1:10">
      <c r="A462" s="9" t="s">
        <v>5433</v>
      </c>
      <c r="B462" s="10" t="s">
        <v>3831</v>
      </c>
      <c r="C462" s="10" t="s">
        <v>5390</v>
      </c>
      <c r="D462" s="10">
        <v>0</v>
      </c>
      <c r="E462" s="10" t="s">
        <v>5227</v>
      </c>
      <c r="F462" s="10" t="s">
        <v>5225</v>
      </c>
      <c r="G462" s="10" t="s">
        <v>5225</v>
      </c>
      <c r="H462" s="10" t="s">
        <v>5225</v>
      </c>
      <c r="I462" s="48"/>
      <c r="J462" s="10">
        <f t="shared" si="7"/>
        <v>0</v>
      </c>
    </row>
    <row r="463" spans="1:10">
      <c r="A463" s="9" t="s">
        <v>4388</v>
      </c>
      <c r="B463" s="10" t="s">
        <v>3644</v>
      </c>
      <c r="C463" s="10" t="s">
        <v>5596</v>
      </c>
      <c r="D463" s="10"/>
      <c r="E463" s="10" t="s">
        <v>5225</v>
      </c>
      <c r="F463" s="10" t="s">
        <v>5225</v>
      </c>
      <c r="G463" s="10" t="s">
        <v>5225</v>
      </c>
      <c r="H463" s="10" t="s">
        <v>5227</v>
      </c>
      <c r="I463" s="48"/>
      <c r="J463" s="10">
        <f t="shared" si="7"/>
        <v>0</v>
      </c>
    </row>
    <row r="464" spans="1:10">
      <c r="A464" s="9" t="s">
        <v>196</v>
      </c>
      <c r="B464" s="10" t="s">
        <v>222</v>
      </c>
      <c r="C464" s="10" t="s">
        <v>133</v>
      </c>
      <c r="D464" s="10"/>
      <c r="E464" s="10" t="s">
        <v>5225</v>
      </c>
      <c r="F464" s="10" t="s">
        <v>5225</v>
      </c>
      <c r="G464" s="10">
        <v>1</v>
      </c>
      <c r="H464" s="10" t="s">
        <v>182</v>
      </c>
      <c r="I464" s="48"/>
      <c r="J464" s="10">
        <f t="shared" si="7"/>
        <v>0</v>
      </c>
    </row>
    <row r="465" spans="1:10">
      <c r="A465" s="9" t="s">
        <v>4133</v>
      </c>
      <c r="B465" s="10" t="s">
        <v>3831</v>
      </c>
      <c r="C465" s="10" t="s">
        <v>5596</v>
      </c>
      <c r="D465" s="10">
        <v>5</v>
      </c>
      <c r="E465" s="10" t="s">
        <v>5225</v>
      </c>
      <c r="F465" s="10" t="s">
        <v>5225</v>
      </c>
      <c r="G465" s="10">
        <v>1</v>
      </c>
      <c r="H465" s="10" t="s">
        <v>5225</v>
      </c>
      <c r="I465" s="48"/>
      <c r="J465" s="10">
        <f t="shared" si="7"/>
        <v>0</v>
      </c>
    </row>
    <row r="466" spans="1:10">
      <c r="A466" s="9" t="s">
        <v>4134</v>
      </c>
      <c r="B466" s="10" t="s">
        <v>3827</v>
      </c>
      <c r="C466" s="10" t="s">
        <v>5596</v>
      </c>
      <c r="D466" s="10"/>
      <c r="E466" s="10" t="s">
        <v>5225</v>
      </c>
      <c r="F466" s="10" t="s">
        <v>5227</v>
      </c>
      <c r="G466" s="10">
        <v>1</v>
      </c>
      <c r="H466" s="10" t="s">
        <v>5225</v>
      </c>
      <c r="I466" s="48" t="s">
        <v>5029</v>
      </c>
      <c r="J466" s="10">
        <f t="shared" si="7"/>
        <v>0</v>
      </c>
    </row>
    <row r="467" spans="1:10">
      <c r="A467" s="9" t="s">
        <v>4607</v>
      </c>
      <c r="B467" s="10" t="s">
        <v>4135</v>
      </c>
      <c r="C467" s="10" t="s">
        <v>5597</v>
      </c>
      <c r="D467" s="10">
        <v>5</v>
      </c>
      <c r="E467" s="10" t="s">
        <v>5225</v>
      </c>
      <c r="F467" s="10" t="s">
        <v>5225</v>
      </c>
      <c r="G467" s="10">
        <v>2</v>
      </c>
      <c r="H467" s="10" t="s">
        <v>5225</v>
      </c>
      <c r="I467" s="48"/>
      <c r="J467" s="10">
        <f t="shared" si="7"/>
        <v>0</v>
      </c>
    </row>
    <row r="468" spans="1:10">
      <c r="A468" s="9" t="s">
        <v>4096</v>
      </c>
      <c r="B468" s="10" t="s">
        <v>3831</v>
      </c>
      <c r="C468" s="10" t="s">
        <v>5349</v>
      </c>
      <c r="D468" s="10"/>
      <c r="E468" s="10" t="s">
        <v>5225</v>
      </c>
      <c r="F468" s="10" t="s">
        <v>5225</v>
      </c>
      <c r="G468" s="10" t="s">
        <v>5225</v>
      </c>
      <c r="H468" s="10" t="s">
        <v>5225</v>
      </c>
      <c r="I468" s="48" t="s">
        <v>5492</v>
      </c>
      <c r="J468" s="10" t="str">
        <f t="shared" si="7"/>
        <v>NA</v>
      </c>
    </row>
    <row r="469" spans="1:10">
      <c r="A469" s="9" t="s">
        <v>4097</v>
      </c>
      <c r="B469" s="10" t="s">
        <v>4135</v>
      </c>
      <c r="C469" s="10" t="s">
        <v>5390</v>
      </c>
      <c r="D469" s="10">
        <v>0</v>
      </c>
      <c r="E469" s="69" t="s">
        <v>182</v>
      </c>
      <c r="F469" s="10" t="s">
        <v>5227</v>
      </c>
      <c r="G469" s="10" t="s">
        <v>5225</v>
      </c>
      <c r="H469" s="10" t="s">
        <v>5225</v>
      </c>
      <c r="I469" s="48"/>
      <c r="J469" s="10">
        <f t="shared" si="7"/>
        <v>0</v>
      </c>
    </row>
    <row r="470" spans="1:10">
      <c r="A470" s="9" t="s">
        <v>4817</v>
      </c>
      <c r="B470" s="10" t="s">
        <v>4135</v>
      </c>
      <c r="C470" s="10" t="s">
        <v>5597</v>
      </c>
      <c r="D470" s="10"/>
      <c r="E470" s="10" t="s">
        <v>5227</v>
      </c>
      <c r="F470" s="10" t="s">
        <v>5227</v>
      </c>
      <c r="G470" s="10" t="s">
        <v>5225</v>
      </c>
      <c r="H470" s="10" t="s">
        <v>5225</v>
      </c>
      <c r="I470" s="48"/>
      <c r="J470" s="10">
        <f t="shared" si="7"/>
        <v>0</v>
      </c>
    </row>
    <row r="471" spans="1:10">
      <c r="A471" s="9" t="s">
        <v>3845</v>
      </c>
      <c r="B471" s="10" t="s">
        <v>3846</v>
      </c>
      <c r="C471" s="10" t="s">
        <v>5787</v>
      </c>
      <c r="D471" s="10">
        <v>0</v>
      </c>
      <c r="E471" s="10" t="s">
        <v>5227</v>
      </c>
      <c r="F471" s="10" t="s">
        <v>5225</v>
      </c>
      <c r="G471" s="10">
        <v>1</v>
      </c>
      <c r="H471" s="10" t="s">
        <v>5225</v>
      </c>
      <c r="I471" s="48"/>
      <c r="J471" s="10">
        <f t="shared" si="7"/>
        <v>0</v>
      </c>
    </row>
    <row r="472" spans="1:10">
      <c r="A472" s="9" t="s">
        <v>4137</v>
      </c>
      <c r="B472" s="10" t="s">
        <v>224</v>
      </c>
      <c r="C472" s="10" t="s">
        <v>5788</v>
      </c>
      <c r="D472" s="10"/>
      <c r="E472" s="10" t="s">
        <v>5225</v>
      </c>
      <c r="F472" s="10" t="s">
        <v>5225</v>
      </c>
      <c r="G472" s="10">
        <v>0</v>
      </c>
      <c r="H472" s="10" t="s">
        <v>5227</v>
      </c>
      <c r="I472" s="48"/>
      <c r="J472" s="10">
        <f t="shared" si="7"/>
        <v>0</v>
      </c>
    </row>
    <row r="473" spans="1:10">
      <c r="A473" s="9" t="s">
        <v>4030</v>
      </c>
      <c r="B473" s="10" t="s">
        <v>3831</v>
      </c>
      <c r="C473" s="10" t="s">
        <v>5786</v>
      </c>
      <c r="D473" s="10"/>
      <c r="E473" s="10" t="s">
        <v>5227</v>
      </c>
      <c r="F473" s="10" t="s">
        <v>5225</v>
      </c>
      <c r="G473" s="10">
        <v>1</v>
      </c>
      <c r="H473" s="10" t="s">
        <v>5225</v>
      </c>
      <c r="I473" s="48"/>
      <c r="J473" s="10">
        <f t="shared" si="7"/>
        <v>0</v>
      </c>
    </row>
    <row r="474" spans="1:10">
      <c r="A474" s="9" t="s">
        <v>4138</v>
      </c>
      <c r="B474" s="10" t="s">
        <v>4135</v>
      </c>
      <c r="C474" s="10" t="s">
        <v>5788</v>
      </c>
      <c r="D474" s="10"/>
      <c r="E474" s="10" t="s">
        <v>5227</v>
      </c>
      <c r="F474" s="10" t="s">
        <v>5227</v>
      </c>
      <c r="G474" s="10" t="s">
        <v>5225</v>
      </c>
      <c r="H474" s="10" t="s">
        <v>5225</v>
      </c>
      <c r="I474" s="48"/>
      <c r="J474" s="10">
        <f t="shared" si="7"/>
        <v>0</v>
      </c>
    </row>
    <row r="475" spans="1:10">
      <c r="A475" s="9" t="s">
        <v>225</v>
      </c>
      <c r="B475" s="10" t="s">
        <v>197</v>
      </c>
      <c r="C475" s="10" t="s">
        <v>5349</v>
      </c>
      <c r="D475" s="10"/>
      <c r="E475" s="10" t="s">
        <v>5227</v>
      </c>
      <c r="F475" s="10" t="s">
        <v>182</v>
      </c>
      <c r="G475" s="10">
        <v>1</v>
      </c>
      <c r="H475" s="10" t="s">
        <v>5225</v>
      </c>
      <c r="I475" s="48"/>
      <c r="J475" s="10" t="str">
        <f t="shared" si="7"/>
        <v>NA</v>
      </c>
    </row>
    <row r="476" spans="1:10">
      <c r="A476" s="9" t="s">
        <v>4967</v>
      </c>
      <c r="B476" s="10" t="s">
        <v>4135</v>
      </c>
      <c r="C476" s="10" t="s">
        <v>5787</v>
      </c>
      <c r="D476" s="10">
        <v>10</v>
      </c>
      <c r="E476" s="10" t="s">
        <v>5225</v>
      </c>
      <c r="F476" s="10" t="s">
        <v>5227</v>
      </c>
      <c r="G476" s="10" t="s">
        <v>5225</v>
      </c>
      <c r="H476" s="10" t="s">
        <v>5227</v>
      </c>
      <c r="I476" s="48"/>
      <c r="J476" s="10">
        <f t="shared" si="7"/>
        <v>0</v>
      </c>
    </row>
    <row r="477" spans="1:10">
      <c r="A477" s="9" t="s">
        <v>4139</v>
      </c>
      <c r="B477" s="10" t="s">
        <v>3831</v>
      </c>
      <c r="C477" s="10" t="s">
        <v>5786</v>
      </c>
      <c r="D477" s="10"/>
      <c r="E477" s="10" t="s">
        <v>5227</v>
      </c>
      <c r="F477" s="10" t="s">
        <v>5227</v>
      </c>
      <c r="G477" s="10" t="s">
        <v>5225</v>
      </c>
      <c r="H477" s="10" t="s">
        <v>5225</v>
      </c>
      <c r="I477" s="48"/>
      <c r="J477" s="10">
        <f t="shared" si="7"/>
        <v>0</v>
      </c>
    </row>
    <row r="478" spans="1:10">
      <c r="A478" s="9" t="s">
        <v>4140</v>
      </c>
      <c r="B478" s="10" t="s">
        <v>226</v>
      </c>
      <c r="C478" s="10" t="s">
        <v>5786</v>
      </c>
      <c r="D478" s="10">
        <v>5</v>
      </c>
      <c r="E478" s="10" t="s">
        <v>5227</v>
      </c>
      <c r="F478" s="10" t="s">
        <v>5225</v>
      </c>
      <c r="G478" s="10">
        <v>2</v>
      </c>
      <c r="H478" s="10" t="s">
        <v>5225</v>
      </c>
      <c r="I478" s="48"/>
      <c r="J478" s="10">
        <f t="shared" si="7"/>
        <v>0</v>
      </c>
    </row>
    <row r="479" spans="1:10">
      <c r="A479" s="9" t="s">
        <v>4608</v>
      </c>
      <c r="B479" s="10" t="s">
        <v>4141</v>
      </c>
      <c r="C479" s="10" t="s">
        <v>5596</v>
      </c>
      <c r="D479" s="10">
        <v>10</v>
      </c>
      <c r="E479" s="10" t="s">
        <v>5225</v>
      </c>
      <c r="F479" s="10" t="s">
        <v>5225</v>
      </c>
      <c r="G479" s="10">
        <v>1</v>
      </c>
      <c r="H479" s="10" t="s">
        <v>5225</v>
      </c>
      <c r="I479" s="48"/>
      <c r="J479" s="10">
        <f t="shared" si="7"/>
        <v>0</v>
      </c>
    </row>
    <row r="480" spans="1:10">
      <c r="A480" s="9" t="s">
        <v>4396</v>
      </c>
      <c r="B480" s="10" t="s">
        <v>3831</v>
      </c>
      <c r="C480" s="10" t="s">
        <v>5390</v>
      </c>
      <c r="D480" s="10">
        <v>0</v>
      </c>
      <c r="E480" s="10" t="s">
        <v>5227</v>
      </c>
      <c r="F480" s="10" t="s">
        <v>182</v>
      </c>
      <c r="G480" s="10">
        <v>1</v>
      </c>
      <c r="H480" s="10" t="s">
        <v>5227</v>
      </c>
      <c r="I480" s="48"/>
      <c r="J480" s="10">
        <f t="shared" si="7"/>
        <v>0</v>
      </c>
    </row>
    <row r="481" spans="1:10">
      <c r="A481" s="9" t="s">
        <v>4263</v>
      </c>
      <c r="B481" s="10" t="s">
        <v>4142</v>
      </c>
      <c r="C481" s="10" t="s">
        <v>5390</v>
      </c>
      <c r="D481" s="10"/>
      <c r="E481" s="10" t="s">
        <v>5225</v>
      </c>
      <c r="F481" s="10" t="s">
        <v>5225</v>
      </c>
      <c r="G481" s="10">
        <v>1</v>
      </c>
      <c r="H481" s="10" t="s">
        <v>5227</v>
      </c>
      <c r="I481" s="48"/>
      <c r="J481" s="10">
        <f t="shared" si="7"/>
        <v>0</v>
      </c>
    </row>
    <row r="482" spans="1:10">
      <c r="A482" s="9" t="s">
        <v>4143</v>
      </c>
      <c r="B482" s="10" t="s">
        <v>4141</v>
      </c>
      <c r="C482" s="10" t="s">
        <v>5390</v>
      </c>
      <c r="D482" s="10">
        <v>0</v>
      </c>
      <c r="E482" s="10" t="s">
        <v>5227</v>
      </c>
      <c r="F482" s="10" t="s">
        <v>5227</v>
      </c>
      <c r="G482" s="10" t="s">
        <v>5225</v>
      </c>
      <c r="H482" s="10" t="s">
        <v>5225</v>
      </c>
      <c r="I482" s="48"/>
      <c r="J482" s="10">
        <f t="shared" si="7"/>
        <v>0</v>
      </c>
    </row>
    <row r="483" spans="1:10">
      <c r="A483" s="9" t="s">
        <v>4267</v>
      </c>
      <c r="B483" s="10" t="s">
        <v>222</v>
      </c>
      <c r="C483" s="10" t="s">
        <v>5786</v>
      </c>
      <c r="D483" s="10"/>
      <c r="E483" s="10" t="s">
        <v>5227</v>
      </c>
      <c r="F483" s="10" t="s">
        <v>5225</v>
      </c>
      <c r="G483" s="10">
        <v>0</v>
      </c>
      <c r="H483" s="10" t="s">
        <v>5227</v>
      </c>
      <c r="I483" s="48"/>
      <c r="J483" s="10">
        <f t="shared" si="7"/>
        <v>0</v>
      </c>
    </row>
    <row r="484" spans="1:10">
      <c r="A484" s="9" t="s">
        <v>5483</v>
      </c>
      <c r="B484" s="10" t="s">
        <v>4142</v>
      </c>
      <c r="C484" s="10" t="s">
        <v>5787</v>
      </c>
      <c r="D484" s="10">
        <v>0</v>
      </c>
      <c r="E484" s="10" t="s">
        <v>5225</v>
      </c>
      <c r="F484" s="10" t="s">
        <v>5225</v>
      </c>
      <c r="G484" s="10" t="s">
        <v>5225</v>
      </c>
      <c r="H484" s="10" t="s">
        <v>5225</v>
      </c>
      <c r="I484" s="48"/>
      <c r="J484" s="10">
        <f t="shared" si="7"/>
        <v>0</v>
      </c>
    </row>
    <row r="485" spans="1:10">
      <c r="A485" s="9" t="s">
        <v>4144</v>
      </c>
      <c r="B485" s="10" t="s">
        <v>4141</v>
      </c>
      <c r="C485" s="10" t="s">
        <v>5596</v>
      </c>
      <c r="D485" s="10">
        <v>13</v>
      </c>
      <c r="E485" s="10" t="s">
        <v>5225</v>
      </c>
      <c r="F485" s="10" t="s">
        <v>5225</v>
      </c>
      <c r="G485" s="10">
        <v>1</v>
      </c>
      <c r="H485" s="10" t="s">
        <v>5225</v>
      </c>
      <c r="I485" s="48"/>
      <c r="J485" s="10">
        <f t="shared" si="7"/>
        <v>0</v>
      </c>
    </row>
    <row r="486" spans="1:10">
      <c r="A486" s="9" t="s">
        <v>4799</v>
      </c>
      <c r="B486" s="10" t="s">
        <v>4142</v>
      </c>
      <c r="C486" s="10" t="s">
        <v>5787</v>
      </c>
      <c r="D486" s="10"/>
      <c r="E486" s="10" t="s">
        <v>5227</v>
      </c>
      <c r="F486" s="10" t="s">
        <v>5225</v>
      </c>
      <c r="G486" s="10" t="s">
        <v>5225</v>
      </c>
      <c r="H486" s="10" t="s">
        <v>5225</v>
      </c>
      <c r="I486" s="48"/>
      <c r="J486" s="10">
        <f t="shared" si="7"/>
        <v>0</v>
      </c>
    </row>
    <row r="487" spans="1:10">
      <c r="A487" s="9" t="s">
        <v>4272</v>
      </c>
      <c r="B487" s="10" t="s">
        <v>3920</v>
      </c>
      <c r="C487" s="10" t="s">
        <v>5390</v>
      </c>
      <c r="D487" s="10"/>
      <c r="E487" s="10" t="s">
        <v>5227</v>
      </c>
      <c r="F487" s="10" t="s">
        <v>5225</v>
      </c>
      <c r="G487" s="10" t="s">
        <v>5225</v>
      </c>
      <c r="H487" s="10" t="s">
        <v>5227</v>
      </c>
      <c r="I487" s="48" t="s">
        <v>5341</v>
      </c>
      <c r="J487" s="10">
        <f t="shared" si="7"/>
        <v>0</v>
      </c>
    </row>
    <row r="488" spans="1:10">
      <c r="A488" s="9" t="s">
        <v>4145</v>
      </c>
      <c r="B488" s="10" t="s">
        <v>3827</v>
      </c>
      <c r="C488" s="10" t="s">
        <v>5390</v>
      </c>
      <c r="D488" s="10"/>
      <c r="E488" s="10" t="s">
        <v>5227</v>
      </c>
      <c r="F488" s="10" t="s">
        <v>5227</v>
      </c>
      <c r="G488" s="10">
        <v>1</v>
      </c>
      <c r="H488" s="10" t="s">
        <v>5225</v>
      </c>
      <c r="I488" s="48"/>
      <c r="J488" s="10">
        <f t="shared" si="7"/>
        <v>0</v>
      </c>
    </row>
    <row r="489" spans="1:10">
      <c r="A489" s="9" t="s">
        <v>4146</v>
      </c>
      <c r="B489" s="10" t="s">
        <v>4142</v>
      </c>
      <c r="C489" s="10" t="s">
        <v>5788</v>
      </c>
      <c r="D489" s="10"/>
      <c r="E489" s="10" t="s">
        <v>5227</v>
      </c>
      <c r="F489" s="10" t="s">
        <v>5225</v>
      </c>
      <c r="G489" s="10" t="s">
        <v>5225</v>
      </c>
      <c r="H489" s="10" t="s">
        <v>5225</v>
      </c>
      <c r="I489" s="48"/>
      <c r="J489" s="10">
        <f t="shared" si="7"/>
        <v>0</v>
      </c>
    </row>
    <row r="490" spans="1:10">
      <c r="A490" s="9" t="s">
        <v>4147</v>
      </c>
      <c r="B490" s="10" t="s">
        <v>4142</v>
      </c>
      <c r="C490" s="10" t="s">
        <v>5597</v>
      </c>
      <c r="D490" s="10"/>
      <c r="E490" s="10" t="s">
        <v>5227</v>
      </c>
      <c r="F490" s="10" t="s">
        <v>5225</v>
      </c>
      <c r="G490" s="10" t="s">
        <v>5225</v>
      </c>
      <c r="H490" s="10" t="s">
        <v>5225</v>
      </c>
      <c r="I490" s="48"/>
      <c r="J490" s="10">
        <f t="shared" si="7"/>
        <v>0</v>
      </c>
    </row>
    <row r="491" spans="1:10">
      <c r="A491" s="9" t="s">
        <v>4148</v>
      </c>
      <c r="B491" s="10" t="s">
        <v>4189</v>
      </c>
      <c r="C491" s="10" t="s">
        <v>5786</v>
      </c>
      <c r="D491" s="10"/>
      <c r="E491" s="10" t="s">
        <v>5225</v>
      </c>
      <c r="F491" s="10" t="s">
        <v>5225</v>
      </c>
      <c r="G491" s="10" t="s">
        <v>5225</v>
      </c>
      <c r="H491" s="10" t="s">
        <v>5225</v>
      </c>
      <c r="I491" s="48" t="s">
        <v>4108</v>
      </c>
      <c r="J491" s="10">
        <f t="shared" si="7"/>
        <v>0</v>
      </c>
    </row>
    <row r="492" spans="1:10">
      <c r="A492" s="9" t="s">
        <v>4113</v>
      </c>
      <c r="B492" s="10" t="s">
        <v>4189</v>
      </c>
      <c r="C492" s="10" t="s">
        <v>5787</v>
      </c>
      <c r="D492" s="10"/>
      <c r="E492" s="10" t="s">
        <v>5227</v>
      </c>
      <c r="F492" s="10" t="s">
        <v>5227</v>
      </c>
      <c r="G492" s="10" t="s">
        <v>4743</v>
      </c>
      <c r="H492" s="10" t="s">
        <v>5225</v>
      </c>
      <c r="I492" s="48"/>
      <c r="J492" s="10">
        <f t="shared" si="7"/>
        <v>0</v>
      </c>
    </row>
    <row r="493" spans="1:10">
      <c r="A493" s="9" t="s">
        <v>4966</v>
      </c>
      <c r="B493" s="10" t="s">
        <v>4142</v>
      </c>
      <c r="C493" s="10" t="s">
        <v>5596</v>
      </c>
      <c r="D493" s="10"/>
      <c r="E493" s="10" t="s">
        <v>5225</v>
      </c>
      <c r="F493" s="10" t="s">
        <v>5225</v>
      </c>
      <c r="G493" s="10" t="s">
        <v>5225</v>
      </c>
      <c r="H493" s="10" t="s">
        <v>5227</v>
      </c>
      <c r="I493" s="48"/>
      <c r="J493" s="10">
        <f t="shared" si="7"/>
        <v>0</v>
      </c>
    </row>
    <row r="494" spans="1:10">
      <c r="A494" s="9" t="s">
        <v>4114</v>
      </c>
      <c r="B494" s="10" t="s">
        <v>4858</v>
      </c>
      <c r="C494" s="10" t="s">
        <v>5787</v>
      </c>
      <c r="D494" s="10"/>
      <c r="E494" s="10" t="s">
        <v>5225</v>
      </c>
      <c r="F494" s="10" t="s">
        <v>5227</v>
      </c>
      <c r="G494" s="10" t="s">
        <v>5225</v>
      </c>
      <c r="H494" s="10" t="s">
        <v>5225</v>
      </c>
      <c r="I494" s="48"/>
      <c r="J494" s="10">
        <f t="shared" si="7"/>
        <v>0</v>
      </c>
    </row>
    <row r="495" spans="1:10">
      <c r="A495" s="9" t="s">
        <v>4349</v>
      </c>
      <c r="B495" s="10" t="s">
        <v>4115</v>
      </c>
      <c r="C495" s="10" t="s">
        <v>5596</v>
      </c>
      <c r="D495" s="10">
        <v>3</v>
      </c>
      <c r="E495" s="10" t="s">
        <v>5227</v>
      </c>
      <c r="F495" s="10" t="s">
        <v>5227</v>
      </c>
      <c r="G495" s="10">
        <v>2</v>
      </c>
      <c r="H495" s="10" t="s">
        <v>5225</v>
      </c>
      <c r="I495" s="48"/>
      <c r="J495" s="10">
        <f t="shared" si="7"/>
        <v>0</v>
      </c>
    </row>
    <row r="496" spans="1:10">
      <c r="A496" s="9" t="s">
        <v>198</v>
      </c>
      <c r="B496" s="10" t="s">
        <v>16</v>
      </c>
      <c r="C496" s="10" t="s">
        <v>252</v>
      </c>
      <c r="D496" s="10"/>
      <c r="E496" s="10" t="s">
        <v>183</v>
      </c>
      <c r="F496" s="10" t="s">
        <v>182</v>
      </c>
      <c r="G496" s="10">
        <v>3</v>
      </c>
      <c r="H496" s="10" t="s">
        <v>182</v>
      </c>
      <c r="I496" s="48"/>
      <c r="J496" s="10">
        <f t="shared" si="7"/>
        <v>0</v>
      </c>
    </row>
  </sheetData>
  <phoneticPr fontId="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D632"/>
  <sheetViews>
    <sheetView workbookViewId="0">
      <pane ySplit="1" topLeftCell="A2" activePane="bottomLeft" state="frozenSplit"/>
      <selection pane="bottomLeft"/>
    </sheetView>
  </sheetViews>
  <sheetFormatPr baseColWidth="10" defaultRowHeight="13"/>
  <cols>
    <col min="1" max="1" width="27.28515625" style="231" customWidth="1"/>
    <col min="2" max="9" width="10.7109375" style="231"/>
    <col min="10" max="10" width="27.5703125" style="231" customWidth="1"/>
    <col min="11" max="264" width="10.7109375" style="231"/>
    <col min="265" max="269" width="10.7109375" style="231" customWidth="1"/>
    <col min="270" max="270" width="10.7109375" style="231"/>
    <col min="271" max="274" width="10.7109375" style="231" customWidth="1"/>
    <col min="275" max="281" width="10.7109375" style="231"/>
    <col min="282" max="282" width="10.7109375" style="231" customWidth="1"/>
    <col min="283" max="283" width="10.7109375" style="231"/>
    <col min="284" max="285" width="10.7109375" style="231" customWidth="1"/>
    <col min="286" max="287" width="10.7109375" style="231"/>
    <col min="288" max="289" width="10.7109375" style="231" customWidth="1"/>
    <col min="290" max="290" width="10.7109375" style="231"/>
    <col min="291" max="291" width="10.7109375" style="231" customWidth="1"/>
    <col min="292" max="296" width="10.7109375" style="231"/>
    <col min="297" max="298" width="10.7109375" style="231" customWidth="1"/>
    <col min="299" max="299" width="10.7109375" style="231"/>
    <col min="300" max="300" width="10.7109375" style="231" customWidth="1"/>
    <col min="301" max="303" width="10.7109375" style="231"/>
    <col min="304" max="304" width="10.7109375" style="231" customWidth="1"/>
    <col min="305" max="310" width="10.7109375" style="231"/>
    <col min="311" max="311" width="10.7109375" style="231" customWidth="1"/>
    <col min="312" max="313" width="10.7109375" style="231"/>
    <col min="314" max="315" width="10.7109375" style="231" customWidth="1"/>
    <col min="316" max="316" width="10.7109375" style="231"/>
    <col min="317" max="317" width="10.7109375" style="231" customWidth="1"/>
    <col min="318" max="319" width="10.7109375" style="231"/>
    <col min="320" max="321" width="10.7109375" style="231" customWidth="1"/>
    <col min="322" max="323" width="10.7109375" style="231"/>
    <col min="324" max="324" width="10.7109375" style="231" customWidth="1"/>
    <col min="325" max="330" width="10.7109375" style="231"/>
    <col min="331" max="332" width="10.7109375" style="231" customWidth="1"/>
    <col min="333" max="335" width="10.7109375" style="231"/>
    <col min="336" max="336" width="10.7109375" style="231" customWidth="1"/>
    <col min="337" max="337" width="10.7109375" style="231"/>
    <col min="338" max="338" width="10.7109375" style="231" customWidth="1"/>
    <col min="339" max="340" width="10.7109375" style="231"/>
    <col min="341" max="341" width="10.7109375" style="231" customWidth="1"/>
    <col min="342" max="345" width="10.7109375" style="231"/>
    <col min="346" max="352" width="10.7109375" style="231" customWidth="1"/>
    <col min="353" max="360" width="10.7109375" style="231"/>
    <col min="361" max="368" width="10.7109375" style="231" customWidth="1"/>
    <col min="369" max="369" width="10.7109375" style="231"/>
    <col min="370" max="370" width="10.7109375" style="231" customWidth="1"/>
    <col min="371" max="371" width="10.7109375" style="231"/>
    <col min="372" max="372" width="10.7109375" style="231" customWidth="1"/>
    <col min="373" max="376" width="10.7109375" style="231"/>
    <col min="377" max="384" width="10.7109375" style="231" customWidth="1"/>
    <col min="385" max="388" width="10.7109375" style="231"/>
    <col min="389" max="389" width="10.7109375" style="231" customWidth="1"/>
    <col min="390" max="392" width="10.7109375" style="231"/>
    <col min="393" max="400" width="10.7109375" style="231" customWidth="1"/>
    <col min="401" max="408" width="10.7109375" style="231"/>
    <col min="409" max="410" width="10.7109375" style="231" customWidth="1"/>
    <col min="411" max="411" width="10.7109375" style="231"/>
    <col min="412" max="412" width="10.7109375" style="231" customWidth="1"/>
    <col min="413" max="415" width="10.7109375" style="231"/>
    <col min="416" max="416" width="10.7109375" style="231" customWidth="1"/>
    <col min="417" max="417" width="10.7109375" style="231"/>
    <col min="418" max="418" width="10.7109375" style="231" customWidth="1"/>
    <col min="419" max="419" width="10.7109375" style="231"/>
    <col min="420" max="420" width="10.7109375" style="231" customWidth="1"/>
    <col min="421" max="425" width="10.7109375" style="231"/>
    <col min="426" max="426" width="10.7109375" style="231" customWidth="1"/>
    <col min="427" max="427" width="10.7109375" style="231"/>
    <col min="428" max="429" width="10.7109375" style="231" customWidth="1"/>
    <col min="430" max="431" width="10.7109375" style="231"/>
    <col min="432" max="432" width="10.7109375" style="231" customWidth="1"/>
    <col min="433" max="441" width="10.7109375" style="231"/>
    <col min="442" max="442" width="10.7109375" style="231" customWidth="1"/>
    <col min="443" max="443" width="10.7109375" style="231"/>
    <col min="444" max="445" width="10.7109375" style="231" customWidth="1"/>
    <col min="446" max="447" width="10.7109375" style="231"/>
    <col min="448" max="448" width="10.7109375" style="231" customWidth="1"/>
    <col min="449" max="456" width="10.7109375" style="231"/>
    <col min="457" max="458" width="10.7109375" style="231" customWidth="1"/>
    <col min="459" max="459" width="10.7109375" style="231"/>
    <col min="460" max="460" width="10.7109375" style="231" customWidth="1"/>
    <col min="461" max="463" width="10.7109375" style="231"/>
    <col min="464" max="464" width="10.7109375" style="231" customWidth="1"/>
    <col min="465" max="473" width="10.7109375" style="231"/>
    <col min="474" max="477" width="10.7109375" style="231" customWidth="1"/>
    <col min="478" max="478" width="10.7109375" style="231"/>
    <col min="479" max="480" width="10.7109375" style="231" customWidth="1"/>
    <col min="481" max="488" width="10.7109375" style="231"/>
    <col min="489" max="492" width="10.7109375" style="231" customWidth="1"/>
    <col min="493" max="495" width="10.7109375" style="231"/>
    <col min="496" max="496" width="10.7109375" style="231" customWidth="1"/>
    <col min="497" max="497" width="10.7109375" style="231"/>
    <col min="498" max="498" width="10.7109375" style="231" customWidth="1"/>
    <col min="499" max="506" width="10.7109375" style="231"/>
    <col min="507" max="509" width="10.7109375" style="231" customWidth="1"/>
    <col min="510" max="511" width="10.7109375" style="231"/>
    <col min="512" max="512" width="10.7109375" style="231" customWidth="1"/>
    <col min="513" max="515" width="10.7109375" style="231"/>
    <col min="516" max="516" width="10.7109375" style="231" customWidth="1"/>
    <col min="517" max="520" width="10.7109375" style="231"/>
    <col min="521" max="525" width="10.7109375" style="231" customWidth="1"/>
    <col min="526" max="526" width="10.7109375" style="231"/>
    <col min="527" max="528" width="10.7109375" style="231" customWidth="1"/>
    <col min="529" max="531" width="10.7109375" style="231"/>
    <col min="532" max="533" width="10.7109375" style="231" customWidth="1"/>
    <col min="534" max="535" width="10.7109375" style="231"/>
    <col min="536" max="536" width="10.7109375" style="231" customWidth="1"/>
    <col min="537" max="540" width="10.7109375" style="231"/>
    <col min="541" max="541" width="10.7109375" style="231" customWidth="1"/>
    <col min="542" max="543" width="10.7109375" style="231"/>
    <col min="544" max="545" width="10.7109375" style="231" customWidth="1"/>
    <col min="546" max="551" width="10.7109375" style="231"/>
    <col min="552" max="552" width="10.7109375" style="231" customWidth="1"/>
    <col min="553" max="554" width="10.7109375" style="231"/>
    <col min="555" max="556" width="10.7109375" style="231" customWidth="1"/>
    <col min="557" max="559" width="10.7109375" style="231"/>
    <col min="560" max="560" width="10.7109375" style="231" customWidth="1"/>
    <col min="561" max="561" width="10.7109375" style="231"/>
    <col min="562" max="562" width="10.7109375" style="231" customWidth="1"/>
    <col min="563" max="563" width="10.7109375" style="231"/>
    <col min="564" max="564" width="10.7109375" style="231" customWidth="1"/>
    <col min="565" max="567" width="10.7109375" style="231"/>
    <col min="568" max="569" width="10.7109375" style="231" customWidth="1"/>
    <col min="570" max="570" width="10.7109375" style="231"/>
    <col min="571" max="572" width="10.7109375" style="231" customWidth="1"/>
    <col min="573" max="575" width="10.7109375" style="231"/>
    <col min="576" max="576" width="10.7109375" style="231" customWidth="1"/>
    <col min="577" max="578" width="10.7109375" style="231"/>
    <col min="579" max="579" width="10.7109375" style="231" customWidth="1"/>
    <col min="580" max="580" width="10.7109375" style="231"/>
    <col min="581" max="581" width="10.7109375" style="231" customWidth="1"/>
    <col min="582" max="583" width="10.7109375" style="231"/>
    <col min="584" max="584" width="10.7109375" style="231" customWidth="1"/>
    <col min="585" max="585" width="10.7109375" style="231"/>
    <col min="586" max="587" width="10.7109375" style="231" customWidth="1"/>
    <col min="588" max="588" width="10.7109375" style="231"/>
    <col min="589" max="589" width="10.7109375" style="231" customWidth="1"/>
    <col min="590" max="591" width="10.7109375" style="231"/>
    <col min="592" max="593" width="10.7109375" style="231" customWidth="1"/>
    <col min="594" max="599" width="10.7109375" style="231"/>
    <col min="600" max="600" width="10.7109375" style="231" customWidth="1"/>
    <col min="601" max="601" width="10.7109375" style="231"/>
    <col min="602" max="602" width="10.7109375" style="231" customWidth="1"/>
    <col min="603" max="607" width="10.7109375" style="231"/>
    <col min="608" max="608" width="10.7109375" style="231" customWidth="1"/>
    <col min="609" max="615" width="10.7109375" style="231"/>
    <col min="616" max="621" width="10.7109375" style="231" customWidth="1"/>
    <col min="622" max="622" width="10.7109375" style="231"/>
    <col min="623" max="624" width="10.7109375" style="231" customWidth="1"/>
    <col min="625" max="625" width="10.7109375" style="231"/>
    <col min="626" max="627" width="10.7109375" style="231" customWidth="1"/>
    <col min="628" max="628" width="10.7109375" style="231"/>
    <col min="629" max="629" width="10.7109375" style="231" customWidth="1"/>
    <col min="630" max="631" width="10.7109375" style="231"/>
    <col min="632" max="634" width="10.7109375" style="231" customWidth="1"/>
    <col min="635" max="635" width="10.7109375" style="231"/>
    <col min="636" max="636" width="10.7109375" style="231" customWidth="1"/>
    <col min="637" max="639" width="10.7109375" style="231"/>
    <col min="640" max="641" width="10.7109375" style="231" customWidth="1"/>
    <col min="642" max="642" width="10.7109375" style="231"/>
    <col min="643" max="644" width="10.7109375" style="231" customWidth="1"/>
    <col min="645" max="646" width="10.7109375" style="231"/>
    <col min="647" max="648" width="10.7109375" style="231" customWidth="1"/>
    <col min="649" max="649" width="10.7109375" style="231"/>
    <col min="650" max="651" width="10.7109375" style="231" customWidth="1"/>
    <col min="652" max="652" width="10.7109375" style="231"/>
    <col min="653" max="653" width="10.7109375" style="231" customWidth="1"/>
    <col min="654" max="655" width="10.7109375" style="231"/>
    <col min="656" max="658" width="10.7109375" style="231" customWidth="1"/>
    <col min="659" max="660" width="10.7109375" style="231"/>
    <col min="661" max="661" width="10.7109375" style="231" customWidth="1"/>
    <col min="662" max="663" width="10.7109375" style="231"/>
    <col min="664" max="664" width="10.7109375" style="231" customWidth="1"/>
    <col min="665" max="665" width="10.7109375" style="231"/>
    <col min="666" max="669" width="10.7109375" style="231" customWidth="1"/>
    <col min="670" max="671" width="10.7109375" style="231"/>
    <col min="672" max="673" width="10.7109375" style="231" customWidth="1"/>
    <col min="674" max="674" width="10.7109375" style="231"/>
    <col min="675" max="676" width="10.7109375" style="231" customWidth="1"/>
    <col min="677" max="679" width="10.7109375" style="231"/>
    <col min="680" max="685" width="10.7109375" style="231" customWidth="1"/>
    <col min="686" max="686" width="10.7109375" style="231"/>
    <col min="687" max="690" width="10.7109375" style="231" customWidth="1"/>
    <col min="691" max="691" width="10.7109375" style="231"/>
    <col min="692" max="692" width="10.7109375" style="231" customWidth="1"/>
    <col min="693" max="695" width="10.7109375" style="231"/>
    <col min="696" max="696" width="10.7109375" style="231" customWidth="1"/>
    <col min="697" max="700" width="10.7109375" style="231"/>
    <col min="701" max="701" width="10.7109375" style="231" customWidth="1"/>
    <col min="702" max="703" width="10.7109375" style="231"/>
    <col min="704" max="709" width="10.7109375" style="231" customWidth="1"/>
    <col min="710" max="710" width="10.7109375" style="231"/>
    <col min="711" max="712" width="10.7109375" style="231" customWidth="1"/>
    <col min="713" max="714" width="10.7109375" style="231"/>
    <col min="715" max="716" width="10.7109375" style="231" customWidth="1"/>
    <col min="717" max="717" width="10.7109375" style="231"/>
    <col min="718" max="718" width="10.7109375" style="231" customWidth="1"/>
    <col min="719" max="719" width="10.7109375" style="231"/>
    <col min="720" max="720" width="10.7109375" style="231" customWidth="1"/>
    <col min="721" max="723" width="10.7109375" style="231"/>
    <col min="724" max="724" width="10.7109375" style="231" customWidth="1"/>
    <col min="725" max="727" width="10.7109375" style="231"/>
    <col min="728" max="728" width="10.7109375" style="231" customWidth="1"/>
    <col min="729" max="729" width="10.7109375" style="231"/>
    <col min="730" max="731" width="10.7109375" style="231" customWidth="1"/>
    <col min="732" max="732" width="10.7109375" style="231"/>
    <col min="733" max="733" width="10.7109375" style="231" customWidth="1"/>
    <col min="734" max="735" width="10.7109375" style="231"/>
    <col min="736" max="738" width="10.7109375" style="231" customWidth="1"/>
    <col min="739" max="739" width="10.7109375" style="231"/>
    <col min="740" max="740" width="10.7109375" style="231" customWidth="1"/>
    <col min="741" max="743" width="10.7109375" style="231"/>
    <col min="744" max="744" width="10.7109375" style="231" customWidth="1"/>
    <col min="745" max="746" width="10.7109375" style="231"/>
    <col min="747" max="749" width="10.7109375" style="231" customWidth="1"/>
    <col min="750" max="751" width="10.7109375" style="231"/>
    <col min="752" max="755" width="10.7109375" style="231" customWidth="1"/>
    <col min="756" max="756" width="10.7109375" style="231"/>
    <col min="757" max="757" width="10.7109375" style="231" customWidth="1"/>
    <col min="758" max="759" width="10.7109375" style="231"/>
    <col min="760" max="760" width="10.7109375" style="231" customWidth="1"/>
    <col min="761" max="764" width="10.7109375" style="231"/>
    <col min="765" max="765" width="10.7109375" style="231" customWidth="1"/>
    <col min="766" max="767" width="10.7109375" style="231"/>
    <col min="768" max="768" width="10.7109375" style="231" customWidth="1"/>
    <col min="769" max="771" width="10.7109375" style="231"/>
    <col min="772" max="772" width="10.7109375" style="231" customWidth="1"/>
    <col min="773" max="775" width="10.7109375" style="231"/>
    <col min="776" max="776" width="10.7109375" style="231" customWidth="1"/>
    <col min="777" max="777" width="10.7109375" style="231"/>
    <col min="778" max="778" width="10.7109375" style="231" customWidth="1"/>
    <col min="779" max="779" width="10.7109375" style="231"/>
    <col min="780" max="781" width="10.7109375" style="231" customWidth="1"/>
    <col min="782" max="783" width="10.7109375" style="231"/>
    <col min="784" max="785" width="10.7109375" style="231" customWidth="1"/>
    <col min="786" max="786" width="10.7109375" style="231"/>
    <col min="787" max="788" width="10.7109375" style="231" customWidth="1"/>
    <col min="789" max="791" width="10.7109375" style="231"/>
    <col min="792" max="797" width="10.7109375" style="231" customWidth="1"/>
    <col min="798" max="798" width="10.7109375" style="231"/>
    <col min="799" max="800" width="10.7109375" style="231" customWidth="1"/>
    <col min="801" max="802" width="10.7109375" style="231"/>
    <col min="803" max="803" width="10.7109375" style="231" customWidth="1"/>
    <col min="804" max="804" width="10.7109375" style="231"/>
    <col min="805" max="805" width="10.7109375" style="231" customWidth="1"/>
    <col min="806" max="806" width="10.7109375" style="231"/>
    <col min="807" max="813" width="10.7109375" style="231" customWidth="1"/>
    <col min="814" max="814" width="10.7109375" style="231"/>
    <col min="815" max="816" width="10.7109375" style="231" customWidth="1"/>
    <col min="817" max="818" width="10.7109375" style="231"/>
    <col min="819" max="820" width="10.7109375" style="231" customWidth="1"/>
    <col min="821" max="822" width="10.7109375" style="231"/>
    <col min="823" max="832" width="10.7109375" style="231" customWidth="1"/>
    <col min="833" max="838" width="10.7109375" style="231"/>
    <col min="839" max="839" width="10.7109375" style="231" customWidth="1"/>
    <col min="840" max="840" width="10.7109375" style="231"/>
    <col min="841" max="848" width="10.7109375" style="231" customWidth="1"/>
    <col min="849" max="854" width="10.7109375" style="231"/>
    <col min="855" max="855" width="10.7109375" style="231" customWidth="1"/>
    <col min="856" max="856" width="10.7109375" style="231"/>
    <col min="857" max="864" width="10.7109375" style="231" customWidth="1"/>
    <col min="865" max="870" width="10.7109375" style="231"/>
    <col min="871" max="871" width="10.7109375" style="231" customWidth="1"/>
    <col min="872" max="872" width="10.7109375" style="231"/>
    <col min="873" max="880" width="10.7109375" style="231" customWidth="1"/>
    <col min="881" max="886" width="10.7109375" style="231"/>
    <col min="887" max="887" width="10.7109375" style="231" customWidth="1"/>
    <col min="888" max="888" width="10.7109375" style="231"/>
    <col min="889" max="896" width="10.7109375" style="231" customWidth="1"/>
    <col min="897" max="902" width="10.7109375" style="231"/>
    <col min="903" max="903" width="10.7109375" style="231" customWidth="1"/>
    <col min="904" max="904" width="10.7109375" style="231"/>
    <col min="905" max="912" width="10.7109375" style="231" customWidth="1"/>
    <col min="913" max="918" width="10.7109375" style="231"/>
    <col min="919" max="919" width="10.7109375" style="231" customWidth="1"/>
    <col min="920" max="920" width="10.7109375" style="231"/>
    <col min="921" max="928" width="10.7109375" style="231" customWidth="1"/>
    <col min="929" max="934" width="10.7109375" style="231"/>
    <col min="935" max="935" width="10.7109375" style="231" customWidth="1"/>
    <col min="936" max="936" width="10.7109375" style="231"/>
    <col min="937" max="944" width="10.7109375" style="231" customWidth="1"/>
    <col min="945" max="950" width="10.7109375" style="231"/>
    <col min="951" max="951" width="10.7109375" style="231" customWidth="1"/>
    <col min="952" max="952" width="10.7109375" style="231"/>
    <col min="953" max="960" width="10.7109375" style="231" customWidth="1"/>
    <col min="961" max="963" width="10.7109375" style="231"/>
    <col min="964" max="966" width="10.7109375" style="231" customWidth="1"/>
    <col min="967" max="968" width="10.7109375" style="231"/>
    <col min="969" max="976" width="10.7109375" style="231" customWidth="1"/>
    <col min="977" max="979" width="10.7109375" style="231"/>
    <col min="980" max="983" width="10.7109375" style="231" customWidth="1"/>
    <col min="984" max="984" width="10.7109375" style="231"/>
    <col min="985" max="992" width="10.7109375" style="231" customWidth="1"/>
    <col min="993" max="995" width="10.7109375" style="231"/>
    <col min="996" max="999" width="10.7109375" style="231" customWidth="1"/>
    <col min="1000" max="1001" width="10.7109375" style="231"/>
    <col min="1002" max="1005" width="10.7109375" style="231" customWidth="1"/>
    <col min="1006" max="1007" width="10.7109375" style="231"/>
    <col min="1008" max="1008" width="10.7109375" style="231" customWidth="1"/>
    <col min="1009" max="1011" width="10.7109375" style="231"/>
    <col min="1012" max="1015" width="10.7109375" style="231" customWidth="1"/>
    <col min="1016" max="1016" width="10.7109375" style="231"/>
    <col min="1017" max="1024" width="10.7109375" style="231" customWidth="1"/>
    <col min="1025" max="1027" width="10.7109375" style="231"/>
    <col min="1028" max="1031" width="10.7109375" style="231" customWidth="1"/>
    <col min="1032" max="1032" width="10.7109375" style="231"/>
    <col min="1033" max="1040" width="10.7109375" style="231" customWidth="1"/>
    <col min="1041" max="1043" width="10.7109375" style="231"/>
    <col min="1044" max="1047" width="10.7109375" style="231" customWidth="1"/>
    <col min="1048" max="1050" width="10.7109375" style="231"/>
    <col min="1051" max="1052" width="10.7109375" style="231" customWidth="1"/>
    <col min="1053" max="1053" width="10.7109375" style="231"/>
    <col min="1054" max="1055" width="10.7109375" style="231" customWidth="1"/>
    <col min="1056" max="1059" width="10.7109375" style="231"/>
    <col min="1060" max="1062" width="10.7109375" style="231" customWidth="1"/>
    <col min="1063" max="1064" width="10.7109375" style="231"/>
    <col min="1065" max="1065" width="10.7109375" style="231" customWidth="1"/>
    <col min="1066" max="1066" width="10.7109375" style="231"/>
    <col min="1067" max="1072" width="10.7109375" style="231" customWidth="1"/>
    <col min="1073" max="1077" width="10.7109375" style="231"/>
    <col min="1078" max="1079" width="10.7109375" style="231" customWidth="1"/>
    <col min="1080" max="1080" width="10.7109375" style="231"/>
    <col min="1081" max="1083" width="10.7109375" style="231" customWidth="1"/>
    <col min="1084" max="1084" width="10.7109375" style="231"/>
    <col min="1085" max="1088" width="10.7109375" style="231" customWidth="1"/>
    <col min="1089" max="1092" width="10.7109375" style="231"/>
    <col min="1093" max="1095" width="10.7109375" style="231" customWidth="1"/>
    <col min="1096" max="1096" width="10.7109375" style="231"/>
    <col min="1097" max="1104" width="10.7109375" style="231" customWidth="1"/>
    <col min="1105" max="1109" width="10.7109375" style="231"/>
    <col min="1110" max="1111" width="10.7109375" style="231" customWidth="1"/>
    <col min="1112" max="1112" width="10.7109375" style="231"/>
    <col min="1113" max="1120" width="10.7109375" style="231" customWidth="1"/>
    <col min="1121" max="1123" width="10.7109375" style="231"/>
    <col min="1124" max="1127" width="10.7109375" style="231" customWidth="1"/>
    <col min="1128" max="1129" width="10.7109375" style="231"/>
    <col min="1130" max="1131" width="10.7109375" style="231" customWidth="1"/>
    <col min="1132" max="1133" width="10.7109375" style="231"/>
    <col min="1134" max="1136" width="10.7109375" style="231" customWidth="1"/>
    <col min="1137" max="1140" width="10.7109375" style="231"/>
    <col min="1141" max="1143" width="10.7109375" style="231" customWidth="1"/>
    <col min="1144" max="1146" width="10.7109375" style="231"/>
    <col min="1147" max="1152" width="10.7109375" style="231" customWidth="1"/>
    <col min="1153" max="1155" width="10.7109375" style="231"/>
    <col min="1156" max="1159" width="10.7109375" style="231" customWidth="1"/>
    <col min="1160" max="1160" width="10.7109375" style="231"/>
    <col min="1161" max="1161" width="10.7109375" style="231" customWidth="1"/>
    <col min="1162" max="1162" width="10.7109375" style="231"/>
    <col min="1163" max="1165" width="10.7109375" style="231" customWidth="1"/>
    <col min="1166" max="1166" width="10.7109375" style="231"/>
    <col min="1167" max="1168" width="10.7109375" style="231" customWidth="1"/>
    <col min="1169" max="1171" width="10.7109375" style="231"/>
    <col min="1172" max="1175" width="10.7109375" style="231" customWidth="1"/>
    <col min="1176" max="1177" width="10.7109375" style="231"/>
    <col min="1178" max="1184" width="10.7109375" style="231" customWidth="1"/>
    <col min="1185" max="1187" width="10.7109375" style="231"/>
    <col min="1188" max="1191" width="10.7109375" style="231" customWidth="1"/>
    <col min="1192" max="1193" width="10.7109375" style="231"/>
    <col min="1194" max="1195" width="10.7109375" style="231" customWidth="1"/>
    <col min="1196" max="1197" width="10.7109375" style="231"/>
    <col min="1198" max="1200" width="10.7109375" style="231" customWidth="1"/>
    <col min="1201" max="1204" width="10.7109375" style="231"/>
    <col min="1205" max="1207" width="10.7109375" style="231" customWidth="1"/>
    <col min="1208" max="1210" width="10.7109375" style="231"/>
    <col min="1211" max="1216" width="10.7109375" style="231" customWidth="1"/>
    <col min="1217" max="1219" width="10.7109375" style="231"/>
    <col min="1220" max="1223" width="10.7109375" style="231" customWidth="1"/>
    <col min="1224" max="1224" width="10.7109375" style="231"/>
    <col min="1225" max="1225" width="10.7109375" style="231" customWidth="1"/>
    <col min="1226" max="1226" width="10.7109375" style="231"/>
    <col min="1227" max="1230" width="10.7109375" style="231" customWidth="1"/>
    <col min="1231" max="1231" width="10.7109375" style="231"/>
    <col min="1232" max="1232" width="10.7109375" style="231" customWidth="1"/>
    <col min="1233" max="1235" width="10.7109375" style="231"/>
    <col min="1236" max="1239" width="10.7109375" style="231" customWidth="1"/>
    <col min="1240" max="1241" width="10.7109375" style="231"/>
    <col min="1242" max="1248" width="10.7109375" style="231" customWidth="1"/>
    <col min="1249" max="1251" width="10.7109375" style="231"/>
    <col min="1252" max="1255" width="10.7109375" style="231" customWidth="1"/>
    <col min="1256" max="1258" width="10.7109375" style="231"/>
    <col min="1259" max="1259" width="10.7109375" style="231" customWidth="1"/>
    <col min="1260" max="1260" width="10.7109375" style="231"/>
    <col min="1261" max="1261" width="10.7109375" style="231" customWidth="1"/>
    <col min="1262" max="1263" width="10.7109375" style="231"/>
    <col min="1264" max="1264" width="10.7109375" style="231" customWidth="1"/>
    <col min="1265" max="1286" width="10.7109375" style="231"/>
    <col min="1287" max="1287" width="10.7109375" style="231" customWidth="1"/>
    <col min="1288" max="1292" width="10.7109375" style="231"/>
    <col min="1293" max="1293" width="10.7109375" style="231" customWidth="1"/>
    <col min="1294" max="1294" width="10.7109375" style="231"/>
    <col min="1295" max="1296" width="10.7109375" style="231" customWidth="1"/>
    <col min="1297" max="1305" width="10.7109375" style="231"/>
    <col min="1306" max="1307" width="10.7109375" style="231" customWidth="1"/>
    <col min="1308" max="1308" width="10.7109375" style="231"/>
    <col min="1309" max="1312" width="10.7109375" style="231" customWidth="1"/>
    <col min="1313" max="1318" width="10.7109375" style="231"/>
    <col min="1319" max="1319" width="10.7109375" style="231" customWidth="1"/>
    <col min="1320" max="1320" width="10.7109375" style="231"/>
    <col min="1321" max="1322" width="10.7109375" style="231" customWidth="1"/>
    <col min="1323" max="1323" width="10.7109375" style="231"/>
    <col min="1324" max="1325" width="10.7109375" style="231" customWidth="1"/>
    <col min="1326" max="1327" width="10.7109375" style="231"/>
    <col min="1328" max="1328" width="10.7109375" style="231" customWidth="1"/>
    <col min="1329" max="1338" width="10.7109375" style="231"/>
    <col min="1339" max="1339" width="10.7109375" style="231" customWidth="1"/>
    <col min="1340" max="1340" width="10.7109375" style="231"/>
    <col min="1341" max="1341" width="10.7109375" style="231" customWidth="1"/>
    <col min="1342" max="1343" width="10.7109375" style="231"/>
    <col min="1344" max="1344" width="10.7109375" style="231" customWidth="1"/>
    <col min="1345" max="1352" width="10.7109375" style="231"/>
    <col min="1353" max="1353" width="10.7109375" style="231" customWidth="1"/>
    <col min="1354" max="1358" width="10.7109375" style="231"/>
    <col min="1359" max="1360" width="10.7109375" style="231" customWidth="1"/>
    <col min="1361" max="1365" width="10.7109375" style="231"/>
    <col min="1366" max="1367" width="10.7109375" style="231" customWidth="1"/>
    <col min="1368" max="1369" width="10.7109375" style="231"/>
    <col min="1370" max="1370" width="10.7109375" style="231" customWidth="1"/>
    <col min="1371" max="1372" width="10.7109375" style="231"/>
    <col min="1373" max="1373" width="10.7109375" style="231" customWidth="1"/>
    <col min="1374" max="1374" width="10.7109375" style="231"/>
    <col min="1375" max="1376" width="10.7109375" style="231" customWidth="1"/>
    <col min="1377" max="1381" width="10.7109375" style="231"/>
    <col min="1382" max="1383" width="10.7109375" style="231" customWidth="1"/>
    <col min="1384" max="1386" width="10.7109375" style="231"/>
    <col min="1387" max="1387" width="10.7109375" style="231" customWidth="1"/>
    <col min="1388" max="1390" width="10.7109375" style="231"/>
    <col min="1391" max="1392" width="10.7109375" style="231" customWidth="1"/>
    <col min="1393" max="1398" width="10.7109375" style="231"/>
    <col min="1399" max="1399" width="10.7109375" style="231" customWidth="1"/>
    <col min="1400" max="1402" width="10.7109375" style="231"/>
    <col min="1403" max="1403" width="10.7109375" style="231" customWidth="1"/>
    <col min="1404" max="1404" width="10.7109375" style="231"/>
    <col min="1405" max="1405" width="10.7109375" style="231" customWidth="1"/>
    <col min="1406" max="1407" width="10.7109375" style="231"/>
    <col min="1408" max="1408" width="10.7109375" style="231" customWidth="1"/>
    <col min="1409" max="1417" width="10.7109375" style="231"/>
    <col min="1418" max="1418" width="10.7109375" style="231" customWidth="1"/>
    <col min="1419" max="1423" width="10.7109375" style="231"/>
    <col min="1424" max="1424" width="10.7109375" style="231" customWidth="1"/>
    <col min="1425" max="1430" width="10.7109375" style="231"/>
    <col min="1431" max="1431" width="10.7109375" style="231" customWidth="1"/>
    <col min="1432" max="1434" width="10.7109375" style="231"/>
    <col min="1435" max="1435" width="10.7109375" style="231" customWidth="1"/>
    <col min="1436" max="1439" width="10.7109375" style="231"/>
    <col min="1440" max="1440" width="10.7109375" style="231" customWidth="1"/>
    <col min="1441" max="1452" width="10.7109375" style="231"/>
    <col min="1453" max="1453" width="10.7109375" style="231" customWidth="1"/>
    <col min="1454" max="1455" width="10.7109375" style="231"/>
    <col min="1456" max="1456" width="10.7109375" style="231" customWidth="1"/>
    <col min="1457" max="1460" width="10.7109375" style="231"/>
    <col min="1461" max="1461" width="10.7109375" style="231" customWidth="1"/>
    <col min="1462" max="1471" width="10.7109375" style="231"/>
    <col min="1472" max="1472" width="10.7109375" style="231" customWidth="1"/>
    <col min="1473" max="1480" width="10.7109375" style="231"/>
    <col min="1481" max="1484" width="10.7109375" style="231" customWidth="1"/>
    <col min="1485" max="1487" width="10.7109375" style="231"/>
    <col min="1488" max="1488" width="10.7109375" style="231" customWidth="1"/>
    <col min="1489" max="1497" width="10.7109375" style="231"/>
    <col min="1498" max="1498" width="10.7109375" style="231" customWidth="1"/>
    <col min="1499" max="1500" width="10.7109375" style="231"/>
    <col min="1501" max="1501" width="10.7109375" style="231" customWidth="1"/>
    <col min="1502" max="1503" width="10.7109375" style="231"/>
    <col min="1504" max="1504" width="10.7109375" style="231" customWidth="1"/>
    <col min="1505" max="1510" width="10.7109375" style="231"/>
    <col min="1511" max="1511" width="10.7109375" style="231" customWidth="1"/>
    <col min="1512" max="1512" width="10.7109375" style="231"/>
    <col min="1513" max="1516" width="10.7109375" style="231" customWidth="1"/>
    <col min="1517" max="1519" width="10.7109375" style="231"/>
    <col min="1520" max="1520" width="10.7109375" style="231" customWidth="1"/>
    <col min="1521" max="1523" width="10.7109375" style="231"/>
    <col min="1524" max="1524" width="10.7109375" style="231" customWidth="1"/>
    <col min="1525" max="1530" width="10.7109375" style="231"/>
    <col min="1531" max="1531" width="10.7109375" style="231" customWidth="1"/>
    <col min="1532" max="1532" width="10.7109375" style="231"/>
    <col min="1533" max="1533" width="10.7109375" style="231" customWidth="1"/>
    <col min="1534" max="1540" width="10.7109375" style="231"/>
    <col min="1541" max="1541" width="10.7109375" style="231" customWidth="1"/>
    <col min="1542" max="1544" width="10.7109375" style="231"/>
    <col min="1545" max="1546" width="10.7109375" style="231" customWidth="1"/>
    <col min="1547" max="1551" width="10.7109375" style="231"/>
    <col min="1552" max="1552" width="10.7109375" style="231" customWidth="1"/>
    <col min="1553" max="1558" width="10.7109375" style="231"/>
    <col min="1559" max="1559" width="10.7109375" style="231" customWidth="1"/>
    <col min="1560" max="1560" width="10.7109375" style="231"/>
    <col min="1561" max="1562" width="10.7109375" style="231" customWidth="1"/>
    <col min="1563" max="1567" width="10.7109375" style="231"/>
    <col min="1568" max="1568" width="10.7109375" style="231" customWidth="1"/>
    <col min="1569" max="1572" width="10.7109375" style="231"/>
    <col min="1573" max="1573" width="10.7109375" style="231" customWidth="1"/>
    <col min="1574" max="1578" width="10.7109375" style="231"/>
    <col min="1579" max="1579" width="10.7109375" style="231" customWidth="1"/>
    <col min="1580" max="1580" width="10.7109375" style="231"/>
    <col min="1581" max="1581" width="10.7109375" style="231" customWidth="1"/>
    <col min="1582" max="1583" width="10.7109375" style="231"/>
    <col min="1584" max="1584" width="10.7109375" style="231" customWidth="1"/>
    <col min="1585" max="1595" width="10.7109375" style="231"/>
    <col min="1596" max="1597" width="10.7109375" style="231" customWidth="1"/>
    <col min="1598" max="1599" width="10.7109375" style="231"/>
    <col min="1600" max="1600" width="10.7109375" style="231" customWidth="1"/>
    <col min="1601" max="1608" width="10.7109375" style="231"/>
    <col min="1609" max="1609" width="10.7109375" style="231" customWidth="1"/>
    <col min="1610" max="1612" width="10.7109375" style="231"/>
    <col min="1613" max="1613" width="10.7109375" style="231" customWidth="1"/>
    <col min="1614" max="1614" width="10.7109375" style="231"/>
    <col min="1615" max="1616" width="10.7109375" style="231" customWidth="1"/>
    <col min="1617" max="1626" width="10.7109375" style="231"/>
    <col min="1627" max="1627" width="10.7109375" style="231" customWidth="1"/>
    <col min="1628" max="1635" width="10.7109375" style="231"/>
    <col min="1636" max="1637" width="10.7109375" style="231" customWidth="1"/>
    <col min="1638" max="1641" width="10.7109375" style="231"/>
    <col min="1642" max="1645" width="10.7109375" style="231" customWidth="1"/>
    <col min="1646" max="1647" width="10.7109375" style="231"/>
    <col min="1648" max="1648" width="10.7109375" style="231" customWidth="1"/>
    <col min="1649" max="1660" width="10.7109375" style="231"/>
    <col min="1661" max="1661" width="10.7109375" style="231" customWidth="1"/>
    <col min="1662" max="1663" width="10.7109375" style="231"/>
    <col min="1664" max="1664" width="10.7109375" style="231" customWidth="1"/>
    <col min="1665" max="1667" width="10.7109375" style="231"/>
    <col min="1668" max="1668" width="10.7109375" style="231" customWidth="1"/>
    <col min="1669" max="1678" width="10.7109375" style="231"/>
    <col min="1679" max="1680" width="10.7109375" style="231" customWidth="1"/>
    <col min="1681" max="1686" width="10.7109375" style="231"/>
    <col min="1687" max="1687" width="10.7109375" style="231" customWidth="1"/>
    <col min="1688" max="1692" width="10.7109375" style="231"/>
    <col min="1693" max="1693" width="10.7109375" style="231" customWidth="1"/>
    <col min="1694" max="1695" width="10.7109375" style="231"/>
    <col min="1696" max="1696" width="10.7109375" style="231" customWidth="1"/>
    <col min="1697" max="1699" width="10.7109375" style="231"/>
    <col min="1700" max="1700" width="10.7109375" style="231" customWidth="1"/>
    <col min="1701" max="1705" width="10.7109375" style="231"/>
    <col min="1706" max="1707" width="10.7109375" style="231" customWidth="1"/>
    <col min="1708" max="1711" width="10.7109375" style="231"/>
    <col min="1712" max="1712" width="10.7109375" style="231" customWidth="1"/>
    <col min="1713" max="1718" width="10.7109375" style="231"/>
    <col min="1719" max="1719" width="10.7109375" style="231" customWidth="1"/>
    <col min="1720" max="1722" width="10.7109375" style="231"/>
    <col min="1723" max="1723" width="10.7109375" style="231" customWidth="1"/>
    <col min="1724" max="1724" width="10.7109375" style="231"/>
    <col min="1725" max="1728" width="10.7109375" style="231" customWidth="1"/>
    <col min="1729" max="1732" width="10.7109375" style="231"/>
    <col min="1733" max="1733" width="10.7109375" style="231" customWidth="1"/>
    <col min="1734" max="1734" width="10.7109375" style="231"/>
    <col min="1735" max="1735" width="10.7109375" style="231" customWidth="1"/>
    <col min="1736" max="1738" width="10.7109375" style="231"/>
    <col min="1739" max="1739" width="10.7109375" style="231" customWidth="1"/>
    <col min="1740" max="1740" width="10.7109375" style="231"/>
    <col min="1741" max="1741" width="10.7109375" style="231" customWidth="1"/>
    <col min="1742" max="1742" width="10.7109375" style="231"/>
    <col min="1743" max="1744" width="10.7109375" style="231" customWidth="1"/>
    <col min="1745" max="1750" width="10.7109375" style="231"/>
    <col min="1751" max="1751" width="10.7109375" style="231" customWidth="1"/>
    <col min="1752" max="1752" width="10.7109375" style="231"/>
    <col min="1753" max="1753" width="10.7109375" style="231" customWidth="1"/>
    <col min="1754" max="1758" width="10.7109375" style="231"/>
    <col min="1759" max="1760" width="10.7109375" style="231" customWidth="1"/>
    <col min="1761" max="1763" width="10.7109375" style="231"/>
    <col min="1764" max="1764" width="10.7109375" style="231" customWidth="1"/>
    <col min="1765" max="1769" width="10.7109375" style="231"/>
    <col min="1770" max="1770" width="10.7109375" style="231" customWidth="1"/>
    <col min="1771" max="1771" width="10.7109375" style="231"/>
    <col min="1772" max="1772" width="10.7109375" style="231" customWidth="1"/>
    <col min="1773" max="1775" width="10.7109375" style="231"/>
    <col min="1776" max="1776" width="10.7109375" style="231" customWidth="1"/>
    <col min="1777" max="1779" width="10.7109375" style="231"/>
    <col min="1780" max="1780" width="10.7109375" style="231" customWidth="1"/>
    <col min="1781" max="1786" width="10.7109375" style="231"/>
    <col min="1787" max="1787" width="10.7109375" style="231" customWidth="1"/>
    <col min="1788" max="1791" width="10.7109375" style="231"/>
    <col min="1792" max="1792" width="10.7109375" style="231" customWidth="1"/>
    <col min="1793" max="1803" width="10.7109375" style="231"/>
    <col min="1804" max="1805" width="10.7109375" style="231" customWidth="1"/>
    <col min="1806" max="1807" width="10.7109375" style="231"/>
    <col min="1808" max="1808" width="10.7109375" style="231" customWidth="1"/>
    <col min="1809" max="1814" width="10.7109375" style="231"/>
    <col min="1815" max="1815" width="10.7109375" style="231" customWidth="1"/>
    <col min="1816" max="1823" width="10.7109375" style="231"/>
    <col min="1824" max="1824" width="10.7109375" style="231" customWidth="1"/>
    <col min="1825" max="1828" width="10.7109375" style="231"/>
    <col min="1829" max="1829" width="10.7109375" style="231" customWidth="1"/>
    <col min="1830" max="1839" width="10.7109375" style="231"/>
    <col min="1840" max="1840" width="10.7109375" style="231" customWidth="1"/>
    <col min="1841" max="1844" width="10.7109375" style="231"/>
    <col min="1845" max="1845" width="10.7109375" style="231" customWidth="1"/>
    <col min="1846" max="1846" width="10.7109375" style="231"/>
    <col min="1847" max="1847" width="10.7109375" style="231" customWidth="1"/>
    <col min="1848" max="1850" width="10.7109375" style="231"/>
    <col min="1851" max="1851" width="10.7109375" style="231" customWidth="1"/>
    <col min="1852" max="1852" width="10.7109375" style="231"/>
    <col min="1853" max="1853" width="10.7109375" style="231" customWidth="1"/>
    <col min="1854" max="1855" width="10.7109375" style="231"/>
    <col min="1856" max="1856" width="10.7109375" style="231" customWidth="1"/>
    <col min="1857" max="1864" width="10.7109375" style="231"/>
    <col min="1865" max="1865" width="10.7109375" style="231" customWidth="1"/>
    <col min="1866" max="1871" width="10.7109375" style="231"/>
    <col min="1872" max="1872" width="10.7109375" style="231" customWidth="1"/>
    <col min="1873" max="1876" width="10.7109375" style="231"/>
    <col min="1877" max="1877" width="10.7109375" style="231" customWidth="1"/>
    <col min="1878" max="1881" width="10.7109375" style="231"/>
    <col min="1882" max="1882" width="10.7109375" style="231" customWidth="1"/>
    <col min="1883" max="1883" width="10.7109375" style="231"/>
    <col min="1884" max="1885" width="10.7109375" style="231" customWidth="1"/>
    <col min="1886" max="1887" width="10.7109375" style="231"/>
    <col min="1888" max="1888" width="10.7109375" style="231" customWidth="1"/>
    <col min="1889" max="1894" width="10.7109375" style="231"/>
    <col min="1895" max="1895" width="10.7109375" style="231" customWidth="1"/>
    <col min="1896" max="1898" width="10.7109375" style="231"/>
    <col min="1899" max="1899" width="10.7109375" style="231" customWidth="1"/>
    <col min="1900" max="1900" width="10.7109375" style="231"/>
    <col min="1901" max="1901" width="10.7109375" style="231" customWidth="1"/>
    <col min="1902" max="1903" width="10.7109375" style="231"/>
    <col min="1904" max="1904" width="10.7109375" style="231" customWidth="1"/>
    <col min="1905" max="1908" width="10.7109375" style="231"/>
    <col min="1909" max="1909" width="10.7109375" style="231" customWidth="1"/>
    <col min="1910" max="1912" width="10.7109375" style="231"/>
    <col min="1913" max="1913" width="10.7109375" style="231" customWidth="1"/>
    <col min="1914" max="1914" width="10.7109375" style="231"/>
    <col min="1915" max="1917" width="10.7109375" style="231" customWidth="1"/>
    <col min="1918" max="1919" width="10.7109375" style="231"/>
    <col min="1920" max="1920" width="10.7109375" style="231" customWidth="1"/>
    <col min="1921" max="1930" width="10.7109375" style="231"/>
    <col min="1931" max="1931" width="10.7109375" style="231" customWidth="1"/>
    <col min="1932" max="1932" width="10.7109375" style="231"/>
    <col min="1933" max="1933" width="10.7109375" style="231" customWidth="1"/>
    <col min="1934" max="1935" width="10.7109375" style="231"/>
    <col min="1936" max="1936" width="10.7109375" style="231" customWidth="1"/>
    <col min="1937" max="1939" width="10.7109375" style="231"/>
    <col min="1940" max="1941" width="10.7109375" style="231" customWidth="1"/>
    <col min="1942" max="1946" width="10.7109375" style="231"/>
    <col min="1947" max="1947" width="10.7109375" style="231" customWidth="1"/>
    <col min="1948" max="1948" width="10.7109375" style="231"/>
    <col min="1949" max="1949" width="10.7109375" style="231" customWidth="1"/>
    <col min="1950" max="1951" width="10.7109375" style="231"/>
    <col min="1952" max="1952" width="10.7109375" style="231" customWidth="1"/>
    <col min="1953" max="1967" width="10.7109375" style="231"/>
    <col min="1968" max="1968" width="10.7109375" style="231" customWidth="1"/>
    <col min="1969" max="1974" width="10.7109375" style="231"/>
    <col min="1975" max="1975" width="10.7109375" style="231" customWidth="1"/>
    <col min="1976" max="1980" width="10.7109375" style="231"/>
    <col min="1981" max="1981" width="10.7109375" style="231" customWidth="1"/>
    <col min="1982" max="1982" width="10.7109375" style="231"/>
    <col min="1983" max="1984" width="10.7109375" style="231" customWidth="1"/>
    <col min="1985" max="1999" width="10.7109375" style="231"/>
    <col min="2000" max="2000" width="10.7109375" style="231" customWidth="1"/>
    <col min="2001" max="2003" width="10.7109375" style="231"/>
    <col min="2004" max="2004" width="10.7109375" style="231" customWidth="1"/>
    <col min="2005" max="2009" width="10.7109375" style="231"/>
    <col min="2010" max="2011" width="10.7109375" style="231" customWidth="1"/>
    <col min="2012" max="2012" width="10.7109375" style="231"/>
    <col min="2013" max="2013" width="10.7109375" style="231" customWidth="1"/>
    <col min="2014" max="2015" width="10.7109375" style="231"/>
    <col min="2016" max="2016" width="10.7109375" style="231" customWidth="1"/>
    <col min="2017" max="2028" width="10.7109375" style="231"/>
    <col min="2029" max="2029" width="10.7109375" style="231" customWidth="1"/>
    <col min="2030" max="2031" width="10.7109375" style="231"/>
    <col min="2032" max="2032" width="10.7109375" style="231" customWidth="1"/>
    <col min="2033" max="2038" width="10.7109375" style="231"/>
    <col min="2039" max="2039" width="10.7109375" style="231" customWidth="1"/>
    <col min="2040" max="2040" width="10.7109375" style="231"/>
    <col min="2041" max="2041" width="10.7109375" style="231" customWidth="1"/>
    <col min="2042" max="2042" width="10.7109375" style="231"/>
    <col min="2043" max="2043" width="10.7109375" style="231" customWidth="1"/>
    <col min="2044" max="2044" width="10.7109375" style="231"/>
    <col min="2045" max="2048" width="10.7109375" style="231" customWidth="1"/>
    <col min="2049" max="2054" width="10.7109375" style="231"/>
    <col min="2055" max="2055" width="10.7109375" style="231" customWidth="1"/>
    <col min="2056" max="2058" width="10.7109375" style="231"/>
    <col min="2059" max="2059" width="10.7109375" style="231" customWidth="1"/>
    <col min="2060" max="2060" width="10.7109375" style="231"/>
    <col min="2061" max="2064" width="10.7109375" style="231" customWidth="1"/>
    <col min="2065" max="2068" width="10.7109375" style="231"/>
    <col min="2069" max="2071" width="10.7109375" style="231" customWidth="1"/>
    <col min="2072" max="2072" width="10.7109375" style="231"/>
    <col min="2073" max="2074" width="10.7109375" style="231" customWidth="1"/>
    <col min="2075" max="2078" width="10.7109375" style="231"/>
    <col min="2079" max="2080" width="10.7109375" style="231" customWidth="1"/>
    <col min="2081" max="2092" width="10.7109375" style="231"/>
    <col min="2093" max="2093" width="10.7109375" style="231" customWidth="1"/>
    <col min="2094" max="2095" width="10.7109375" style="231"/>
    <col min="2096" max="2096" width="10.7109375" style="231" customWidth="1"/>
    <col min="2097" max="2104" width="10.7109375" style="231"/>
    <col min="2105" max="2105" width="10.7109375" style="231" customWidth="1"/>
    <col min="2106" max="2110" width="10.7109375" style="231"/>
    <col min="2111" max="2112" width="10.7109375" style="231" customWidth="1"/>
    <col min="2113" max="2124" width="10.7109375" style="231"/>
    <col min="2125" max="2125" width="10.7109375" style="231" customWidth="1"/>
    <col min="2126" max="2127" width="10.7109375" style="231"/>
    <col min="2128" max="2128" width="10.7109375" style="231" customWidth="1"/>
    <col min="2129" max="2132" width="10.7109375" style="231"/>
    <col min="2133" max="2133" width="10.7109375" style="231" customWidth="1"/>
    <col min="2134" max="2136" width="10.7109375" style="231"/>
    <col min="2137" max="2137" width="10.7109375" style="231" customWidth="1"/>
    <col min="2138" max="2140" width="10.7109375" style="231"/>
    <col min="2141" max="2141" width="10.7109375" style="231" customWidth="1"/>
    <col min="2142" max="2142" width="10.7109375" style="231"/>
    <col min="2143" max="2144" width="10.7109375" style="231" customWidth="1"/>
    <col min="2145" max="2154" width="10.7109375" style="231"/>
    <col min="2155" max="2155" width="10.7109375" style="231" customWidth="1"/>
    <col min="2156" max="2159" width="10.7109375" style="231"/>
    <col min="2160" max="2160" width="10.7109375" style="231" customWidth="1"/>
    <col min="2161" max="2163" width="10.7109375" style="231"/>
    <col min="2164" max="2164" width="10.7109375" style="231" customWidth="1"/>
    <col min="2165" max="2168" width="10.7109375" style="231"/>
    <col min="2169" max="2170" width="10.7109375" style="231" customWidth="1"/>
    <col min="2171" max="2172" width="10.7109375" style="231"/>
    <col min="2173" max="2173" width="10.7109375" style="231" customWidth="1"/>
    <col min="2174" max="2175" width="10.7109375" style="231"/>
    <col min="2176" max="2176" width="10.7109375" style="231" customWidth="1"/>
    <col min="2177" max="2179" width="10.7109375" style="231"/>
    <col min="2180" max="2181" width="10.7109375" style="231" customWidth="1"/>
    <col min="2182" max="2188" width="10.7109375" style="231"/>
    <col min="2189" max="2189" width="10.7109375" style="231" customWidth="1"/>
    <col min="2190" max="2190" width="10.7109375" style="231"/>
    <col min="2191" max="2192" width="10.7109375" style="231" customWidth="1"/>
    <col min="2193" max="2195" width="10.7109375" style="231"/>
    <col min="2196" max="2196" width="10.7109375" style="231" customWidth="1"/>
    <col min="2197" max="2200" width="10.7109375" style="231"/>
    <col min="2201" max="2201" width="10.7109375" style="231" customWidth="1"/>
    <col min="2202" max="2202" width="10.7109375" style="231"/>
    <col min="2203" max="2204" width="10.7109375" style="231" customWidth="1"/>
    <col min="2205" max="2207" width="10.7109375" style="231"/>
    <col min="2208" max="2208" width="10.7109375" style="231" customWidth="1"/>
    <col min="2209" max="2216" width="10.7109375" style="231"/>
    <col min="2217" max="2217" width="10.7109375" style="231" customWidth="1"/>
    <col min="2218" max="2220" width="10.7109375" style="231"/>
    <col min="2221" max="2221" width="10.7109375" style="231" customWidth="1"/>
    <col min="2222" max="2223" width="10.7109375" style="231"/>
    <col min="2224" max="2224" width="10.7109375" style="231" customWidth="1"/>
    <col min="2225" max="2227" width="10.7109375" style="231"/>
    <col min="2228" max="2228" width="10.7109375" style="231" customWidth="1"/>
    <col min="2229" max="2232" width="10.7109375" style="231"/>
    <col min="2233" max="2233" width="10.7109375" style="231" customWidth="1"/>
    <col min="2234" max="2236" width="10.7109375" style="231"/>
    <col min="2237" max="2237" width="10.7109375" style="231" customWidth="1"/>
    <col min="2238" max="2238" width="10.7109375" style="231"/>
    <col min="2239" max="2240" width="10.7109375" style="231" customWidth="1"/>
    <col min="2241" max="2243" width="10.7109375" style="231"/>
    <col min="2244" max="2244" width="10.7109375" style="231" customWidth="1"/>
    <col min="2245" max="2250" width="10.7109375" style="231"/>
    <col min="2251" max="2251" width="10.7109375" style="231" customWidth="1"/>
    <col min="2252" max="2252" width="10.7109375" style="231"/>
    <col min="2253" max="2253" width="10.7109375" style="231" customWidth="1"/>
    <col min="2254" max="2255" width="10.7109375" style="231"/>
    <col min="2256" max="2256" width="10.7109375" style="231" customWidth="1"/>
    <col min="2257" max="2259" width="10.7109375" style="231"/>
    <col min="2260" max="2261" width="10.7109375" style="231" customWidth="1"/>
    <col min="2262" max="2266" width="10.7109375" style="231"/>
    <col min="2267" max="2267" width="10.7109375" style="231" customWidth="1"/>
    <col min="2268" max="2268" width="10.7109375" style="231"/>
    <col min="2269" max="2269" width="10.7109375" style="231" customWidth="1"/>
    <col min="2270" max="2271" width="10.7109375" style="231"/>
    <col min="2272" max="2272" width="10.7109375" style="231" customWidth="1"/>
    <col min="2273" max="2294" width="10.7109375" style="231"/>
    <col min="2295" max="2296" width="10.7109375" style="231" customWidth="1"/>
    <col min="2297" max="2297" width="10.7109375" style="231"/>
    <col min="2298" max="2299" width="10.7109375" style="231" customWidth="1"/>
    <col min="2300" max="2315" width="10.7109375" style="231"/>
    <col min="2316" max="2317" width="10.7109375" style="231" customWidth="1"/>
    <col min="2318" max="2321" width="10.7109375" style="231"/>
    <col min="2322" max="2322" width="10.7109375" style="231" customWidth="1"/>
    <col min="2323" max="2324" width="10.7109375" style="231"/>
    <col min="2325" max="2325" width="10.7109375" style="231" customWidth="1"/>
    <col min="2326" max="2329" width="10.7109375" style="231"/>
    <col min="2330" max="2333" width="10.7109375" style="231" customWidth="1"/>
    <col min="2334" max="2335" width="10.7109375" style="231"/>
    <col min="2336" max="2337" width="10.7109375" style="231" customWidth="1"/>
    <col min="2338" max="2339" width="10.7109375" style="231"/>
    <col min="2340" max="2340" width="10.7109375" style="231" customWidth="1"/>
    <col min="2341" max="2343" width="10.7109375" style="231"/>
    <col min="2344" max="2345" width="10.7109375" style="231" customWidth="1"/>
    <col min="2346" max="2347" width="10.7109375" style="231"/>
    <col min="2348" max="2348" width="10.7109375" style="231" customWidth="1"/>
    <col min="2349" max="2351" width="10.7109375" style="231"/>
    <col min="2352" max="2352" width="10.7109375" style="231" customWidth="1"/>
    <col min="2353" max="2353" width="10.7109375" style="231"/>
    <col min="2354" max="2357" width="10.7109375" style="231" customWidth="1"/>
    <col min="2358" max="2359" width="10.7109375" style="231"/>
    <col min="2360" max="2360" width="10.7109375" style="231" customWidth="1"/>
    <col min="2361" max="2361" width="10.7109375" style="231"/>
    <col min="2362" max="2363" width="10.7109375" style="231" customWidth="1"/>
    <col min="2364" max="2367" width="10.7109375" style="231"/>
    <col min="2368" max="2370" width="10.7109375" style="231" customWidth="1"/>
    <col min="2371" max="2374" width="10.7109375" style="231"/>
    <col min="2375" max="2376" width="10.7109375" style="231" customWidth="1"/>
    <col min="2377" max="2380" width="10.7109375" style="231"/>
    <col min="2381" max="2381" width="10.7109375" style="231" customWidth="1"/>
    <col min="2382" max="2382" width="10.7109375" style="231"/>
    <col min="2383" max="2384" width="10.7109375" style="231" customWidth="1"/>
    <col min="2385" max="2395" width="10.7109375" style="231"/>
    <col min="2396" max="2396" width="10.7109375" style="231" customWidth="1"/>
    <col min="2397" max="2401" width="10.7109375" style="231"/>
    <col min="2402" max="2402" width="10.7109375" style="231" customWidth="1"/>
    <col min="2403" max="2407" width="10.7109375" style="231"/>
    <col min="2408" max="2409" width="10.7109375" style="231" customWidth="1"/>
    <col min="2410" max="2414" width="10.7109375" style="231"/>
    <col min="2415" max="2417" width="10.7109375" style="231" customWidth="1"/>
    <col min="2418" max="2418" width="10.7109375" style="231"/>
    <col min="2419" max="2419" width="10.7109375" style="231" customWidth="1"/>
    <col min="2420" max="2420" width="10.7109375" style="231"/>
    <col min="2421" max="2424" width="10.7109375" style="231" customWidth="1"/>
    <col min="2425" max="2425" width="10.7109375" style="231"/>
    <col min="2426" max="2427" width="10.7109375" style="231" customWidth="1"/>
    <col min="2428" max="2428" width="10.7109375" style="231"/>
    <col min="2429" max="2432" width="10.7109375" style="231" customWidth="1"/>
    <col min="2433" max="2433" width="10.7109375" style="231"/>
    <col min="2434" max="2435" width="10.7109375" style="231" customWidth="1"/>
    <col min="2436" max="2436" width="10.7109375" style="231"/>
    <col min="2437" max="2440" width="10.7109375" style="231" customWidth="1"/>
    <col min="2441" max="2441" width="10.7109375" style="231"/>
    <col min="2442" max="2443" width="10.7109375" style="231" customWidth="1"/>
    <col min="2444" max="2444" width="10.7109375" style="231"/>
    <col min="2445" max="2449" width="10.7109375" style="231" customWidth="1"/>
    <col min="2450" max="2454" width="10.7109375" style="231"/>
    <col min="2455" max="2456" width="10.7109375" style="231" customWidth="1"/>
    <col min="2457" max="2457" width="10.7109375" style="231"/>
    <col min="2458" max="2461" width="10.7109375" style="231" customWidth="1"/>
    <col min="2462" max="2463" width="10.7109375" style="231"/>
    <col min="2464" max="2465" width="10.7109375" style="231" customWidth="1"/>
    <col min="2466" max="2466" width="10.7109375" style="231"/>
    <col min="2467" max="2468" width="10.7109375" style="231" customWidth="1"/>
    <col min="2469" max="2471" width="10.7109375" style="231"/>
    <col min="2472" max="2473" width="10.7109375" style="231" customWidth="1"/>
    <col min="2474" max="2474" width="10.7109375" style="231"/>
    <col min="2475" max="2476" width="10.7109375" style="231" customWidth="1"/>
    <col min="2477" max="2479" width="10.7109375" style="231"/>
    <col min="2480" max="2480" width="10.7109375" style="231" customWidth="1"/>
    <col min="2481" max="2481" width="10.7109375" style="231"/>
    <col min="2482" max="2483" width="10.7109375" style="231" customWidth="1"/>
    <col min="2484" max="2484" width="10.7109375" style="231"/>
    <col min="2485" max="2485" width="10.7109375" style="231" customWidth="1"/>
    <col min="2486" max="2487" width="10.7109375" style="231"/>
    <col min="2488" max="2488" width="10.7109375" style="231" customWidth="1"/>
    <col min="2489" max="2489" width="10.7109375" style="231"/>
    <col min="2490" max="2491" width="10.7109375" style="231" customWidth="1"/>
    <col min="2492" max="2510" width="10.7109375" style="231"/>
    <col min="2511" max="2511" width="10.7109375" style="231" customWidth="1"/>
    <col min="2512" max="2513" width="10.7109375" style="231"/>
    <col min="2514" max="2515" width="10.7109375" style="231" customWidth="1"/>
    <col min="2516" max="2525" width="10.7109375" style="231"/>
    <col min="2526" max="2526" width="10.7109375" style="231" customWidth="1"/>
    <col min="2527" max="2527" width="10.7109375" style="231"/>
    <col min="2528" max="2528" width="10.7109375" style="231" customWidth="1"/>
    <col min="2529" max="2529" width="10.7109375" style="231"/>
    <col min="2530" max="2531" width="10.7109375" style="231" customWidth="1"/>
    <col min="2532" max="2534" width="10.7109375" style="231"/>
    <col min="2535" max="2536" width="10.7109375" style="231" customWidth="1"/>
    <col min="2537" max="2537" width="10.7109375" style="231"/>
    <col min="2538" max="2538" width="10.7109375" style="231" customWidth="1"/>
    <col min="2539" max="2541" width="10.7109375" style="231"/>
    <col min="2542" max="2543" width="10.7109375" style="231" customWidth="1"/>
    <col min="2544" max="2544" width="10.7109375" style="231"/>
    <col min="2545" max="2546" width="10.7109375" style="231" customWidth="1"/>
    <col min="2547" max="2551" width="10.7109375" style="231"/>
    <col min="2552" max="2554" width="10.7109375" style="231" customWidth="1"/>
    <col min="2555" max="2555" width="10.7109375" style="231"/>
    <col min="2556" max="2557" width="10.7109375" style="231" customWidth="1"/>
    <col min="2558" max="2559" width="10.7109375" style="231"/>
    <col min="2560" max="2560" width="10.7109375" style="231" customWidth="1"/>
    <col min="2561" max="2564" width="10.7109375" style="231"/>
    <col min="2565" max="2565" width="10.7109375" style="231" customWidth="1"/>
    <col min="2566" max="2567" width="10.7109375" style="231"/>
    <col min="2568" max="2568" width="10.7109375" style="231" customWidth="1"/>
    <col min="2569" max="2571" width="10.7109375" style="231"/>
    <col min="2572" max="2573" width="10.7109375" style="231" customWidth="1"/>
    <col min="2574" max="2576" width="10.7109375" style="231"/>
    <col min="2577" max="2577" width="10.7109375" style="231" customWidth="1"/>
    <col min="2578" max="2579" width="10.7109375" style="231"/>
    <col min="2580" max="2580" width="10.7109375" style="231" customWidth="1"/>
    <col min="2581" max="2583" width="10.7109375" style="231"/>
    <col min="2584" max="2585" width="10.7109375" style="231" customWidth="1"/>
    <col min="2586" max="2590" width="10.7109375" style="231"/>
    <col min="2591" max="2593" width="10.7109375" style="231" customWidth="1"/>
    <col min="2594" max="2594" width="10.7109375" style="231"/>
    <col min="2595" max="2595" width="10.7109375" style="231" customWidth="1"/>
    <col min="2596" max="2596" width="10.7109375" style="231"/>
    <col min="2597" max="2600" width="10.7109375" style="231" customWidth="1"/>
    <col min="2601" max="2601" width="10.7109375" style="231"/>
    <col min="2602" max="2603" width="10.7109375" style="231" customWidth="1"/>
    <col min="2604" max="2604" width="10.7109375" style="231"/>
    <col min="2605" max="2605" width="10.7109375" style="231" customWidth="1"/>
    <col min="2606" max="2606" width="10.7109375" style="231"/>
    <col min="2607" max="2608" width="10.7109375" style="231" customWidth="1"/>
    <col min="2609" max="2609" width="10.7109375" style="231"/>
    <col min="2610" max="2611" width="10.7109375" style="231" customWidth="1"/>
    <col min="2612" max="2612" width="10.7109375" style="231"/>
    <col min="2613" max="2616" width="10.7109375" style="231" customWidth="1"/>
    <col min="2617" max="2617" width="10.7109375" style="231"/>
    <col min="2618" max="2619" width="10.7109375" style="231" customWidth="1"/>
    <col min="2620" max="2620" width="10.7109375" style="231"/>
    <col min="2621" max="2624" width="10.7109375" style="231" customWidth="1"/>
    <col min="2625" max="2625" width="10.7109375" style="231"/>
    <col min="2626" max="2627" width="10.7109375" style="231" customWidth="1"/>
    <col min="2628" max="2628" width="10.7109375" style="231"/>
    <col min="2629" max="2632" width="10.7109375" style="231" customWidth="1"/>
    <col min="2633" max="2633" width="10.7109375" style="231"/>
    <col min="2634" max="2635" width="10.7109375" style="231" customWidth="1"/>
    <col min="2636" max="2636" width="10.7109375" style="231"/>
    <col min="2637" max="2642" width="10.7109375" style="231" customWidth="1"/>
    <col min="2643" max="2646" width="10.7109375" style="231"/>
    <col min="2647" max="2648" width="10.7109375" style="231" customWidth="1"/>
    <col min="2649" max="2650" width="10.7109375" style="231"/>
    <col min="2651" max="2651" width="10.7109375" style="231" customWidth="1"/>
    <col min="2652" max="2657" width="10.7109375" style="231"/>
    <col min="2658" max="2658" width="10.7109375" style="231" customWidth="1"/>
    <col min="2659" max="2663" width="10.7109375" style="231"/>
    <col min="2664" max="2664" width="10.7109375" style="231" customWidth="1"/>
    <col min="2665" max="2665" width="10.7109375" style="231"/>
    <col min="2666" max="2667" width="10.7109375" style="231" customWidth="1"/>
    <col min="2668" max="2671" width="10.7109375" style="231"/>
    <col min="2672" max="2673" width="10.7109375" style="231" customWidth="1"/>
    <col min="2674" max="2679" width="10.7109375" style="231"/>
    <col min="2680" max="2680" width="10.7109375" style="231" customWidth="1"/>
    <col min="2681" max="2682" width="10.7109375" style="231"/>
    <col min="2683" max="2685" width="10.7109375" style="231" customWidth="1"/>
    <col min="2686" max="2687" width="10.7109375" style="231"/>
    <col min="2688" max="2688" width="10.7109375" style="231" customWidth="1"/>
    <col min="2689" max="2692" width="10.7109375" style="231"/>
    <col min="2693" max="2693" width="10.7109375" style="231" customWidth="1"/>
    <col min="2694" max="2695" width="10.7109375" style="231"/>
    <col min="2696" max="2696" width="10.7109375" style="231" customWidth="1"/>
    <col min="2697" max="2697" width="10.7109375" style="231"/>
    <col min="2698" max="2698" width="10.7109375" style="231" customWidth="1"/>
    <col min="2699" max="2700" width="10.7109375" style="231"/>
    <col min="2701" max="2701" width="10.7109375" style="231" customWidth="1"/>
    <col min="2702" max="2703" width="10.7109375" style="231"/>
    <col min="2704" max="2705" width="10.7109375" style="231" customWidth="1"/>
    <col min="2706" max="2708" width="10.7109375" style="231"/>
    <col min="2709" max="2709" width="10.7109375" style="231" customWidth="1"/>
    <col min="2710" max="2710" width="10.7109375" style="231"/>
    <col min="2711" max="2712" width="10.7109375" style="231" customWidth="1"/>
    <col min="2713" max="2716" width="10.7109375" style="231"/>
    <col min="2717" max="2717" width="10.7109375" style="231" customWidth="1"/>
    <col min="2718" max="2719" width="10.7109375" style="231"/>
    <col min="2720" max="2720" width="10.7109375" style="231" customWidth="1"/>
    <col min="2721" max="2721" width="10.7109375" style="231"/>
    <col min="2722" max="2722" width="10.7109375" style="231" customWidth="1"/>
    <col min="2723" max="2727" width="10.7109375" style="231"/>
    <col min="2728" max="2730" width="10.7109375" style="231" customWidth="1"/>
    <col min="2731" max="2731" width="10.7109375" style="231"/>
    <col min="2732" max="2732" width="10.7109375" style="231" customWidth="1"/>
    <col min="2733" max="2735" width="10.7109375" style="231"/>
    <col min="2736" max="2736" width="10.7109375" style="231" customWidth="1"/>
    <col min="2737" max="2737" width="10.7109375" style="231"/>
    <col min="2738" max="2738" width="10.7109375" style="231" customWidth="1"/>
    <col min="2739" max="2747" width="10.7109375" style="231"/>
    <col min="2748" max="2748" width="10.7109375" style="231" customWidth="1"/>
    <col min="2749" max="2770" width="10.7109375" style="231"/>
    <col min="2771" max="2772" width="10.7109375" style="231" customWidth="1"/>
    <col min="2773" max="2777" width="10.7109375" style="231"/>
    <col min="2778" max="2778" width="10.7109375" style="231" customWidth="1"/>
    <col min="2779" max="2780" width="10.7109375" style="231"/>
    <col min="2781" max="2781" width="10.7109375" style="231" customWidth="1"/>
    <col min="2782" max="2783" width="10.7109375" style="231"/>
    <col min="2784" max="2785" width="10.7109375" style="231" customWidth="1"/>
    <col min="2786" max="2792" width="10.7109375" style="231"/>
    <col min="2793" max="2794" width="10.7109375" style="231" customWidth="1"/>
    <col min="2795" max="2795" width="10.7109375" style="231"/>
    <col min="2796" max="2796" width="10.7109375" style="231" customWidth="1"/>
    <col min="2797" max="2800" width="10.7109375" style="231"/>
    <col min="2801" max="2801" width="10.7109375" style="231" customWidth="1"/>
    <col min="2802" max="2804" width="10.7109375" style="231"/>
    <col min="2805" max="2805" width="10.7109375" style="231" customWidth="1"/>
    <col min="2806" max="2806" width="10.7109375" style="231"/>
    <col min="2807" max="2812" width="10.7109375" style="231" customWidth="1"/>
    <col min="2813" max="2813" width="10.7109375" style="231"/>
    <col min="2814" max="2814" width="10.7109375" style="231" customWidth="1"/>
    <col min="2815" max="2815" width="10.7109375" style="231"/>
    <col min="2816" max="2816" width="10.7109375" style="231" customWidth="1"/>
    <col min="2817" max="2817" width="10.7109375" style="231"/>
    <col min="2818" max="2821" width="10.7109375" style="231" customWidth="1"/>
    <col min="2822" max="2823" width="10.7109375" style="231"/>
    <col min="2824" max="2828" width="10.7109375" style="231" customWidth="1"/>
    <col min="2829" max="2831" width="10.7109375" style="231"/>
    <col min="2832" max="2832" width="10.7109375" style="231" customWidth="1"/>
    <col min="2833" max="2833" width="10.7109375" style="231"/>
    <col min="2834" max="2834" width="10.7109375" style="231" customWidth="1"/>
    <col min="2835" max="2835" width="10.7109375" style="231"/>
    <col min="2836" max="2837" width="10.7109375" style="231" customWidth="1"/>
    <col min="2838" max="2839" width="10.7109375" style="231"/>
    <col min="2840" max="2841" width="10.7109375" style="231" customWidth="1"/>
    <col min="2842" max="2842" width="10.7109375" style="231"/>
    <col min="2843" max="2844" width="10.7109375" style="231" customWidth="1"/>
    <col min="2845" max="2849" width="10.7109375" style="231"/>
    <col min="2850" max="2850" width="10.7109375" style="231" customWidth="1"/>
    <col min="2851" max="2853" width="10.7109375" style="231"/>
    <col min="2854" max="2854" width="10.7109375" style="231" customWidth="1"/>
    <col min="2855" max="2855" width="10.7109375" style="231"/>
    <col min="2856" max="2857" width="10.7109375" style="231" customWidth="1"/>
    <col min="2858" max="2860" width="10.7109375" style="231"/>
    <col min="2861" max="2861" width="10.7109375" style="231" customWidth="1"/>
    <col min="2862" max="2863" width="10.7109375" style="231"/>
    <col min="2864" max="2864" width="10.7109375" style="231" customWidth="1"/>
    <col min="2865" max="2867" width="10.7109375" style="231"/>
    <col min="2868" max="2869" width="10.7109375" style="231" customWidth="1"/>
    <col min="2870" max="2871" width="10.7109375" style="231"/>
    <col min="2872" max="2872" width="10.7109375" style="231" customWidth="1"/>
    <col min="2873" max="2876" width="10.7109375" style="231"/>
    <col min="2877" max="2877" width="10.7109375" style="231" customWidth="1"/>
    <col min="2878" max="2879" width="10.7109375" style="231"/>
    <col min="2880" max="2881" width="10.7109375" style="231" customWidth="1"/>
    <col min="2882" max="2884" width="10.7109375" style="231"/>
    <col min="2885" max="2885" width="10.7109375" style="231" customWidth="1"/>
    <col min="2886" max="2886" width="10.7109375" style="231"/>
    <col min="2887" max="2892" width="10.7109375" style="231" customWidth="1"/>
    <col min="2893" max="2895" width="10.7109375" style="231"/>
    <col min="2896" max="2900" width="10.7109375" style="231" customWidth="1"/>
    <col min="2901" max="2903" width="10.7109375" style="231"/>
    <col min="2904" max="2905" width="10.7109375" style="231" customWidth="1"/>
    <col min="2906" max="2907" width="10.7109375" style="231"/>
    <col min="2908" max="2908" width="10.7109375" style="231" customWidth="1"/>
    <col min="2909" max="2912" width="10.7109375" style="231"/>
    <col min="2913" max="2913" width="10.7109375" style="231" customWidth="1"/>
    <col min="2914" max="2918" width="10.7109375" style="231"/>
    <col min="2919" max="2922" width="10.7109375" style="231" customWidth="1"/>
    <col min="2923" max="2925" width="10.7109375" style="231"/>
    <col min="2926" max="2926" width="10.7109375" style="231" customWidth="1"/>
    <col min="2927" max="2927" width="10.7109375" style="231"/>
    <col min="2928" max="2928" width="10.7109375" style="231" customWidth="1"/>
    <col min="2929" max="2929" width="10.7109375" style="231"/>
    <col min="2930" max="2930" width="10.7109375" style="231" customWidth="1"/>
    <col min="2931" max="2936" width="10.7109375" style="231"/>
    <col min="2937" max="2937" width="10.7109375" style="231" customWidth="1"/>
    <col min="2938" max="2939" width="10.7109375" style="231"/>
    <col min="2940" max="2940" width="10.7109375" style="231" customWidth="1"/>
    <col min="2941" max="2941" width="10.7109375" style="231"/>
    <col min="2942" max="2942" width="10.7109375" style="231" customWidth="1"/>
    <col min="2943" max="2946" width="10.7109375" style="231"/>
    <col min="2947" max="2947" width="10.7109375" style="231" customWidth="1"/>
    <col min="2948" max="2948" width="10.7109375" style="231"/>
    <col min="2949" max="2949" width="10.7109375" style="231" customWidth="1"/>
    <col min="2950" max="2951" width="10.7109375" style="231"/>
    <col min="2952" max="2956" width="10.7109375" style="231" customWidth="1"/>
    <col min="2957" max="2959" width="10.7109375" style="231"/>
    <col min="2960" max="2960" width="10.7109375" style="231" customWidth="1"/>
    <col min="2961" max="2964" width="10.7109375" style="231"/>
    <col min="2965" max="2965" width="10.7109375" style="231" customWidth="1"/>
    <col min="2966" max="2968" width="10.7109375" style="231"/>
    <col min="2969" max="2969" width="10.7109375" style="231" customWidth="1"/>
    <col min="2970" max="2970" width="10.7109375" style="231"/>
    <col min="2971" max="2972" width="10.7109375" style="231" customWidth="1"/>
    <col min="2973" max="2975" width="10.7109375" style="231"/>
    <col min="2976" max="2977" width="10.7109375" style="231" customWidth="1"/>
    <col min="2978" max="2980" width="10.7109375" style="231"/>
    <col min="2981" max="2982" width="10.7109375" style="231" customWidth="1"/>
    <col min="2983" max="2983" width="10.7109375" style="231"/>
    <col min="2984" max="2984" width="10.7109375" style="231" customWidth="1"/>
    <col min="2985" max="2985" width="10.7109375" style="231"/>
    <col min="2986" max="2989" width="10.7109375" style="231" customWidth="1"/>
    <col min="2990" max="2991" width="10.7109375" style="231"/>
    <col min="2992" max="2992" width="10.7109375" style="231" customWidth="1"/>
    <col min="2993" max="2993" width="10.7109375" style="231"/>
    <col min="2994" max="2994" width="10.7109375" style="231" customWidth="1"/>
    <col min="2995" max="2996" width="10.7109375" style="231"/>
    <col min="2997" max="2997" width="10.7109375" style="231" customWidth="1"/>
    <col min="2998" max="2999" width="10.7109375" style="231"/>
    <col min="3000" max="3000" width="10.7109375" style="231" customWidth="1"/>
    <col min="3001" max="3001" width="10.7109375" style="231"/>
    <col min="3002" max="3002" width="10.7109375" style="231" customWidth="1"/>
    <col min="3003" max="3003" width="10.7109375" style="231"/>
    <col min="3004" max="3005" width="10.7109375" style="231" customWidth="1"/>
    <col min="3006" max="3007" width="10.7109375" style="231"/>
    <col min="3008" max="3010" width="10.7109375" style="231" customWidth="1"/>
    <col min="3011" max="3014" width="10.7109375" style="231"/>
    <col min="3015" max="3016" width="10.7109375" style="231" customWidth="1"/>
    <col min="3017" max="3020" width="10.7109375" style="231"/>
    <col min="3021" max="3021" width="10.7109375" style="231" customWidth="1"/>
    <col min="3022" max="3022" width="10.7109375" style="231"/>
    <col min="3023" max="3024" width="10.7109375" style="231" customWidth="1"/>
    <col min="3025" max="3033" width="10.7109375" style="231"/>
    <col min="3034" max="3034" width="10.7109375" style="231" customWidth="1"/>
    <col min="3035" max="3036" width="10.7109375" style="231"/>
    <col min="3037" max="3037" width="10.7109375" style="231" customWidth="1"/>
    <col min="3038" max="3039" width="10.7109375" style="231"/>
    <col min="3040" max="3040" width="10.7109375" style="231" customWidth="1"/>
    <col min="3041" max="3042" width="10.7109375" style="231"/>
    <col min="3043" max="3043" width="10.7109375" style="231" customWidth="1"/>
    <col min="3044" max="3048" width="10.7109375" style="231"/>
    <col min="3049" max="3049" width="10.7109375" style="231" customWidth="1"/>
    <col min="3050" max="3054" width="10.7109375" style="231"/>
    <col min="3055" max="3055" width="10.7109375" style="231" customWidth="1"/>
    <col min="3056" max="3056" width="10.7109375" style="231"/>
    <col min="3057" max="3057" width="10.7109375" style="231" customWidth="1"/>
    <col min="3058" max="3058" width="10.7109375" style="231"/>
    <col min="3059" max="3059" width="10.7109375" style="231" customWidth="1"/>
    <col min="3060" max="3060" width="10.7109375" style="231"/>
    <col min="3061" max="3064" width="10.7109375" style="231" customWidth="1"/>
    <col min="3065" max="3065" width="10.7109375" style="231"/>
    <col min="3066" max="3067" width="10.7109375" style="231" customWidth="1"/>
    <col min="3068" max="3068" width="10.7109375" style="231"/>
    <col min="3069" max="3072" width="10.7109375" style="231" customWidth="1"/>
    <col min="3073" max="3073" width="10.7109375" style="231"/>
    <col min="3074" max="3075" width="10.7109375" style="231" customWidth="1"/>
    <col min="3076" max="3076" width="10.7109375" style="231"/>
    <col min="3077" max="3080" width="10.7109375" style="231" customWidth="1"/>
    <col min="3081" max="3081" width="10.7109375" style="231"/>
    <col min="3082" max="3083" width="10.7109375" style="231" customWidth="1"/>
    <col min="3084" max="3084" width="10.7109375" style="231"/>
    <col min="3085" max="3088" width="10.7109375" style="231" customWidth="1"/>
    <col min="3089" max="3089" width="10.7109375" style="231"/>
    <col min="3090" max="3090" width="10.7109375" style="231" customWidth="1"/>
    <col min="3091" max="3092" width="10.7109375" style="231"/>
    <col min="3093" max="3096" width="10.7109375" style="231" customWidth="1"/>
    <col min="3097" max="3097" width="10.7109375" style="231"/>
    <col min="3098" max="3099" width="10.7109375" style="231" customWidth="1"/>
    <col min="3100" max="3100" width="10.7109375" style="231"/>
    <col min="3101" max="3106" width="10.7109375" style="231" customWidth="1"/>
    <col min="3107" max="3110" width="10.7109375" style="231"/>
    <col min="3111" max="3112" width="10.7109375" style="231" customWidth="1"/>
    <col min="3113" max="3114" width="10.7109375" style="231"/>
    <col min="3115" max="3116" width="10.7109375" style="231" customWidth="1"/>
    <col min="3117" max="3119" width="10.7109375" style="231"/>
    <col min="3120" max="3120" width="10.7109375" style="231" customWidth="1"/>
    <col min="3121" max="3123" width="10.7109375" style="231"/>
    <col min="3124" max="3124" width="10.7109375" style="231" customWidth="1"/>
    <col min="3125" max="3127" width="10.7109375" style="231"/>
    <col min="3128" max="3129" width="10.7109375" style="231" customWidth="1"/>
    <col min="3130" max="3130" width="10.7109375" style="231"/>
    <col min="3131" max="3132" width="10.7109375" style="231" customWidth="1"/>
    <col min="3133" max="3135" width="10.7109375" style="231"/>
    <col min="3136" max="3136" width="10.7109375" style="231" customWidth="1"/>
    <col min="3137" max="3137" width="10.7109375" style="231"/>
    <col min="3138" max="3139" width="10.7109375" style="231" customWidth="1"/>
    <col min="3140" max="3140" width="10.7109375" style="231"/>
    <col min="3141" max="3141" width="10.7109375" style="231" customWidth="1"/>
    <col min="3142" max="3143" width="10.7109375" style="231"/>
    <col min="3144" max="3145" width="10.7109375" style="231" customWidth="1"/>
    <col min="3146" max="3148" width="10.7109375" style="231"/>
    <col min="3149" max="3149" width="10.7109375" style="231" customWidth="1"/>
    <col min="3150" max="3151" width="10.7109375" style="231"/>
    <col min="3152" max="3152" width="10.7109375" style="231" customWidth="1"/>
    <col min="3153" max="3156" width="10.7109375" style="231"/>
    <col min="3157" max="3157" width="10.7109375" style="231" customWidth="1"/>
    <col min="3158" max="3160" width="10.7109375" style="231"/>
    <col min="3161" max="3161" width="10.7109375" style="231" customWidth="1"/>
    <col min="3162" max="3168" width="10.7109375" style="231"/>
    <col min="3169" max="3169" width="10.7109375" style="231" customWidth="1"/>
    <col min="3170" max="3173" width="10.7109375" style="231"/>
    <col min="3174" max="3174" width="10.7109375" style="231" customWidth="1"/>
    <col min="3175" max="3175" width="10.7109375" style="231"/>
    <col min="3176" max="3176" width="10.7109375" style="231" customWidth="1"/>
    <col min="3177" max="3177" width="10.7109375" style="231"/>
    <col min="3178" max="3178" width="10.7109375" style="231" customWidth="1"/>
    <col min="3179" max="3179" width="10.7109375" style="231"/>
    <col min="3180" max="3181" width="10.7109375" style="231" customWidth="1"/>
    <col min="3182" max="3183" width="10.7109375" style="231"/>
    <col min="3184" max="3186" width="10.7109375" style="231" customWidth="1"/>
    <col min="3187" max="3187" width="10.7109375" style="231"/>
    <col min="3188" max="3188" width="10.7109375" style="231" customWidth="1"/>
    <col min="3189" max="3191" width="10.7109375" style="231"/>
    <col min="3192" max="3193" width="10.7109375" style="231" customWidth="1"/>
    <col min="3194" max="3195" width="10.7109375" style="231"/>
    <col min="3196" max="3196" width="10.7109375" style="231" customWidth="1"/>
    <col min="3197" max="3207" width="10.7109375" style="231"/>
    <col min="3208" max="3208" width="10.7109375" style="231" customWidth="1"/>
    <col min="3209" max="3210" width="10.7109375" style="231"/>
    <col min="3211" max="3212" width="10.7109375" style="231" customWidth="1"/>
    <col min="3213" max="3215" width="10.7109375" style="231"/>
    <col min="3216" max="3218" width="10.7109375" style="231" customWidth="1"/>
    <col min="3219" max="3222" width="10.7109375" style="231"/>
    <col min="3223" max="3224" width="10.7109375" style="231" customWidth="1"/>
    <col min="3225" max="3228" width="10.7109375" style="231"/>
    <col min="3229" max="3229" width="10.7109375" style="231" customWidth="1"/>
    <col min="3230" max="3231" width="10.7109375" style="231"/>
    <col min="3232" max="3232" width="10.7109375" style="231" customWidth="1"/>
    <col min="3233" max="3234" width="10.7109375" style="231"/>
    <col min="3235" max="3235" width="10.7109375" style="231" customWidth="1"/>
    <col min="3236" max="3241" width="10.7109375" style="231"/>
    <col min="3242" max="3242" width="10.7109375" style="231" customWidth="1"/>
    <col min="3243" max="3247" width="10.7109375" style="231"/>
    <col min="3248" max="3249" width="10.7109375" style="231" customWidth="1"/>
    <col min="3250" max="3250" width="10.7109375" style="231"/>
    <col min="3251" max="3252" width="10.7109375" style="231" customWidth="1"/>
    <col min="3253" max="3255" width="10.7109375" style="231"/>
    <col min="3256" max="3256" width="10.7109375" style="231" customWidth="1"/>
    <col min="3257" max="3257" width="10.7109375" style="231"/>
    <col min="3258" max="3259" width="10.7109375" style="231" customWidth="1"/>
    <col min="3260" max="3260" width="10.7109375" style="231"/>
    <col min="3261" max="3261" width="10.7109375" style="231" customWidth="1"/>
    <col min="3262" max="3263" width="10.7109375" style="231"/>
    <col min="3264" max="3264" width="10.7109375" style="231" customWidth="1"/>
    <col min="3265" max="3276" width="10.7109375" style="231"/>
    <col min="3277" max="3277" width="10.7109375" style="231" customWidth="1"/>
    <col min="3278" max="3279" width="10.7109375" style="231"/>
    <col min="3280" max="3281" width="10.7109375" style="231" customWidth="1"/>
    <col min="3282" max="3292" width="10.7109375" style="231"/>
    <col min="3293" max="3293" width="10.7109375" style="231" customWidth="1"/>
    <col min="3294" max="3295" width="10.7109375" style="231"/>
    <col min="3296" max="3296" width="10.7109375" style="231" customWidth="1"/>
    <col min="3297" max="3300" width="10.7109375" style="231"/>
    <col min="3301" max="3301" width="10.7109375" style="231" customWidth="1"/>
    <col min="3302" max="3302" width="10.7109375" style="231"/>
    <col min="3303" max="3303" width="10.7109375" style="231" customWidth="1"/>
    <col min="3304" max="3306" width="10.7109375" style="231"/>
    <col min="3307" max="3307" width="10.7109375" style="231" customWidth="1"/>
    <col min="3308" max="3309" width="10.7109375" style="231"/>
    <col min="3310" max="3311" width="10.7109375" style="231" customWidth="1"/>
    <col min="3312" max="3314" width="10.7109375" style="231"/>
    <col min="3315" max="3315" width="10.7109375" style="231" customWidth="1"/>
    <col min="3316" max="3316" width="10.7109375" style="231"/>
    <col min="3317" max="3320" width="10.7109375" style="231" customWidth="1"/>
    <col min="3321" max="3321" width="10.7109375" style="231"/>
    <col min="3322" max="3322" width="10.7109375" style="231" customWidth="1"/>
    <col min="3323" max="3324" width="10.7109375" style="231"/>
    <col min="3325" max="3326" width="10.7109375" style="231" customWidth="1"/>
    <col min="3327" max="3327" width="10.7109375" style="231"/>
    <col min="3328" max="3328" width="10.7109375" style="231" customWidth="1"/>
    <col min="3329" max="3329" width="10.7109375" style="231"/>
    <col min="3330" max="3330" width="10.7109375" style="231" customWidth="1"/>
    <col min="3331" max="3333" width="10.7109375" style="231"/>
    <col min="3334" max="3335" width="10.7109375" style="231" customWidth="1"/>
    <col min="3336" max="3337" width="10.7109375" style="231"/>
    <col min="3338" max="3338" width="10.7109375" style="231" customWidth="1"/>
    <col min="3339" max="3342" width="10.7109375" style="231"/>
    <col min="3343" max="3344" width="10.7109375" style="231" customWidth="1"/>
    <col min="3345" max="3346" width="10.7109375" style="231"/>
    <col min="3347" max="3347" width="10.7109375" style="231" customWidth="1"/>
    <col min="3348" max="3348" width="10.7109375" style="231"/>
    <col min="3349" max="3349" width="10.7109375" style="231" customWidth="1"/>
    <col min="3350" max="3351" width="10.7109375" style="231"/>
    <col min="3352" max="3352" width="10.7109375" style="231" customWidth="1"/>
    <col min="3353" max="3353" width="10.7109375" style="231"/>
    <col min="3354" max="3354" width="10.7109375" style="231" customWidth="1"/>
    <col min="3355" max="3356" width="10.7109375" style="231"/>
    <col min="3357" max="3357" width="10.7109375" style="231" customWidth="1"/>
    <col min="3358" max="3359" width="10.7109375" style="231"/>
    <col min="3360" max="3360" width="10.7109375" style="231" customWidth="1"/>
    <col min="3361" max="3361" width="10.7109375" style="231"/>
    <col min="3362" max="3363" width="10.7109375" style="231" customWidth="1"/>
    <col min="3364" max="3374" width="10.7109375" style="231"/>
    <col min="3375" max="3376" width="10.7109375" style="231" customWidth="1"/>
    <col min="3377" max="3378" width="10.7109375" style="231"/>
    <col min="3379" max="3381" width="10.7109375" style="231" customWidth="1"/>
    <col min="3382" max="3383" width="10.7109375" style="231"/>
    <col min="3384" max="3384" width="10.7109375" style="231" customWidth="1"/>
    <col min="3385" max="3388" width="10.7109375" style="231"/>
    <col min="3389" max="3389" width="10.7109375" style="231" customWidth="1"/>
    <col min="3390" max="3391" width="10.7109375" style="231"/>
    <col min="3392" max="3392" width="10.7109375" style="231" customWidth="1"/>
    <col min="3393" max="3393" width="10.7109375" style="231"/>
    <col min="3394" max="3394" width="10.7109375" style="231" customWidth="1"/>
    <col min="3395" max="3404" width="10.7109375" style="231"/>
    <col min="3405" max="3405" width="10.7109375" style="231" customWidth="1"/>
    <col min="3406" max="3406" width="10.7109375" style="231"/>
    <col min="3407" max="3408" width="10.7109375" style="231" customWidth="1"/>
    <col min="3409" max="3409" width="10.7109375" style="231"/>
    <col min="3410" max="3412" width="10.7109375" style="231" customWidth="1"/>
    <col min="3413" max="3415" width="10.7109375" style="231"/>
    <col min="3416" max="3416" width="10.7109375" style="231" customWidth="1"/>
    <col min="3417" max="3418" width="10.7109375" style="231"/>
    <col min="3419" max="3419" width="10.7109375" style="231" customWidth="1"/>
    <col min="3420" max="3425" width="10.7109375" style="231"/>
    <col min="3426" max="3426" width="10.7109375" style="231" customWidth="1"/>
    <col min="3427" max="3431" width="10.7109375" style="231"/>
    <col min="3432" max="3432" width="10.7109375" style="231" customWidth="1"/>
    <col min="3433" max="3433" width="10.7109375" style="231"/>
    <col min="3434" max="3434" width="10.7109375" style="231" customWidth="1"/>
    <col min="3435" max="3439" width="10.7109375" style="231"/>
    <col min="3440" max="3440" width="10.7109375" style="231" customWidth="1"/>
    <col min="3441" max="3443" width="10.7109375" style="231"/>
    <col min="3444" max="3444" width="10.7109375" style="231" customWidth="1"/>
    <col min="3445" max="3447" width="10.7109375" style="231"/>
    <col min="3448" max="3449" width="10.7109375" style="231" customWidth="1"/>
    <col min="3450" max="3452" width="10.7109375" style="231"/>
    <col min="3453" max="3453" width="10.7109375" style="231" customWidth="1"/>
    <col min="3454" max="3454" width="10.7109375" style="231"/>
    <col min="3455" max="3457" width="10.7109375" style="231" customWidth="1"/>
    <col min="3458" max="3458" width="10.7109375" style="231"/>
    <col min="3459" max="3459" width="10.7109375" style="231" customWidth="1"/>
    <col min="3460" max="3464" width="10.7109375" style="231"/>
    <col min="3465" max="3465" width="10.7109375" style="231" customWidth="1"/>
    <col min="3466" max="3467" width="10.7109375" style="231"/>
    <col min="3468" max="3468" width="10.7109375" style="231" customWidth="1"/>
    <col min="3469" max="3474" width="10.7109375" style="231"/>
    <col min="3475" max="3475" width="10.7109375" style="231" customWidth="1"/>
    <col min="3476" max="3476" width="10.7109375" style="231"/>
    <col min="3477" max="3477" width="10.7109375" style="231" customWidth="1"/>
    <col min="3478" max="3479" width="10.7109375" style="231"/>
    <col min="3480" max="3481" width="10.7109375" style="231" customWidth="1"/>
    <col min="3482" max="3488" width="10.7109375" style="231"/>
    <col min="3489" max="3490" width="10.7109375" style="231" customWidth="1"/>
    <col min="3491" max="3495" width="10.7109375" style="231"/>
    <col min="3496" max="3497" width="10.7109375" style="231" customWidth="1"/>
    <col min="3498" max="3500" width="10.7109375" style="231"/>
    <col min="3501" max="3501" width="10.7109375" style="231" customWidth="1"/>
    <col min="3502" max="3502" width="10.7109375" style="231"/>
    <col min="3503" max="3506" width="10.7109375" style="231" customWidth="1"/>
    <col min="3507" max="3507" width="10.7109375" style="231"/>
    <col min="3508" max="3508" width="10.7109375" style="231" customWidth="1"/>
    <col min="3509" max="3511" width="10.7109375" style="231"/>
    <col min="3512" max="3512" width="10.7109375" style="231" customWidth="1"/>
    <col min="3513" max="3516" width="10.7109375" style="231"/>
    <col min="3517" max="3517" width="10.7109375" style="231" customWidth="1"/>
    <col min="3518" max="3519" width="10.7109375" style="231"/>
    <col min="3520" max="3520" width="10.7109375" style="231" customWidth="1"/>
    <col min="3521" max="3527" width="10.7109375" style="231"/>
    <col min="3528" max="3528" width="10.7109375" style="231" customWidth="1"/>
    <col min="3529" max="3532" width="10.7109375" style="231"/>
    <col min="3533" max="3533" width="10.7109375" style="231" customWidth="1"/>
    <col min="3534" max="3535" width="10.7109375" style="231"/>
    <col min="3536" max="3536" width="10.7109375" style="231" customWidth="1"/>
    <col min="3537" max="3543" width="10.7109375" style="231"/>
    <col min="3544" max="3544" width="10.7109375" style="231" customWidth="1"/>
    <col min="3545" max="3551" width="10.7109375" style="231"/>
    <col min="3552" max="3552" width="10.7109375" style="231" customWidth="1"/>
    <col min="3553" max="3559" width="10.7109375" style="231"/>
    <col min="3560" max="3560" width="10.7109375" style="231" customWidth="1"/>
    <col min="3561" max="3563" width="10.7109375" style="231"/>
    <col min="3564" max="3564" width="10.7109375" style="231" customWidth="1"/>
    <col min="3565" max="3568" width="10.7109375" style="231"/>
    <col min="3569" max="3570" width="10.7109375" style="231" customWidth="1"/>
    <col min="3571" max="3571" width="10.7109375" style="231"/>
    <col min="3572" max="3572" width="10.7109375" style="231" customWidth="1"/>
    <col min="3573" max="3577" width="10.7109375" style="231"/>
    <col min="3578" max="3578" width="10.7109375" style="231" customWidth="1"/>
    <col min="3579" max="3579" width="10.7109375" style="231"/>
    <col min="3580" max="3581" width="10.7109375" style="231" customWidth="1"/>
    <col min="3582" max="3583" width="10.7109375" style="231"/>
    <col min="3584" max="3584" width="10.7109375" style="231" customWidth="1"/>
    <col min="3585" max="3585" width="10.7109375" style="231"/>
    <col min="3586" max="3586" width="10.7109375" style="231" customWidth="1"/>
    <col min="3587" max="3591" width="10.7109375" style="231"/>
    <col min="3592" max="3592" width="10.7109375" style="231" customWidth="1"/>
    <col min="3593" max="3593" width="10.7109375" style="231"/>
    <col min="3594" max="3594" width="10.7109375" style="231" customWidth="1"/>
    <col min="3595" max="3595" width="10.7109375" style="231"/>
    <col min="3596" max="3597" width="10.7109375" style="231" customWidth="1"/>
    <col min="3598" max="3599" width="10.7109375" style="231"/>
    <col min="3600" max="3601" width="10.7109375" style="231" customWidth="1"/>
    <col min="3602" max="3603" width="10.7109375" style="231"/>
    <col min="3604" max="3606" width="10.7109375" style="231" customWidth="1"/>
    <col min="3607" max="3607" width="10.7109375" style="231"/>
    <col min="3608" max="3610" width="10.7109375" style="231" customWidth="1"/>
    <col min="3611" max="3617" width="10.7109375" style="231"/>
    <col min="3618" max="3618" width="10.7109375" style="231" customWidth="1"/>
    <col min="3619" max="3623" width="10.7109375" style="231"/>
    <col min="3624" max="3624" width="10.7109375" style="231" customWidth="1"/>
    <col min="3625" max="3627" width="10.7109375" style="231"/>
    <col min="3628" max="3629" width="10.7109375" style="231" customWidth="1"/>
    <col min="3630" max="3631" width="10.7109375" style="231"/>
    <col min="3632" max="3634" width="10.7109375" style="231" customWidth="1"/>
    <col min="3635" max="3638" width="10.7109375" style="231"/>
    <col min="3639" max="3639" width="10.7109375" style="231" customWidth="1"/>
    <col min="3640" max="3678" width="10.7109375" style="231"/>
    <col min="3679" max="3679" width="10.7109375" style="231" customWidth="1"/>
    <col min="3680" max="3682" width="10.7109375" style="231"/>
    <col min="3683" max="3683" width="10.7109375" style="231" customWidth="1"/>
    <col min="3684" max="3686" width="10.7109375" style="231"/>
    <col min="3687" max="3687" width="10.7109375" style="231" customWidth="1"/>
    <col min="3688" max="3689" width="10.7109375" style="231"/>
    <col min="3690" max="3690" width="10.7109375" style="231" customWidth="1"/>
    <col min="3691" max="3692" width="10.7109375" style="231"/>
    <col min="3693" max="3696" width="10.7109375" style="231" customWidth="1"/>
    <col min="3697" max="3698" width="10.7109375" style="231"/>
    <col min="3699" max="3699" width="10.7109375" style="231" customWidth="1"/>
    <col min="3700" max="3700" width="10.7109375" style="231"/>
    <col min="3701" max="3704" width="10.7109375" style="231" customWidth="1"/>
    <col min="3705" max="3705" width="10.7109375" style="231"/>
    <col min="3706" max="3707" width="10.7109375" style="231" customWidth="1"/>
    <col min="3708" max="3709" width="10.7109375" style="231"/>
    <col min="3710" max="3712" width="10.7109375" style="231" customWidth="1"/>
    <col min="3713" max="3713" width="10.7109375" style="231"/>
    <col min="3714" max="3715" width="10.7109375" style="231" customWidth="1"/>
    <col min="3716" max="3716" width="10.7109375" style="231"/>
    <col min="3717" max="3720" width="10.7109375" style="231" customWidth="1"/>
    <col min="3721" max="3721" width="10.7109375" style="231"/>
    <col min="3722" max="3723" width="10.7109375" style="231" customWidth="1"/>
    <col min="3724" max="3724" width="10.7109375" style="231"/>
    <col min="3725" max="3730" width="10.7109375" style="231" customWidth="1"/>
    <col min="3731" max="3734" width="10.7109375" style="231"/>
    <col min="3735" max="3736" width="10.7109375" style="231" customWidth="1"/>
    <col min="3737" max="3737" width="10.7109375" style="231"/>
    <col min="3738" max="3739" width="10.7109375" style="231" customWidth="1"/>
    <col min="3740" max="3744" width="10.7109375" style="231"/>
    <col min="3745" max="3745" width="10.7109375" style="231" customWidth="1"/>
    <col min="3746" max="3751" width="10.7109375" style="231"/>
    <col min="3752" max="3754" width="10.7109375" style="231" customWidth="1"/>
    <col min="3755" max="3755" width="10.7109375" style="231"/>
    <col min="3756" max="3756" width="10.7109375" style="231" customWidth="1"/>
    <col min="3757" max="3759" width="10.7109375" style="231"/>
    <col min="3760" max="3760" width="10.7109375" style="231" customWidth="1"/>
    <col min="3761" max="3761" width="10.7109375" style="231"/>
    <col min="3762" max="3762" width="10.7109375" style="231" customWidth="1"/>
    <col min="3763" max="3763" width="10.7109375" style="231"/>
    <col min="3764" max="3765" width="10.7109375" style="231" customWidth="1"/>
    <col min="3766" max="3767" width="10.7109375" style="231"/>
    <col min="3768" max="3768" width="10.7109375" style="231" customWidth="1"/>
    <col min="3769" max="3771" width="10.7109375" style="231"/>
    <col min="3772" max="3772" width="10.7109375" style="231" customWidth="1"/>
    <col min="3773" max="3792" width="10.7109375" style="231"/>
    <col min="3793" max="3793" width="10.7109375" style="231" customWidth="1"/>
    <col min="3794" max="3798" width="10.7109375" style="231"/>
    <col min="3799" max="3800" width="10.7109375" style="231" customWidth="1"/>
    <col min="3801" max="3801" width="10.7109375" style="231"/>
    <col min="3802" max="3802" width="10.7109375" style="231" customWidth="1"/>
    <col min="3803" max="3803" width="10.7109375" style="231"/>
    <col min="3804" max="3804" width="10.7109375" style="231" customWidth="1"/>
    <col min="3805" max="3809" width="10.7109375" style="231"/>
    <col min="3810" max="3810" width="10.7109375" style="231" customWidth="1"/>
    <col min="3811" max="3814" width="10.7109375" style="231"/>
    <col min="3815" max="3816" width="10.7109375" style="231" customWidth="1"/>
    <col min="3817" max="3820" width="10.7109375" style="231"/>
    <col min="3821" max="3821" width="10.7109375" style="231" customWidth="1"/>
    <col min="3822" max="3822" width="10.7109375" style="231"/>
    <col min="3823" max="3824" width="10.7109375" style="231" customWidth="1"/>
    <col min="3825" max="3825" width="10.7109375" style="231"/>
    <col min="3826" max="3827" width="10.7109375" style="231" customWidth="1"/>
    <col min="3828" max="3828" width="10.7109375" style="231"/>
    <col min="3829" max="3829" width="10.7109375" style="231" customWidth="1"/>
    <col min="3830" max="3836" width="10.7109375" style="231"/>
    <col min="3837" max="3837" width="10.7109375" style="231" customWidth="1"/>
    <col min="3838" max="3839" width="10.7109375" style="231"/>
    <col min="3840" max="3840" width="10.7109375" style="231" customWidth="1"/>
    <col min="3841" max="3841" width="10.7109375" style="231"/>
    <col min="3842" max="3842" width="10.7109375" style="231" customWidth="1"/>
    <col min="3843" max="3847" width="10.7109375" style="231"/>
    <col min="3848" max="3848" width="10.7109375" style="231" customWidth="1"/>
    <col min="3849" max="3849" width="10.7109375" style="231"/>
    <col min="3850" max="3850" width="10.7109375" style="231" customWidth="1"/>
    <col min="3851" max="3851" width="10.7109375" style="231"/>
    <col min="3852" max="3853" width="10.7109375" style="231" customWidth="1"/>
    <col min="3854" max="3855" width="10.7109375" style="231"/>
    <col min="3856" max="3856" width="10.7109375" style="231" customWidth="1"/>
    <col min="3857" max="3860" width="10.7109375" style="231"/>
    <col min="3861" max="3861" width="10.7109375" style="231" customWidth="1"/>
    <col min="3862" max="3865" width="10.7109375" style="231"/>
    <col min="3866" max="3866" width="10.7109375" style="231" customWidth="1"/>
    <col min="3867" max="3872" width="10.7109375" style="231"/>
    <col min="3873" max="3873" width="10.7109375" style="231" customWidth="1"/>
    <col min="3874" max="3880" width="10.7109375" style="231"/>
    <col min="3881" max="3881" width="10.7109375" style="231" customWidth="1"/>
    <col min="3882" max="3886" width="10.7109375" style="231"/>
    <col min="3887" max="3887" width="10.7109375" style="231" customWidth="1"/>
    <col min="3888" max="3888" width="10.7109375" style="231"/>
    <col min="3889" max="3889" width="10.7109375" style="231" customWidth="1"/>
    <col min="3890" max="3890" width="10.7109375" style="231"/>
    <col min="3891" max="3891" width="10.7109375" style="231" customWidth="1"/>
    <col min="3892" max="3895" width="10.7109375" style="231"/>
    <col min="3896" max="3896" width="10.7109375" style="231" customWidth="1"/>
    <col min="3897" max="3897" width="10.7109375" style="231"/>
    <col min="3898" max="3899" width="10.7109375" style="231" customWidth="1"/>
    <col min="3900" max="3902" width="10.7109375" style="231"/>
    <col min="3903" max="3903" width="10.7109375" style="231" customWidth="1"/>
    <col min="3904" max="3918" width="10.7109375" style="231"/>
    <col min="3919" max="3919" width="10.7109375" style="231" customWidth="1"/>
    <col min="3920" max="3925" width="10.7109375" style="231"/>
    <col min="3926" max="3927" width="10.7109375" style="231" customWidth="1"/>
    <col min="3928" max="3928" width="10.7109375" style="231"/>
    <col min="3929" max="3929" width="10.7109375" style="231" customWidth="1"/>
    <col min="3930" max="3935" width="10.7109375" style="231"/>
    <col min="3936" max="3936" width="10.7109375" style="231" customWidth="1"/>
    <col min="3937" max="3944" width="10.7109375" style="231"/>
    <col min="3945" max="3945" width="10.7109375" style="231" customWidth="1"/>
    <col min="3946" max="3953" width="10.7109375" style="231"/>
    <col min="3954" max="3955" width="10.7109375" style="231" customWidth="1"/>
    <col min="3956" max="3956" width="10.7109375" style="231"/>
    <col min="3957" max="3957" width="10.7109375" style="231" customWidth="1"/>
    <col min="3958" max="3959" width="10.7109375" style="231"/>
    <col min="3960" max="3960" width="10.7109375" style="231" customWidth="1"/>
    <col min="3961" max="3963" width="10.7109375" style="231"/>
    <col min="3964" max="3965" width="10.7109375" style="231" customWidth="1"/>
    <col min="3966" max="3967" width="10.7109375" style="231"/>
    <col min="3968" max="3968" width="10.7109375" style="231" customWidth="1"/>
    <col min="3969" max="3969" width="10.7109375" style="231"/>
    <col min="3970" max="3970" width="10.7109375" style="231" customWidth="1"/>
    <col min="3971" max="3975" width="10.7109375" style="231"/>
    <col min="3976" max="3977" width="10.7109375" style="231" customWidth="1"/>
    <col min="3978" max="3982" width="10.7109375" style="231"/>
    <col min="3983" max="3984" width="10.7109375" style="231" customWidth="1"/>
    <col min="3985" max="3986" width="10.7109375" style="231"/>
    <col min="3987" max="3987" width="10.7109375" style="231" customWidth="1"/>
    <col min="3988" max="3988" width="10.7109375" style="231"/>
    <col min="3989" max="3992" width="10.7109375" style="231" customWidth="1"/>
    <col min="3993" max="3993" width="10.7109375" style="231"/>
    <col min="3994" max="3995" width="10.7109375" style="231" customWidth="1"/>
    <col min="3996" max="3997" width="10.7109375" style="231"/>
    <col min="3998" max="3998" width="10.7109375" style="231" customWidth="1"/>
    <col min="3999" max="4001" width="10.7109375" style="231"/>
    <col min="4002" max="4002" width="10.7109375" style="231" customWidth="1"/>
    <col min="4003" max="4005" width="10.7109375" style="231"/>
    <col min="4006" max="4008" width="10.7109375" style="231" customWidth="1"/>
    <col min="4009" max="4009" width="10.7109375" style="231"/>
    <col min="4010" max="4010" width="10.7109375" style="231" customWidth="1"/>
    <col min="4011" max="4012" width="10.7109375" style="231"/>
    <col min="4013" max="4018" width="10.7109375" style="231" customWidth="1"/>
    <col min="4019" max="4022" width="10.7109375" style="231"/>
    <col min="4023" max="4023" width="10.7109375" style="231" customWidth="1"/>
    <col min="4024" max="4051" width="10.7109375" style="231"/>
    <col min="4052" max="4052" width="10.7109375" style="231" customWidth="1"/>
    <col min="4053" max="4060" width="10.7109375" style="231"/>
    <col min="4061" max="4061" width="10.7109375" style="231" customWidth="1"/>
    <col min="4062" max="4063" width="10.7109375" style="231"/>
    <col min="4064" max="4064" width="10.7109375" style="231" customWidth="1"/>
    <col min="4065" max="4066" width="10.7109375" style="231"/>
    <col min="4067" max="4067" width="10.7109375" style="231" customWidth="1"/>
    <col min="4068" max="4078" width="10.7109375" style="231"/>
    <col min="4079" max="4079" width="10.7109375" style="231" customWidth="1"/>
    <col min="4080" max="4086" width="10.7109375" style="231"/>
    <col min="4087" max="4087" width="10.7109375" style="231" customWidth="1"/>
    <col min="4088" max="4089" width="10.7109375" style="231"/>
    <col min="4090" max="4091" width="10.7109375" style="231" customWidth="1"/>
    <col min="4092" max="4093" width="10.7109375" style="231"/>
    <col min="4094" max="4094" width="10.7109375" style="231" customWidth="1"/>
    <col min="4095" max="4097" width="10.7109375" style="231"/>
    <col min="4098" max="4098" width="10.7109375" style="231" customWidth="1"/>
    <col min="4099" max="4101" width="10.7109375" style="231"/>
    <col min="4102" max="4106" width="10.7109375" style="231" customWidth="1"/>
    <col min="4107" max="4110" width="10.7109375" style="231"/>
    <col min="4111" max="4112" width="10.7109375" style="231" customWidth="1"/>
    <col min="4113" max="4116" width="10.7109375" style="231"/>
    <col min="4117" max="4117" width="10.7109375" style="231" customWidth="1"/>
    <col min="4118" max="4118" width="10.7109375" style="231"/>
    <col min="4119" max="4119" width="10.7109375" style="231" customWidth="1"/>
    <col min="4120" max="4120" width="10.7109375" style="231"/>
    <col min="4121" max="4121" width="10.7109375" style="231" customWidth="1"/>
    <col min="4122" max="4123" width="10.7109375" style="231"/>
    <col min="4124" max="4125" width="10.7109375" style="231" customWidth="1"/>
    <col min="4126" max="4127" width="10.7109375" style="231"/>
    <col min="4128" max="4128" width="10.7109375" style="231" customWidth="1"/>
    <col min="4129" max="4129" width="10.7109375" style="231"/>
    <col min="4130" max="4131" width="10.7109375" style="231" customWidth="1"/>
    <col min="4132" max="4132" width="10.7109375" style="231"/>
    <col min="4133" max="4133" width="10.7109375" style="231" customWidth="1"/>
    <col min="4134" max="4135" width="10.7109375" style="231"/>
    <col min="4136" max="4136" width="10.7109375" style="231" customWidth="1"/>
    <col min="4137" max="4138" width="10.7109375" style="231"/>
    <col min="4139" max="4141" width="10.7109375" style="231" customWidth="1"/>
    <col min="4142" max="4143" width="10.7109375" style="231"/>
    <col min="4144" max="4145" width="10.7109375" style="231" customWidth="1"/>
    <col min="4146" max="4147" width="10.7109375" style="231"/>
    <col min="4148" max="4148" width="10.7109375" style="231" customWidth="1"/>
    <col min="4149" max="4152" width="10.7109375" style="231"/>
    <col min="4153" max="4153" width="10.7109375" style="231" customWidth="1"/>
    <col min="4154" max="4158" width="10.7109375" style="231"/>
    <col min="4159" max="4161" width="10.7109375" style="231" customWidth="1"/>
    <col min="4162" max="4162" width="10.7109375" style="231"/>
    <col min="4163" max="4163" width="10.7109375" style="231" customWidth="1"/>
    <col min="4164" max="4164" width="10.7109375" style="231"/>
    <col min="4165" max="4168" width="10.7109375" style="231" customWidth="1"/>
    <col min="4169" max="4169" width="10.7109375" style="231"/>
    <col min="4170" max="4171" width="10.7109375" style="231" customWidth="1"/>
    <col min="4172" max="4172" width="10.7109375" style="231"/>
    <col min="4173" max="4176" width="10.7109375" style="231" customWidth="1"/>
    <col min="4177" max="4177" width="10.7109375" style="231"/>
    <col min="4178" max="4179" width="10.7109375" style="231" customWidth="1"/>
    <col min="4180" max="4180" width="10.7109375" style="231"/>
    <col min="4181" max="4186" width="10.7109375" style="231" customWidth="1"/>
    <col min="4187" max="4199" width="10.7109375" style="231"/>
    <col min="4200" max="4200" width="10.7109375" style="231" customWidth="1"/>
    <col min="4201" max="4201" width="10.7109375" style="231"/>
    <col min="4202" max="4202" width="10.7109375" style="231" customWidth="1"/>
    <col min="4203" max="4203" width="10.7109375" style="231"/>
    <col min="4204" max="4204" width="10.7109375" style="231" customWidth="1"/>
    <col min="4205" max="4207" width="10.7109375" style="231"/>
    <col min="4208" max="4208" width="10.7109375" style="231" customWidth="1"/>
    <col min="4209" max="4209" width="10.7109375" style="231"/>
    <col min="4210" max="4211" width="10.7109375" style="231" customWidth="1"/>
    <col min="4212" max="4216" width="10.7109375" style="231"/>
    <col min="4217" max="4217" width="10.7109375" style="231" customWidth="1"/>
    <col min="4218" max="4222" width="10.7109375" style="231"/>
    <col min="4223" max="4223" width="10.7109375" style="231" customWidth="1"/>
    <col min="4224" max="4226" width="10.7109375" style="231"/>
    <col min="4227" max="4227" width="10.7109375" style="231" customWidth="1"/>
    <col min="4228" max="4231" width="10.7109375" style="231"/>
    <col min="4232" max="4232" width="10.7109375" style="231" customWidth="1"/>
    <col min="4233" max="4239" width="10.7109375" style="231"/>
    <col min="4240" max="4240" width="10.7109375" style="231" customWidth="1"/>
    <col min="4241" max="4244" width="10.7109375" style="231"/>
    <col min="4245" max="4245" width="10.7109375" style="231" customWidth="1"/>
    <col min="4246" max="4252" width="10.7109375" style="231"/>
    <col min="4253" max="4253" width="10.7109375" style="231" customWidth="1"/>
    <col min="4254" max="4265" width="10.7109375" style="231"/>
    <col min="4266" max="4266" width="10.7109375" style="231" customWidth="1"/>
    <col min="4267" max="4267" width="10.7109375" style="231"/>
    <col min="4268" max="4268" width="10.7109375" style="231" customWidth="1"/>
    <col min="4269" max="4272" width="10.7109375" style="231"/>
    <col min="4273" max="4275" width="10.7109375" style="231" customWidth="1"/>
    <col min="4276" max="4280" width="10.7109375" style="231"/>
    <col min="4281" max="4282" width="10.7109375" style="231" customWidth="1"/>
    <col min="4283" max="4302" width="10.7109375" style="231"/>
    <col min="4303" max="4303" width="10.7109375" style="231" customWidth="1"/>
    <col min="4304" max="4304" width="10.7109375" style="231"/>
    <col min="4305" max="4308" width="10.7109375" style="231" customWidth="1"/>
    <col min="4309" max="4312" width="10.7109375" style="231"/>
    <col min="4313" max="4313" width="10.7109375" style="231" customWidth="1"/>
    <col min="4314" max="4315" width="10.7109375" style="231"/>
    <col min="4316" max="4316" width="10.7109375" style="231" customWidth="1"/>
    <col min="4317" max="4321" width="10.7109375" style="231"/>
    <col min="4322" max="4323" width="10.7109375" style="231" customWidth="1"/>
    <col min="4324" max="4327" width="10.7109375" style="231"/>
    <col min="4328" max="4328" width="10.7109375" style="231" customWidth="1"/>
    <col min="4329" max="4335" width="10.7109375" style="231"/>
    <col min="4336" max="4336" width="10.7109375" style="231" customWidth="1"/>
    <col min="4337" max="4350" width="10.7109375" style="231"/>
    <col min="4351" max="4353" width="10.7109375" style="231" customWidth="1"/>
    <col min="4354" max="4361" width="10.7109375" style="231"/>
    <col min="4362" max="4362" width="10.7109375" style="231" customWidth="1"/>
    <col min="4363" max="4370" width="10.7109375" style="231"/>
    <col min="4371" max="4371" width="10.7109375" style="231" customWidth="1"/>
    <col min="4372" max="4380" width="10.7109375" style="231"/>
    <col min="4381" max="4381" width="10.7109375" style="231" customWidth="1"/>
    <col min="4382" max="4383" width="10.7109375" style="231"/>
    <col min="4384" max="4384" width="10.7109375" style="231" customWidth="1"/>
    <col min="4385" max="4385" width="10.7109375" style="231"/>
    <col min="4386" max="4386" width="10.7109375" style="231" customWidth="1"/>
    <col min="4387" max="4388" width="10.7109375" style="231"/>
    <col min="4389" max="4389" width="10.7109375" style="231" customWidth="1"/>
    <col min="4390" max="4391" width="10.7109375" style="231"/>
    <col min="4392" max="4392" width="10.7109375" style="231" customWidth="1"/>
    <col min="4393" max="4393" width="10.7109375" style="231"/>
    <col min="4394" max="4394" width="10.7109375" style="231" customWidth="1"/>
    <col min="4395" max="4399" width="10.7109375" style="231"/>
    <col min="4400" max="4401" width="10.7109375" style="231" customWidth="1"/>
    <col min="4402" max="4435" width="10.7109375" style="231"/>
    <col min="4436" max="4436" width="10.7109375" style="231" customWidth="1"/>
    <col min="4437" max="4437" width="10.7109375" style="231"/>
    <col min="4438" max="4438" width="10.7109375" style="231" customWidth="1"/>
    <col min="4439" max="4443" width="10.7109375" style="231"/>
    <col min="4444" max="4444" width="10.7109375" style="231" customWidth="1"/>
    <col min="4445" max="4447" width="10.7109375" style="231"/>
    <col min="4448" max="4449" width="10.7109375" style="231" customWidth="1"/>
    <col min="4450" max="4450" width="10.7109375" style="231"/>
    <col min="4451" max="4451" width="10.7109375" style="231" customWidth="1"/>
    <col min="4452" max="4459" width="10.7109375" style="231"/>
    <col min="4460" max="4460" width="10.7109375" style="231" customWidth="1"/>
    <col min="4461" max="4465" width="10.7109375" style="231"/>
    <col min="4466" max="4467" width="10.7109375" style="231" customWidth="1"/>
    <col min="4468" max="4489" width="10.7109375" style="231"/>
    <col min="4490" max="4490" width="10.7109375" style="231" customWidth="1"/>
    <col min="4491" max="4494" width="10.7109375" style="231"/>
    <col min="4495" max="4496" width="10.7109375" style="231" customWidth="1"/>
    <col min="4497" max="4500" width="10.7109375" style="231"/>
    <col min="4501" max="4501" width="10.7109375" style="231" customWidth="1"/>
    <col min="4502" max="4502" width="10.7109375" style="231"/>
    <col min="4503" max="4503" width="10.7109375" style="231" customWidth="1"/>
    <col min="4504" max="4506" width="10.7109375" style="231"/>
    <col min="4507" max="4507" width="10.7109375" style="231" customWidth="1"/>
    <col min="4508" max="4508" width="10.7109375" style="231"/>
    <col min="4509" max="4509" width="10.7109375" style="231" customWidth="1"/>
    <col min="4510" max="4516" width="10.7109375" style="231"/>
    <col min="4517" max="4517" width="10.7109375" style="231" customWidth="1"/>
    <col min="4518" max="4521" width="10.7109375" style="231"/>
    <col min="4522" max="4523" width="10.7109375" style="231" customWidth="1"/>
    <col min="4524" max="4527" width="10.7109375" style="231"/>
    <col min="4528" max="4529" width="10.7109375" style="231" customWidth="1"/>
    <col min="4530" max="4534" width="10.7109375" style="231"/>
    <col min="4535" max="4535" width="10.7109375" style="231" customWidth="1"/>
    <col min="4536" max="4536" width="10.7109375" style="231"/>
    <col min="4537" max="4537" width="10.7109375" style="231" customWidth="1"/>
    <col min="4538" max="4538" width="10.7109375" style="231"/>
    <col min="4539" max="4539" width="10.7109375" style="231" customWidth="1"/>
    <col min="4540" max="4540" width="10.7109375" style="231"/>
    <col min="4541" max="4544" width="10.7109375" style="231" customWidth="1"/>
    <col min="4545" max="4545" width="10.7109375" style="231"/>
    <col min="4546" max="4547" width="10.7109375" style="231" customWidth="1"/>
    <col min="4548" max="4548" width="10.7109375" style="231"/>
    <col min="4549" max="4552" width="10.7109375" style="231" customWidth="1"/>
    <col min="4553" max="4553" width="10.7109375" style="231"/>
    <col min="4554" max="4555" width="10.7109375" style="231" customWidth="1"/>
    <col min="4556" max="4556" width="10.7109375" style="231"/>
    <col min="4557" max="4562" width="10.7109375" style="231" customWidth="1"/>
    <col min="4563" max="4566" width="10.7109375" style="231"/>
    <col min="4567" max="4567" width="10.7109375" style="231" customWidth="1"/>
    <col min="4568" max="4570" width="10.7109375" style="231"/>
    <col min="4571" max="4572" width="10.7109375" style="231" customWidth="1"/>
    <col min="4573" max="4575" width="10.7109375" style="231"/>
    <col min="4576" max="4576" width="10.7109375" style="231" customWidth="1"/>
    <col min="4577" max="4587" width="10.7109375" style="231"/>
    <col min="4588" max="4588" width="10.7109375" style="231" customWidth="1"/>
    <col min="4589" max="4593" width="10.7109375" style="231"/>
    <col min="4594" max="4595" width="10.7109375" style="231" customWidth="1"/>
    <col min="4596" max="4599" width="10.7109375" style="231"/>
    <col min="4600" max="4601" width="10.7109375" style="231" customWidth="1"/>
    <col min="4602" max="4604" width="10.7109375" style="231"/>
    <col min="4605" max="4605" width="10.7109375" style="231" customWidth="1"/>
    <col min="4606" max="4607" width="10.7109375" style="231"/>
    <col min="4608" max="4608" width="10.7109375" style="231" customWidth="1"/>
    <col min="4609" max="4612" width="10.7109375" style="231"/>
    <col min="4613" max="4613" width="10.7109375" style="231" customWidth="1"/>
    <col min="4614" max="4615" width="10.7109375" style="231"/>
    <col min="4616" max="4617" width="10.7109375" style="231" customWidth="1"/>
    <col min="4618" max="4622" width="10.7109375" style="231"/>
    <col min="4623" max="4623" width="10.7109375" style="231" customWidth="1"/>
    <col min="4624" max="4624" width="10.7109375" style="231"/>
    <col min="4625" max="4628" width="10.7109375" style="231" customWidth="1"/>
    <col min="4629" max="4630" width="10.7109375" style="231"/>
    <col min="4631" max="4631" width="10.7109375" style="231" customWidth="1"/>
    <col min="4632" max="4634" width="10.7109375" style="231"/>
    <col min="4635" max="4636" width="10.7109375" style="231" customWidth="1"/>
    <col min="4637" max="4639" width="10.7109375" style="231"/>
    <col min="4640" max="4640" width="10.7109375" style="231" customWidth="1"/>
    <col min="4641" max="4644" width="10.7109375" style="231"/>
    <col min="4645" max="4645" width="10.7109375" style="231" customWidth="1"/>
    <col min="4646" max="4650" width="10.7109375" style="231"/>
    <col min="4651" max="4651" width="10.7109375" style="231" customWidth="1"/>
    <col min="4652" max="4654" width="10.7109375" style="231"/>
    <col min="4655" max="4655" width="10.7109375" style="231" customWidth="1"/>
    <col min="4656" max="4656" width="10.7109375" style="231"/>
    <col min="4657" max="4658" width="10.7109375" style="231" customWidth="1"/>
    <col min="4659" max="4659" width="10.7109375" style="231"/>
    <col min="4660" max="4660" width="10.7109375" style="231" customWidth="1"/>
    <col min="4661" max="4663" width="10.7109375" style="231"/>
    <col min="4664" max="4664" width="10.7109375" style="231" customWidth="1"/>
    <col min="4665" max="4665" width="10.7109375" style="231"/>
    <col min="4666" max="4666" width="10.7109375" style="231" customWidth="1"/>
    <col min="4667" max="4671" width="10.7109375" style="231"/>
    <col min="4672" max="4672" width="10.7109375" style="231" customWidth="1"/>
    <col min="4673" max="4676" width="10.7109375" style="231"/>
    <col min="4677" max="4677" width="10.7109375" style="231" customWidth="1"/>
    <col min="4678" max="4683" width="10.7109375" style="231"/>
    <col min="4684" max="4684" width="10.7109375" style="231" customWidth="1"/>
    <col min="4685" max="4687" width="10.7109375" style="231"/>
    <col min="4688" max="4689" width="10.7109375" style="231" customWidth="1"/>
    <col min="4690" max="4699" width="10.7109375" style="231"/>
    <col min="4700" max="4700" width="10.7109375" style="231" customWidth="1"/>
    <col min="4701" max="4703" width="10.7109375" style="231"/>
    <col min="4704" max="4704" width="10.7109375" style="231" customWidth="1"/>
    <col min="4705" max="4708" width="10.7109375" style="231"/>
    <col min="4709" max="4709" width="10.7109375" style="231" customWidth="1"/>
    <col min="4710" max="4719" width="10.7109375" style="231"/>
    <col min="4720" max="4720" width="10.7109375" style="231" customWidth="1"/>
    <col min="4721" max="4723" width="10.7109375" style="231"/>
    <col min="4724" max="4725" width="10.7109375" style="231" customWidth="1"/>
    <col min="4726" max="4728" width="10.7109375" style="231"/>
    <col min="4729" max="4729" width="10.7109375" style="231" customWidth="1"/>
    <col min="4730" max="4734" width="10.7109375" style="231"/>
    <col min="4735" max="4737" width="10.7109375" style="231" customWidth="1"/>
    <col min="4738" max="4738" width="10.7109375" style="231"/>
    <col min="4739" max="4739" width="10.7109375" style="231" customWidth="1"/>
    <col min="4740" max="4740" width="10.7109375" style="231"/>
    <col min="4741" max="4744" width="10.7109375" style="231" customWidth="1"/>
    <col min="4745" max="4745" width="10.7109375" style="231"/>
    <col min="4746" max="4747" width="10.7109375" style="231" customWidth="1"/>
    <col min="4748" max="4748" width="10.7109375" style="231"/>
    <col min="4749" max="4752" width="10.7109375" style="231" customWidth="1"/>
    <col min="4753" max="4753" width="10.7109375" style="231"/>
    <col min="4754" max="4755" width="10.7109375" style="231" customWidth="1"/>
    <col min="4756" max="4756" width="10.7109375" style="231"/>
    <col min="4757" max="4758" width="10.7109375" style="231" customWidth="1"/>
    <col min="4759" max="4761" width="10.7109375" style="231"/>
    <col min="4762" max="4762" width="10.7109375" style="231" customWidth="1"/>
    <col min="4763" max="4775" width="10.7109375" style="231"/>
    <col min="4776" max="4776" width="10.7109375" style="231" customWidth="1"/>
    <col min="4777" max="4777" width="10.7109375" style="231"/>
    <col min="4778" max="4778" width="10.7109375" style="231" customWidth="1"/>
    <col min="4779" max="4779" width="10.7109375" style="231"/>
    <col min="4780" max="4781" width="10.7109375" style="231" customWidth="1"/>
    <col min="4782" max="4783" width="10.7109375" style="231"/>
    <col min="4784" max="4784" width="10.7109375" style="231" customWidth="1"/>
    <col min="4785" max="4785" width="10.7109375" style="231"/>
    <col min="4786" max="4787" width="10.7109375" style="231" customWidth="1"/>
    <col min="4788" max="4791" width="10.7109375" style="231"/>
    <col min="4792" max="4792" width="10.7109375" style="231" customWidth="1"/>
    <col min="4793" max="4798" width="10.7109375" style="231"/>
    <col min="4799" max="4800" width="10.7109375" style="231" customWidth="1"/>
    <col min="4801" max="4807" width="10.7109375" style="231"/>
    <col min="4808" max="4808" width="10.7109375" style="231" customWidth="1"/>
    <col min="4809" max="4812" width="10.7109375" style="231"/>
    <col min="4813" max="4813" width="10.7109375" style="231" customWidth="1"/>
    <col min="4814" max="4815" width="10.7109375" style="231"/>
    <col min="4816" max="4816" width="10.7109375" style="231" customWidth="1"/>
    <col min="4817" max="4830" width="10.7109375" style="231"/>
    <col min="4831" max="4832" width="10.7109375" style="231" customWidth="1"/>
    <col min="4833" max="4840" width="10.7109375" style="231"/>
    <col min="4841" max="4842" width="10.7109375" style="231" customWidth="1"/>
    <col min="4843" max="4843" width="10.7109375" style="231"/>
    <col min="4844" max="4844" width="10.7109375" style="231" customWidth="1"/>
    <col min="4845" max="4848" width="10.7109375" style="231"/>
    <col min="4849" max="4852" width="10.7109375" style="231" customWidth="1"/>
    <col min="4853" max="4855" width="10.7109375" style="231"/>
    <col min="4856" max="4856" width="10.7109375" style="231" customWidth="1"/>
    <col min="4857" max="4857" width="10.7109375" style="231"/>
    <col min="4858" max="4858" width="10.7109375" style="231" customWidth="1"/>
    <col min="4859" max="4865" width="10.7109375" style="231"/>
    <col min="4866" max="4866" width="10.7109375" style="231" customWidth="1"/>
    <col min="4867" max="4871" width="10.7109375" style="231"/>
    <col min="4872" max="4873" width="10.7109375" style="231" customWidth="1"/>
    <col min="4874" max="4876" width="10.7109375" style="231"/>
    <col min="4877" max="4877" width="10.7109375" style="231" customWidth="1"/>
    <col min="4878" max="4878" width="10.7109375" style="231"/>
    <col min="4879" max="4884" width="10.7109375" style="231" customWidth="1"/>
    <col min="4885" max="4887" width="10.7109375" style="231"/>
    <col min="4888" max="4889" width="10.7109375" style="231" customWidth="1"/>
    <col min="4890" max="4890" width="10.7109375" style="231"/>
    <col min="4891" max="4892" width="10.7109375" style="231" customWidth="1"/>
    <col min="4893" max="4897" width="10.7109375" style="231"/>
    <col min="4898" max="4898" width="10.7109375" style="231" customWidth="1"/>
    <col min="4899" max="4903" width="10.7109375" style="231"/>
    <col min="4904" max="4905" width="10.7109375" style="231" customWidth="1"/>
    <col min="4906" max="4908" width="10.7109375" style="231"/>
    <col min="4909" max="4909" width="10.7109375" style="231" customWidth="1"/>
    <col min="4910" max="4911" width="10.7109375" style="231"/>
    <col min="4912" max="4914" width="10.7109375" style="231" customWidth="1"/>
    <col min="4915" max="4946" width="10.7109375" style="231"/>
    <col min="4947" max="4949" width="10.7109375" style="231" customWidth="1"/>
    <col min="4950" max="4956" width="10.7109375" style="231"/>
    <col min="4957" max="4957" width="10.7109375" style="231" customWidth="1"/>
    <col min="4958" max="4959" width="10.7109375" style="231"/>
    <col min="4960" max="4960" width="10.7109375" style="231" customWidth="1"/>
    <col min="4961" max="4961" width="10.7109375" style="231"/>
    <col min="4962" max="4962" width="10.7109375" style="231" customWidth="1"/>
    <col min="4963" max="4967" width="10.7109375" style="231"/>
    <col min="4968" max="4968" width="10.7109375" style="231" customWidth="1"/>
    <col min="4969" max="4969" width="10.7109375" style="231"/>
    <col min="4970" max="4970" width="10.7109375" style="231" customWidth="1"/>
    <col min="4971" max="4971" width="10.7109375" style="231"/>
    <col min="4972" max="4972" width="10.7109375" style="231" customWidth="1"/>
    <col min="4973" max="4975" width="10.7109375" style="231"/>
    <col min="4976" max="4977" width="10.7109375" style="231" customWidth="1"/>
    <col min="4978" max="4980" width="10.7109375" style="231"/>
    <col min="4981" max="4981" width="10.7109375" style="231" customWidth="1"/>
    <col min="4982" max="4984" width="10.7109375" style="231"/>
    <col min="4985" max="4986" width="10.7109375" style="231" customWidth="1"/>
    <col min="4987" max="4987" width="10.7109375" style="231"/>
    <col min="4988" max="4988" width="10.7109375" style="231" customWidth="1"/>
    <col min="4989" max="4993" width="10.7109375" style="231"/>
    <col min="4994" max="4994" width="10.7109375" style="231" customWidth="1"/>
    <col min="4995" max="5003" width="10.7109375" style="231"/>
    <col min="5004" max="5004" width="10.7109375" style="231" customWidth="1"/>
    <col min="5005" max="5011" width="10.7109375" style="231"/>
    <col min="5012" max="5012" width="10.7109375" style="231" customWidth="1"/>
    <col min="5013" max="5015" width="10.7109375" style="231"/>
    <col min="5016" max="5016" width="10.7109375" style="231" customWidth="1"/>
    <col min="5017" max="5017" width="10.7109375" style="231"/>
    <col min="5018" max="5018" width="10.7109375" style="231" customWidth="1"/>
    <col min="5019" max="5023" width="10.7109375" style="231"/>
    <col min="5024" max="5024" width="10.7109375" style="231" customWidth="1"/>
    <col min="5025" max="5030" width="10.7109375" style="231"/>
    <col min="5031" max="5032" width="10.7109375" style="231" customWidth="1"/>
    <col min="5033" max="5036" width="10.7109375" style="231"/>
    <col min="5037" max="5037" width="10.7109375" style="231" customWidth="1"/>
    <col min="5038" max="5039" width="10.7109375" style="231"/>
    <col min="5040" max="5040" width="10.7109375" style="231" customWidth="1"/>
    <col min="5041" max="5043" width="10.7109375" style="231"/>
    <col min="5044" max="5045" width="10.7109375" style="231" customWidth="1"/>
    <col min="5046" max="5047" width="10.7109375" style="231"/>
    <col min="5048" max="5048" width="10.7109375" style="231" customWidth="1"/>
    <col min="5049" max="5049" width="10.7109375" style="231"/>
    <col min="5050" max="5051" width="10.7109375" style="231" customWidth="1"/>
    <col min="5052" max="5055" width="10.7109375" style="231"/>
    <col min="5056" max="5057" width="10.7109375" style="231" customWidth="1"/>
    <col min="5058" max="5062" width="10.7109375" style="231"/>
    <col min="5063" max="5065" width="10.7109375" style="231" customWidth="1"/>
    <col min="5066" max="5066" width="10.7109375" style="231"/>
    <col min="5067" max="5067" width="10.7109375" style="231" customWidth="1"/>
    <col min="5068" max="5068" width="10.7109375" style="231"/>
    <col min="5069" max="5072" width="10.7109375" style="231" customWidth="1"/>
    <col min="5073" max="5073" width="10.7109375" style="231"/>
    <col min="5074" max="5075" width="10.7109375" style="231" customWidth="1"/>
    <col min="5076" max="5076" width="10.7109375" style="231"/>
    <col min="5077" max="5077" width="10.7109375" style="231" customWidth="1"/>
    <col min="5078" max="5078" width="10.7109375" style="231"/>
    <col min="5079" max="5080" width="10.7109375" style="231" customWidth="1"/>
    <col min="5081" max="5081" width="10.7109375" style="231"/>
    <col min="5082" max="5082" width="10.7109375" style="231" customWidth="1"/>
    <col min="5083" max="5104" width="10.7109375" style="231"/>
    <col min="5105" max="5105" width="10.7109375" style="231" customWidth="1"/>
    <col min="5106" max="5119" width="10.7109375" style="231"/>
    <col min="5120" max="5120" width="10.7109375" style="231" customWidth="1"/>
    <col min="5121" max="5121" width="10.7109375" style="231"/>
    <col min="5122" max="5122" width="10.7109375" style="231" customWidth="1"/>
    <col min="5123" max="5139" width="10.7109375" style="231"/>
    <col min="5140" max="5140" width="10.7109375" style="231" customWidth="1"/>
    <col min="5141" max="5143" width="10.7109375" style="231"/>
    <col min="5144" max="5144" width="10.7109375" style="231" customWidth="1"/>
    <col min="5145" max="5150" width="10.7109375" style="231"/>
    <col min="5151" max="5151" width="10.7109375" style="231" customWidth="1"/>
    <col min="5152" max="5164" width="10.7109375" style="231"/>
    <col min="5165" max="5165" width="10.7109375" style="231" customWidth="1"/>
    <col min="5166" max="5169" width="10.7109375" style="231"/>
    <col min="5170" max="5170" width="10.7109375" style="231" customWidth="1"/>
    <col min="5171" max="5182" width="10.7109375" style="231"/>
    <col min="5183" max="5183" width="10.7109375" style="231" customWidth="1"/>
    <col min="5184" max="5202" width="10.7109375" style="231"/>
    <col min="5203" max="5203" width="10.7109375" style="231" customWidth="1"/>
    <col min="5204" max="5212" width="10.7109375" style="231"/>
    <col min="5213" max="5213" width="10.7109375" style="231" customWidth="1"/>
    <col min="5214" max="5219" width="10.7109375" style="231"/>
    <col min="5220" max="5220" width="10.7109375" style="231" customWidth="1"/>
    <col min="5221" max="5224" width="10.7109375" style="231"/>
    <col min="5225" max="5225" width="10.7109375" style="231" customWidth="1"/>
    <col min="5226" max="5230" width="10.7109375" style="231"/>
    <col min="5231" max="5231" width="10.7109375" style="231" customWidth="1"/>
    <col min="5232" max="5232" width="10.7109375" style="231"/>
    <col min="5233" max="5236" width="10.7109375" style="231" customWidth="1"/>
    <col min="5237" max="5239" width="10.7109375" style="231"/>
    <col min="5240" max="5240" width="10.7109375" style="231" customWidth="1"/>
    <col min="5241" max="5243" width="10.7109375" style="231"/>
    <col min="5244" max="5244" width="10.7109375" style="231" customWidth="1"/>
    <col min="5245" max="5247" width="10.7109375" style="231"/>
    <col min="5248" max="5248" width="10.7109375" style="231" customWidth="1"/>
    <col min="5249" max="5249" width="10.7109375" style="231"/>
    <col min="5250" max="5250" width="10.7109375" style="231" customWidth="1"/>
    <col min="5251" max="5260" width="10.7109375" style="231"/>
    <col min="5261" max="5261" width="10.7109375" style="231" customWidth="1"/>
    <col min="5262" max="5264" width="10.7109375" style="231"/>
    <col min="5265" max="5266" width="10.7109375" style="231" customWidth="1"/>
    <col min="5267" max="5267" width="10.7109375" style="231"/>
    <col min="5268" max="5268" width="10.7109375" style="231" customWidth="1"/>
    <col min="5269" max="5276" width="10.7109375" style="231"/>
    <col min="5277" max="5277" width="10.7109375" style="231" customWidth="1"/>
    <col min="5278" max="5280" width="10.7109375" style="231"/>
    <col min="5281" max="5281" width="10.7109375" style="231" customWidth="1"/>
    <col min="5282" max="5287" width="10.7109375" style="231"/>
    <col min="5288" max="5288" width="10.7109375" style="231" customWidth="1"/>
    <col min="5289" max="5289" width="10.7109375" style="231"/>
    <col min="5290" max="5292" width="10.7109375" style="231" customWidth="1"/>
    <col min="5293" max="5295" width="10.7109375" style="231"/>
    <col min="5296" max="5299" width="10.7109375" style="231" customWidth="1"/>
    <col min="5300" max="5303" width="10.7109375" style="231"/>
    <col min="5304" max="5304" width="10.7109375" style="231" customWidth="1"/>
    <col min="5305" max="5305" width="10.7109375" style="231"/>
    <col min="5306" max="5306" width="10.7109375" style="231" customWidth="1"/>
    <col min="5307" max="5328" width="10.7109375" style="231"/>
    <col min="5329" max="5329" width="10.7109375" style="231" customWidth="1"/>
    <col min="5330" max="5335" width="10.7109375" style="231"/>
    <col min="5336" max="5336" width="10.7109375" style="231" customWidth="1"/>
    <col min="5337" max="5339" width="10.7109375" style="231"/>
    <col min="5340" max="5340" width="10.7109375" style="231" customWidth="1"/>
    <col min="5341" max="5343" width="10.7109375" style="231"/>
    <col min="5344" max="5344" width="10.7109375" style="231" customWidth="1"/>
    <col min="5345" max="5351" width="10.7109375" style="231"/>
    <col min="5352" max="5352" width="10.7109375" style="231" customWidth="1"/>
    <col min="5353" max="5353" width="10.7109375" style="231"/>
    <col min="5354" max="5354" width="10.7109375" style="231" customWidth="1"/>
    <col min="5355" max="5355" width="10.7109375" style="231"/>
    <col min="5356" max="5356" width="10.7109375" style="231" customWidth="1"/>
    <col min="5357" max="5357" width="10.7109375" style="231"/>
    <col min="5358" max="5358" width="10.7109375" style="231" customWidth="1"/>
    <col min="5359" max="5359" width="10.7109375" style="231"/>
    <col min="5360" max="5360" width="10.7109375" style="231" customWidth="1"/>
    <col min="5361" max="5361" width="10.7109375" style="231"/>
    <col min="5362" max="5362" width="10.7109375" style="231" customWidth="1"/>
    <col min="5363" max="5367" width="10.7109375" style="231"/>
    <col min="5368" max="5368" width="10.7109375" style="231" customWidth="1"/>
    <col min="5369" max="5372" width="10.7109375" style="231"/>
    <col min="5373" max="5373" width="10.7109375" style="231" customWidth="1"/>
    <col min="5374" max="5375" width="10.7109375" style="231"/>
    <col min="5376" max="5376" width="10.7109375" style="231" customWidth="1"/>
    <col min="5377" max="5378" width="10.7109375" style="231"/>
    <col min="5379" max="5379" width="10.7109375" style="231" customWidth="1"/>
    <col min="5380" max="5380" width="10.7109375" style="231"/>
    <col min="5381" max="5381" width="10.7109375" style="231" customWidth="1"/>
    <col min="5382" max="5383" width="10.7109375" style="231"/>
    <col min="5384" max="5384" width="10.7109375" style="231" customWidth="1"/>
    <col min="5385" max="5385" width="10.7109375" style="231"/>
    <col min="5386" max="5386" width="10.7109375" style="231" customWidth="1"/>
    <col min="5387" max="5387" width="10.7109375" style="231"/>
    <col min="5388" max="5388" width="10.7109375" style="231" customWidth="1"/>
    <col min="5389" max="5391" width="10.7109375" style="231"/>
    <col min="5392" max="5392" width="10.7109375" style="231" customWidth="1"/>
    <col min="5393" max="5395" width="10.7109375" style="231"/>
    <col min="5396" max="5396" width="10.7109375" style="231" customWidth="1"/>
    <col min="5397" max="5399" width="10.7109375" style="231"/>
    <col min="5400" max="5402" width="10.7109375" style="231" customWidth="1"/>
    <col min="5403" max="5414" width="10.7109375" style="231"/>
    <col min="5415" max="5416" width="10.7109375" style="231" customWidth="1"/>
    <col min="5417" max="5419" width="10.7109375" style="231"/>
    <col min="5420" max="5420" width="10.7109375" style="231" customWidth="1"/>
    <col min="5421" max="5423" width="10.7109375" style="231"/>
    <col min="5424" max="5426" width="10.7109375" style="231" customWidth="1"/>
    <col min="5427" max="5431" width="10.7109375" style="231"/>
    <col min="5432" max="5432" width="10.7109375" style="231" customWidth="1"/>
    <col min="5433" max="5435" width="10.7109375" style="231"/>
    <col min="5436" max="5436" width="10.7109375" style="231" customWidth="1"/>
    <col min="5437" max="5460" width="10.7109375" style="231"/>
    <col min="5461" max="5461" width="10.7109375" style="231" customWidth="1"/>
    <col min="5462" max="5463" width="10.7109375" style="231"/>
    <col min="5464" max="5464" width="10.7109375" style="231" customWidth="1"/>
    <col min="5465" max="5470" width="10.7109375" style="231"/>
    <col min="5471" max="5472" width="10.7109375" style="231" customWidth="1"/>
    <col min="5473" max="5478" width="10.7109375" style="231"/>
    <col min="5479" max="5479" width="10.7109375" style="231" customWidth="1"/>
    <col min="5480" max="5485" width="10.7109375" style="231"/>
    <col min="5486" max="5487" width="10.7109375" style="231" customWidth="1"/>
    <col min="5488" max="5488" width="10.7109375" style="231"/>
    <col min="5489" max="5490" width="10.7109375" style="231" customWidth="1"/>
    <col min="5491" max="5495" width="10.7109375" style="231"/>
    <col min="5496" max="5496" width="10.7109375" style="231" customWidth="1"/>
    <col min="5497" max="5500" width="10.7109375" style="231"/>
    <col min="5501" max="5501" width="10.7109375" style="231" customWidth="1"/>
    <col min="5502" max="5503" width="10.7109375" style="231"/>
    <col min="5504" max="5504" width="10.7109375" style="231" customWidth="1"/>
    <col min="5505" max="5505" width="10.7109375" style="231"/>
    <col min="5506" max="5506" width="10.7109375" style="231" customWidth="1"/>
    <col min="5507" max="5508" width="10.7109375" style="231"/>
    <col min="5509" max="5509" width="10.7109375" style="231" customWidth="1"/>
    <col min="5510" max="5511" width="10.7109375" style="231"/>
    <col min="5512" max="5512" width="10.7109375" style="231" customWidth="1"/>
    <col min="5513" max="5513" width="10.7109375" style="231"/>
    <col min="5514" max="5515" width="10.7109375" style="231" customWidth="1"/>
    <col min="5516" max="5519" width="10.7109375" style="231"/>
    <col min="5520" max="5520" width="10.7109375" style="231" customWidth="1"/>
    <col min="5521" max="5522" width="10.7109375" style="231"/>
    <col min="5523" max="5524" width="10.7109375" style="231" customWidth="1"/>
    <col min="5525" max="5527" width="10.7109375" style="231"/>
    <col min="5528" max="5529" width="10.7109375" style="231" customWidth="1"/>
    <col min="5530" max="5531" width="10.7109375" style="231"/>
    <col min="5532" max="5532" width="10.7109375" style="231" customWidth="1"/>
    <col min="5533" max="5536" width="10.7109375" style="231"/>
    <col min="5537" max="5537" width="10.7109375" style="231" customWidth="1"/>
    <col min="5538" max="5548" width="10.7109375" style="231"/>
    <col min="5549" max="5549" width="10.7109375" style="231" customWidth="1"/>
    <col min="5550" max="5550" width="10.7109375" style="231"/>
    <col min="5551" max="5551" width="10.7109375" style="231" customWidth="1"/>
    <col min="5552" max="5553" width="10.7109375" style="231"/>
    <col min="5554" max="5555" width="10.7109375" style="231" customWidth="1"/>
    <col min="5556" max="5566" width="10.7109375" style="231"/>
    <col min="5567" max="5567" width="10.7109375" style="231" customWidth="1"/>
    <col min="5568" max="5585" width="10.7109375" style="231"/>
    <col min="5586" max="5587" width="10.7109375" style="231" customWidth="1"/>
    <col min="5588" max="5592" width="10.7109375" style="231"/>
    <col min="5593" max="5593" width="10.7109375" style="231" customWidth="1"/>
    <col min="5594" max="5603" width="10.7109375" style="231"/>
    <col min="5604" max="5604" width="10.7109375" style="231" customWidth="1"/>
    <col min="5605" max="5617" width="10.7109375" style="231"/>
    <col min="5618" max="5618" width="10.7109375" style="231" customWidth="1"/>
    <col min="5619" max="5623" width="10.7109375" style="231"/>
    <col min="5624" max="5624" width="10.7109375" style="231" customWidth="1"/>
    <col min="5625" max="5631" width="10.7109375" style="231"/>
    <col min="5632" max="5632" width="10.7109375" style="231" customWidth="1"/>
    <col min="5633" max="5633" width="10.7109375" style="231"/>
    <col min="5634" max="5634" width="10.7109375" style="231" customWidth="1"/>
    <col min="5635" max="5643" width="10.7109375" style="231"/>
    <col min="5644" max="5644" width="10.7109375" style="231" customWidth="1"/>
    <col min="5645" max="5649" width="10.7109375" style="231"/>
    <col min="5650" max="5650" width="10.7109375" style="231" customWidth="1"/>
    <col min="5651" max="5651" width="10.7109375" style="231"/>
    <col min="5652" max="5652" width="10.7109375" style="231" customWidth="1"/>
    <col min="5653" max="5655" width="10.7109375" style="231"/>
    <col min="5656" max="5656" width="10.7109375" style="231" customWidth="1"/>
    <col min="5657" max="5660" width="10.7109375" style="231"/>
    <col min="5661" max="5661" width="10.7109375" style="231" customWidth="1"/>
    <col min="5662" max="5663" width="10.7109375" style="231"/>
    <col min="5664" max="5664" width="10.7109375" style="231" customWidth="1"/>
    <col min="5665" max="5665" width="10.7109375" style="231"/>
    <col min="5666" max="5666" width="10.7109375" style="231" customWidth="1"/>
    <col min="5667" max="5671" width="10.7109375" style="231"/>
    <col min="5672" max="5673" width="10.7109375" style="231" customWidth="1"/>
    <col min="5674" max="5676" width="10.7109375" style="231"/>
    <col min="5677" max="5677" width="10.7109375" style="231" customWidth="1"/>
    <col min="5678" max="5678" width="10.7109375" style="231"/>
    <col min="5679" max="5684" width="10.7109375" style="231" customWidth="1"/>
    <col min="5685" max="5687" width="10.7109375" style="231"/>
    <col min="5688" max="5688" width="10.7109375" style="231" customWidth="1"/>
    <col min="5689" max="5691" width="10.7109375" style="231"/>
    <col min="5692" max="5692" width="10.7109375" style="231" customWidth="1"/>
    <col min="5693" max="5703" width="10.7109375" style="231"/>
    <col min="5704" max="5705" width="10.7109375" style="231" customWidth="1"/>
    <col min="5706" max="5708" width="10.7109375" style="231"/>
    <col min="5709" max="5709" width="10.7109375" style="231" customWidth="1"/>
    <col min="5710" max="5711" width="10.7109375" style="231"/>
    <col min="5712" max="5714" width="10.7109375" style="231" customWidth="1"/>
    <col min="5715" max="5715" width="10.7109375" style="231"/>
    <col min="5716" max="5716" width="10.7109375" style="231" customWidth="1"/>
    <col min="5717" max="5719" width="10.7109375" style="231"/>
    <col min="5720" max="5721" width="10.7109375" style="231" customWidth="1"/>
    <col min="5722" max="5724" width="10.7109375" style="231"/>
    <col min="5725" max="5725" width="10.7109375" style="231" customWidth="1"/>
    <col min="5726" max="5726" width="10.7109375" style="231"/>
    <col min="5727" max="5730" width="10.7109375" style="231" customWidth="1"/>
    <col min="5731" max="5731" width="10.7109375" style="231"/>
    <col min="5732" max="5732" width="10.7109375" style="231" customWidth="1"/>
    <col min="5733" max="5735" width="10.7109375" style="231"/>
    <col min="5736" max="5736" width="10.7109375" style="231" customWidth="1"/>
    <col min="5737" max="5737" width="10.7109375" style="231"/>
    <col min="5738" max="5739" width="10.7109375" style="231" customWidth="1"/>
    <col min="5740" max="5740" width="10.7109375" style="231"/>
    <col min="5741" max="5741" width="10.7109375" style="231" customWidth="1"/>
    <col min="5742" max="5743" width="10.7109375" style="231"/>
    <col min="5744" max="5744" width="10.7109375" style="231" customWidth="1"/>
    <col min="5745" max="5747" width="10.7109375" style="231"/>
    <col min="5748" max="5748" width="10.7109375" style="231" customWidth="1"/>
    <col min="5749" max="5751" width="10.7109375" style="231"/>
    <col min="5752" max="5752" width="10.7109375" style="231" customWidth="1"/>
    <col min="5753" max="5756" width="10.7109375" style="231"/>
    <col min="5757" max="5757" width="10.7109375" style="231" customWidth="1"/>
    <col min="5758" max="5759" width="10.7109375" style="231"/>
    <col min="5760" max="5760" width="10.7109375" style="231" customWidth="1"/>
    <col min="5761" max="5767" width="10.7109375" style="231"/>
    <col min="5768" max="5770" width="10.7109375" style="231" customWidth="1"/>
    <col min="5771" max="5771" width="10.7109375" style="231"/>
    <col min="5772" max="5772" width="10.7109375" style="231" customWidth="1"/>
    <col min="5773" max="5775" width="10.7109375" style="231"/>
    <col min="5776" max="5777" width="10.7109375" style="231" customWidth="1"/>
    <col min="5778" max="5780" width="10.7109375" style="231"/>
    <col min="5781" max="5781" width="10.7109375" style="231" customWidth="1"/>
    <col min="5782" max="5782" width="10.7109375" style="231"/>
    <col min="5783" max="5784" width="10.7109375" style="231" customWidth="1"/>
    <col min="5785" max="5785" width="10.7109375" style="231"/>
    <col min="5786" max="5786" width="10.7109375" style="231" customWidth="1"/>
    <col min="5787" max="5787" width="10.7109375" style="231"/>
    <col min="5788" max="5790" width="10.7109375" style="231" customWidth="1"/>
    <col min="5791" max="5791" width="10.7109375" style="231"/>
    <col min="5792" max="5792" width="10.7109375" style="231" customWidth="1"/>
    <col min="5793" max="5793" width="10.7109375" style="231"/>
    <col min="5794" max="5794" width="10.7109375" style="231" customWidth="1"/>
    <col min="5795" max="5797" width="10.7109375" style="231"/>
    <col min="5798" max="5798" width="10.7109375" style="231" customWidth="1"/>
    <col min="5799" max="5799" width="10.7109375" style="231"/>
    <col min="5800" max="5800" width="10.7109375" style="231" customWidth="1"/>
    <col min="5801" max="5801" width="10.7109375" style="231"/>
    <col min="5802" max="5802" width="10.7109375" style="231" customWidth="1"/>
    <col min="5803" max="5804" width="10.7109375" style="231"/>
    <col min="5805" max="5806" width="10.7109375" style="231" customWidth="1"/>
    <col min="5807" max="5807" width="10.7109375" style="231"/>
    <col min="5808" max="5808" width="10.7109375" style="231" customWidth="1"/>
    <col min="5809" max="5820" width="10.7109375" style="231"/>
    <col min="5821" max="5821" width="10.7109375" style="231" customWidth="1"/>
    <col min="5822" max="5823" width="10.7109375" style="231"/>
    <col min="5824" max="5824" width="10.7109375" style="231" customWidth="1"/>
    <col min="5825" max="5827" width="10.7109375" style="231"/>
    <col min="5828" max="5828" width="10.7109375" style="231" customWidth="1"/>
    <col min="5829" max="5831" width="10.7109375" style="231"/>
    <col min="5832" max="5832" width="10.7109375" style="231" customWidth="1"/>
    <col min="5833" max="5841" width="10.7109375" style="231"/>
    <col min="5842" max="5842" width="10.7109375" style="231" customWidth="1"/>
    <col min="5843" max="5852" width="10.7109375" style="231"/>
    <col min="5853" max="5853" width="10.7109375" style="231" customWidth="1"/>
    <col min="5854" max="5860" width="10.7109375" style="231"/>
    <col min="5861" max="5861" width="10.7109375" style="231" customWidth="1"/>
    <col min="5862" max="5870" width="10.7109375" style="231"/>
    <col min="5871" max="5871" width="10.7109375" style="231" customWidth="1"/>
    <col min="5872" max="5878" width="10.7109375" style="231"/>
    <col min="5879" max="5880" width="10.7109375" style="231" customWidth="1"/>
    <col min="5881" max="5882" width="10.7109375" style="231"/>
    <col min="5883" max="5883" width="10.7109375" style="231" customWidth="1"/>
    <col min="5884" max="5884" width="10.7109375" style="231"/>
    <col min="5885" max="5885" width="10.7109375" style="231" customWidth="1"/>
    <col min="5886" max="5887" width="10.7109375" style="231"/>
    <col min="5888" max="5888" width="10.7109375" style="231" customWidth="1"/>
    <col min="5889" max="5889" width="10.7109375" style="231"/>
    <col min="5890" max="5890" width="10.7109375" style="231" customWidth="1"/>
    <col min="5891" max="5891" width="10.7109375" style="231"/>
    <col min="5892" max="5892" width="10.7109375" style="231" customWidth="1"/>
    <col min="5893" max="5904" width="10.7109375" style="231"/>
    <col min="5905" max="5905" width="10.7109375" style="231" customWidth="1"/>
    <col min="5906" max="5912" width="10.7109375" style="231"/>
    <col min="5913" max="5913" width="10.7109375" style="231" customWidth="1"/>
    <col min="5914" max="5914" width="10.7109375" style="231"/>
    <col min="5915" max="5915" width="10.7109375" style="231" customWidth="1"/>
    <col min="5916" max="5922" width="10.7109375" style="231"/>
    <col min="5923" max="5923" width="10.7109375" style="231" customWidth="1"/>
    <col min="5924" max="5924" width="10.7109375" style="231"/>
    <col min="5925" max="5925" width="10.7109375" style="231" customWidth="1"/>
    <col min="5926" max="5934" width="10.7109375" style="231"/>
    <col min="5935" max="5935" width="10.7109375" style="231" customWidth="1"/>
    <col min="5936" max="5939" width="10.7109375" style="231"/>
    <col min="5940" max="5940" width="10.7109375" style="231" customWidth="1"/>
    <col min="5941" max="5943" width="10.7109375" style="231"/>
    <col min="5944" max="5944" width="10.7109375" style="231" customWidth="1"/>
    <col min="5945" max="5951" width="10.7109375" style="231"/>
    <col min="5952" max="5952" width="10.7109375" style="231" customWidth="1"/>
    <col min="5953" max="5959" width="10.7109375" style="231"/>
    <col min="5960" max="5960" width="10.7109375" style="231" customWidth="1"/>
    <col min="5961" max="5961" width="10.7109375" style="231"/>
    <col min="5962" max="5962" width="10.7109375" style="231" customWidth="1"/>
    <col min="5963" max="5967" width="10.7109375" style="231"/>
    <col min="5968" max="5969" width="10.7109375" style="231" customWidth="1"/>
    <col min="5970" max="5975" width="10.7109375" style="231"/>
    <col min="5976" max="5976" width="10.7109375" style="231" customWidth="1"/>
    <col min="5977" max="5984" width="10.7109375" style="231"/>
    <col min="5985" max="5985" width="10.7109375" style="231" customWidth="1"/>
    <col min="5986" max="5990" width="10.7109375" style="231"/>
    <col min="5991" max="5994" width="10.7109375" style="231" customWidth="1"/>
    <col min="5995" max="5995" width="10.7109375" style="231"/>
    <col min="5996" max="5996" width="10.7109375" style="231" customWidth="1"/>
    <col min="5997" max="5998" width="10.7109375" style="231"/>
    <col min="5999" max="6000" width="10.7109375" style="231" customWidth="1"/>
    <col min="6001" max="6001" width="10.7109375" style="231"/>
    <col min="6002" max="6002" width="10.7109375" style="231" customWidth="1"/>
    <col min="6003" max="6007" width="10.7109375" style="231"/>
    <col min="6008" max="6009" width="10.7109375" style="231" customWidth="1"/>
    <col min="6010" max="6023" width="10.7109375" style="231"/>
    <col min="6024" max="6026" width="10.7109375" style="231" customWidth="1"/>
    <col min="6027" max="6027" width="10.7109375" style="231"/>
    <col min="6028" max="6028" width="10.7109375" style="231" customWidth="1"/>
    <col min="6029" max="6030" width="10.7109375" style="231"/>
    <col min="6031" max="6033" width="10.7109375" style="231" customWidth="1"/>
    <col min="6034" max="6038" width="10.7109375" style="231"/>
    <col min="6039" max="6039" width="10.7109375" style="231" customWidth="1"/>
    <col min="6040" max="6044" width="10.7109375" style="231"/>
    <col min="6045" max="6045" width="10.7109375" style="231" customWidth="1"/>
    <col min="6046" max="6046" width="10.7109375" style="231"/>
    <col min="6047" max="6048" width="10.7109375" style="231" customWidth="1"/>
    <col min="6049" max="6050" width="10.7109375" style="231"/>
    <col min="6051" max="6052" width="10.7109375" style="231" customWidth="1"/>
    <col min="6053" max="6055" width="10.7109375" style="231"/>
    <col min="6056" max="6058" width="10.7109375" style="231" customWidth="1"/>
    <col min="6059" max="6059" width="10.7109375" style="231"/>
    <col min="6060" max="6060" width="10.7109375" style="231" customWidth="1"/>
    <col min="6061" max="6063" width="10.7109375" style="231"/>
    <col min="6064" max="6065" width="10.7109375" style="231" customWidth="1"/>
    <col min="6066" max="6066" width="10.7109375" style="231"/>
    <col min="6067" max="6068" width="10.7109375" style="231" customWidth="1"/>
    <col min="6069" max="6071" width="10.7109375" style="231"/>
    <col min="6072" max="6072" width="10.7109375" style="231" customWidth="1"/>
    <col min="6073" max="6073" width="10.7109375" style="231"/>
    <col min="6074" max="6075" width="10.7109375" style="231" customWidth="1"/>
    <col min="6076" max="6080" width="10.7109375" style="231"/>
    <col min="6081" max="6081" width="10.7109375" style="231" customWidth="1"/>
    <col min="6082" max="6087" width="10.7109375" style="231"/>
    <col min="6088" max="6088" width="10.7109375" style="231" customWidth="1"/>
    <col min="6089" max="6092" width="10.7109375" style="231"/>
    <col min="6093" max="6093" width="10.7109375" style="231" customWidth="1"/>
    <col min="6094" max="6095" width="10.7109375" style="231"/>
    <col min="6096" max="6096" width="10.7109375" style="231" customWidth="1"/>
    <col min="6097" max="6102" width="10.7109375" style="231"/>
    <col min="6103" max="6105" width="10.7109375" style="231" customWidth="1"/>
    <col min="6106" max="6106" width="10.7109375" style="231"/>
    <col min="6107" max="6107" width="10.7109375" style="231" customWidth="1"/>
    <col min="6108" max="6109" width="10.7109375" style="231"/>
    <col min="6110" max="6110" width="10.7109375" style="231" customWidth="1"/>
    <col min="6111" max="6113" width="10.7109375" style="231"/>
    <col min="6114" max="6114" width="10.7109375" style="231" customWidth="1"/>
    <col min="6115" max="6117" width="10.7109375" style="231"/>
    <col min="6118" max="6118" width="10.7109375" style="231" customWidth="1"/>
    <col min="6119" max="6119" width="10.7109375" style="231"/>
    <col min="6120" max="6122" width="10.7109375" style="231" customWidth="1"/>
    <col min="6123" max="6126" width="10.7109375" style="231"/>
    <col min="6127" max="6127" width="10.7109375" style="231" customWidth="1"/>
    <col min="6128" max="6132" width="10.7109375" style="231"/>
    <col min="6133" max="6133" width="10.7109375" style="231" customWidth="1"/>
    <col min="6134" max="6135" width="10.7109375" style="231"/>
    <col min="6136" max="6136" width="10.7109375" style="231" customWidth="1"/>
    <col min="6137" max="6137" width="10.7109375" style="231"/>
    <col min="6138" max="6138" width="10.7109375" style="231" customWidth="1"/>
    <col min="6139" max="6139" width="10.7109375" style="231"/>
    <col min="6140" max="6141" width="10.7109375" style="231" customWidth="1"/>
    <col min="6142" max="6143" width="10.7109375" style="231"/>
    <col min="6144" max="6144" width="10.7109375" style="231" customWidth="1"/>
    <col min="6145" max="6145" width="10.7109375" style="231"/>
    <col min="6146" max="6147" width="10.7109375" style="231" customWidth="1"/>
    <col min="6148" max="6151" width="10.7109375" style="231"/>
    <col min="6152" max="6153" width="10.7109375" style="231" customWidth="1"/>
    <col min="6154" max="6158" width="10.7109375" style="231"/>
    <col min="6159" max="6160" width="10.7109375" style="231" customWidth="1"/>
    <col min="6161" max="6162" width="10.7109375" style="231"/>
    <col min="6163" max="6165" width="10.7109375" style="231" customWidth="1"/>
    <col min="6166" max="6167" width="10.7109375" style="231"/>
    <col min="6168" max="6168" width="10.7109375" style="231" customWidth="1"/>
    <col min="6169" max="6172" width="10.7109375" style="231"/>
    <col min="6173" max="6173" width="10.7109375" style="231" customWidth="1"/>
    <col min="6174" max="6175" width="10.7109375" style="231"/>
    <col min="6176" max="6176" width="10.7109375" style="231" customWidth="1"/>
    <col min="6177" max="6177" width="10.7109375" style="231"/>
    <col min="6178" max="6178" width="10.7109375" style="231" customWidth="1"/>
    <col min="6179" max="6180" width="10.7109375" style="231"/>
    <col min="6181" max="6181" width="10.7109375" style="231" customWidth="1"/>
    <col min="6182" max="6183" width="10.7109375" style="231"/>
    <col min="6184" max="6185" width="10.7109375" style="231" customWidth="1"/>
    <col min="6186" max="6188" width="10.7109375" style="231"/>
    <col min="6189" max="6189" width="10.7109375" style="231" customWidth="1"/>
    <col min="6190" max="6190" width="10.7109375" style="231"/>
    <col min="6191" max="6192" width="10.7109375" style="231" customWidth="1"/>
    <col min="6193" max="6193" width="10.7109375" style="231"/>
    <col min="6194" max="6195" width="10.7109375" style="231" customWidth="1"/>
    <col min="6196" max="6200" width="10.7109375" style="231"/>
    <col min="6201" max="6201" width="10.7109375" style="231" customWidth="1"/>
    <col min="6202" max="6202" width="10.7109375" style="231"/>
    <col min="6203" max="6203" width="10.7109375" style="231" customWidth="1"/>
    <col min="6204" max="6225" width="10.7109375" style="231"/>
    <col min="6226" max="6226" width="10.7109375" style="231" customWidth="1"/>
    <col min="6227" max="6239" width="10.7109375" style="231"/>
    <col min="6240" max="6240" width="10.7109375" style="231" customWidth="1"/>
    <col min="6241" max="6247" width="10.7109375" style="231"/>
    <col min="6248" max="6248" width="10.7109375" style="231" customWidth="1"/>
    <col min="6249" max="6251" width="10.7109375" style="231"/>
    <col min="6252" max="6252" width="10.7109375" style="231" customWidth="1"/>
    <col min="6253" max="6257" width="10.7109375" style="231"/>
    <col min="6258" max="6259" width="10.7109375" style="231" customWidth="1"/>
    <col min="6260" max="6260" width="10.7109375" style="231"/>
    <col min="6261" max="6261" width="10.7109375" style="231" customWidth="1"/>
    <col min="6262" max="6263" width="10.7109375" style="231"/>
    <col min="6264" max="6265" width="10.7109375" style="231" customWidth="1"/>
    <col min="6266" max="6279" width="10.7109375" style="231"/>
    <col min="6280" max="6281" width="10.7109375" style="231" customWidth="1"/>
    <col min="6282" max="6284" width="10.7109375" style="231"/>
    <col min="6285" max="6285" width="10.7109375" style="231" customWidth="1"/>
    <col min="6286" max="6286" width="10.7109375" style="231"/>
    <col min="6287" max="6289" width="10.7109375" style="231" customWidth="1"/>
    <col min="6290" max="6291" width="10.7109375" style="231"/>
    <col min="6292" max="6292" width="10.7109375" style="231" customWidth="1"/>
    <col min="6293" max="6295" width="10.7109375" style="231"/>
    <col min="6296" max="6296" width="10.7109375" style="231" customWidth="1"/>
    <col min="6297" max="6297" width="10.7109375" style="231"/>
    <col min="6298" max="6299" width="10.7109375" style="231" customWidth="1"/>
    <col min="6300" max="6300" width="10.7109375" style="231"/>
    <col min="6301" max="6301" width="10.7109375" style="231" customWidth="1"/>
    <col min="6302" max="6303" width="10.7109375" style="231"/>
    <col min="6304" max="6304" width="10.7109375" style="231" customWidth="1"/>
    <col min="6305" max="6306" width="10.7109375" style="231"/>
    <col min="6307" max="6309" width="10.7109375" style="231" customWidth="1"/>
    <col min="6310" max="6311" width="10.7109375" style="231"/>
    <col min="6312" max="6312" width="10.7109375" style="231" customWidth="1"/>
    <col min="6313" max="6314" width="10.7109375" style="231"/>
    <col min="6315" max="6315" width="10.7109375" style="231" customWidth="1"/>
    <col min="6316" max="6316" width="10.7109375" style="231"/>
    <col min="6317" max="6317" width="10.7109375" style="231" customWidth="1"/>
    <col min="6318" max="6319" width="10.7109375" style="231"/>
    <col min="6320" max="6320" width="10.7109375" style="231" customWidth="1"/>
    <col min="6321" max="6327" width="10.7109375" style="231"/>
    <col min="6328" max="6330" width="10.7109375" style="231" customWidth="1"/>
    <col min="6331" max="6331" width="10.7109375" style="231"/>
    <col min="6332" max="6332" width="10.7109375" style="231" customWidth="1"/>
    <col min="6333" max="6335" width="10.7109375" style="231"/>
    <col min="6336" max="6337" width="10.7109375" style="231" customWidth="1"/>
    <col min="6338" max="6340" width="10.7109375" style="231"/>
    <col min="6341" max="6341" width="10.7109375" style="231" customWidth="1"/>
    <col min="6342" max="6342" width="10.7109375" style="231"/>
    <col min="6343" max="6346" width="10.7109375" style="231" customWidth="1"/>
    <col min="6347" max="6347" width="10.7109375" style="231"/>
    <col min="6348" max="6348" width="10.7109375" style="231" customWidth="1"/>
    <col min="6349" max="6351" width="10.7109375" style="231"/>
    <col min="6352" max="6352" width="10.7109375" style="231" customWidth="1"/>
    <col min="6353" max="6353" width="10.7109375" style="231"/>
    <col min="6354" max="6355" width="10.7109375" style="231" customWidth="1"/>
    <col min="6356" max="6359" width="10.7109375" style="231"/>
    <col min="6360" max="6364" width="10.7109375" style="231" customWidth="1"/>
    <col min="6365" max="6367" width="10.7109375" style="231"/>
    <col min="6368" max="6368" width="10.7109375" style="231" customWidth="1"/>
    <col min="6369" max="6369" width="10.7109375" style="231"/>
    <col min="6370" max="6370" width="10.7109375" style="231" customWidth="1"/>
    <col min="6371" max="6371" width="10.7109375" style="231"/>
    <col min="6372" max="6373" width="10.7109375" style="231" customWidth="1"/>
    <col min="6374" max="6375" width="10.7109375" style="231"/>
    <col min="6376" max="6378" width="10.7109375" style="231" customWidth="1"/>
    <col min="6379" max="6382" width="10.7109375" style="231"/>
    <col min="6383" max="6384" width="10.7109375" style="231" customWidth="1"/>
    <col min="6385" max="6388" width="10.7109375" style="231"/>
    <col min="6389" max="6389" width="10.7109375" style="231" customWidth="1"/>
    <col min="6390" max="6390" width="10.7109375" style="231"/>
    <col min="6391" max="6392" width="10.7109375" style="231" customWidth="1"/>
    <col min="6393" max="6394" width="10.7109375" style="231"/>
    <col min="6395" max="6395" width="10.7109375" style="231" customWidth="1"/>
    <col min="6396" max="6396" width="10.7109375" style="231"/>
    <col min="6397" max="6397" width="10.7109375" style="231" customWidth="1"/>
    <col min="6398" max="6399" width="10.7109375" style="231"/>
    <col min="6400" max="6400" width="10.7109375" style="231" customWidth="1"/>
    <col min="6401" max="6401" width="10.7109375" style="231"/>
    <col min="6402" max="6402" width="10.7109375" style="231" customWidth="1"/>
    <col min="6403" max="6403" width="10.7109375" style="231"/>
    <col min="6404" max="6405" width="10.7109375" style="231" customWidth="1"/>
    <col min="6406" max="6407" width="10.7109375" style="231"/>
    <col min="6408" max="6408" width="10.7109375" style="231" customWidth="1"/>
    <col min="6409" max="6409" width="10.7109375" style="231"/>
    <col min="6410" max="6411" width="10.7109375" style="231" customWidth="1"/>
    <col min="6412" max="6415" width="10.7109375" style="231"/>
    <col min="6416" max="6417" width="10.7109375" style="231" customWidth="1"/>
    <col min="6418" max="6422" width="10.7109375" style="231"/>
    <col min="6423" max="6425" width="10.7109375" style="231" customWidth="1"/>
    <col min="6426" max="6426" width="10.7109375" style="231"/>
    <col min="6427" max="6427" width="10.7109375" style="231" customWidth="1"/>
    <col min="6428" max="6428" width="10.7109375" style="231"/>
    <col min="6429" max="6432" width="10.7109375" style="231" customWidth="1"/>
    <col min="6433" max="6433" width="10.7109375" style="231"/>
    <col min="6434" max="6435" width="10.7109375" style="231" customWidth="1"/>
    <col min="6436" max="6436" width="10.7109375" style="231"/>
    <col min="6437" max="6442" width="10.7109375" style="231" customWidth="1"/>
    <col min="6443" max="6446" width="10.7109375" style="231"/>
    <col min="6447" max="6448" width="10.7109375" style="231" customWidth="1"/>
    <col min="6449" max="6450" width="10.7109375" style="231"/>
    <col min="6451" max="6452" width="10.7109375" style="231" customWidth="1"/>
    <col min="6453" max="6455" width="10.7109375" style="231"/>
    <col min="6456" max="6458" width="10.7109375" style="231" customWidth="1"/>
    <col min="6459" max="6459" width="10.7109375" style="231"/>
    <col min="6460" max="6460" width="10.7109375" style="231" customWidth="1"/>
    <col min="6461" max="6463" width="10.7109375" style="231"/>
    <col min="6464" max="6465" width="10.7109375" style="231" customWidth="1"/>
    <col min="6466" max="6466" width="10.7109375" style="231"/>
    <col min="6467" max="6468" width="10.7109375" style="231" customWidth="1"/>
    <col min="6469" max="6471" width="10.7109375" style="231"/>
    <col min="6472" max="6472" width="10.7109375" style="231" customWidth="1"/>
    <col min="6473" max="6473" width="10.7109375" style="231"/>
    <col min="6474" max="6475" width="10.7109375" style="231" customWidth="1"/>
    <col min="6476" max="6476" width="10.7109375" style="231"/>
    <col min="6477" max="6477" width="10.7109375" style="231" customWidth="1"/>
    <col min="6478" max="6479" width="10.7109375" style="231"/>
    <col min="6480" max="6481" width="10.7109375" style="231" customWidth="1"/>
    <col min="6482" max="6484" width="10.7109375" style="231"/>
    <col min="6485" max="6485" width="10.7109375" style="231" customWidth="1"/>
    <col min="6486" max="6487" width="10.7109375" style="231"/>
    <col min="6488" max="6488" width="10.7109375" style="231" customWidth="1"/>
    <col min="6489" max="6491" width="10.7109375" style="231"/>
    <col min="6492" max="6493" width="10.7109375" style="231" customWidth="1"/>
    <col min="6494" max="6495" width="10.7109375" style="231"/>
    <col min="6496" max="6497" width="10.7109375" style="231" customWidth="1"/>
    <col min="6498" max="6502" width="10.7109375" style="231"/>
    <col min="6503" max="6504" width="10.7109375" style="231" customWidth="1"/>
    <col min="6505" max="6506" width="10.7109375" style="231"/>
    <col min="6507" max="6509" width="10.7109375" style="231" customWidth="1"/>
    <col min="6510" max="6511" width="10.7109375" style="231"/>
    <col min="6512" max="6512" width="10.7109375" style="231" customWidth="1"/>
    <col min="6513" max="6516" width="10.7109375" style="231"/>
    <col min="6517" max="6517" width="10.7109375" style="231" customWidth="1"/>
    <col min="6518" max="6521" width="10.7109375" style="231"/>
    <col min="6522" max="6522" width="10.7109375" style="231" customWidth="1"/>
    <col min="6523" max="6528" width="10.7109375" style="231"/>
    <col min="6529" max="6529" width="10.7109375" style="231" customWidth="1"/>
    <col min="6530" max="6534" width="10.7109375" style="231"/>
    <col min="6535" max="6536" width="10.7109375" style="231" customWidth="1"/>
    <col min="6537" max="6537" width="10.7109375" style="231"/>
    <col min="6538" max="6539" width="10.7109375" style="231" customWidth="1"/>
    <col min="6540" max="6540" width="10.7109375" style="231"/>
    <col min="6541" max="6541" width="10.7109375" style="231" customWidth="1"/>
    <col min="6542" max="6543" width="10.7109375" style="231"/>
    <col min="6544" max="6545" width="10.7109375" style="231" customWidth="1"/>
    <col min="6546" max="6546" width="10.7109375" style="231"/>
    <col min="6547" max="6548" width="10.7109375" style="231" customWidth="1"/>
    <col min="6549" max="6551" width="10.7109375" style="231"/>
    <col min="6552" max="6553" width="10.7109375" style="231" customWidth="1"/>
    <col min="6554" max="6554" width="10.7109375" style="231"/>
    <col min="6555" max="6556" width="10.7109375" style="231" customWidth="1"/>
    <col min="6557" max="6560" width="10.7109375" style="231"/>
    <col min="6561" max="6562" width="10.7109375" style="231" customWidth="1"/>
    <col min="6563" max="6567" width="10.7109375" style="231"/>
    <col min="6568" max="6568" width="10.7109375" style="231" customWidth="1"/>
    <col min="6569" max="6569" width="10.7109375" style="231"/>
    <col min="6570" max="6570" width="10.7109375" style="231" customWidth="1"/>
    <col min="6571" max="6572" width="10.7109375" style="231"/>
    <col min="6573" max="6573" width="10.7109375" style="231" customWidth="1"/>
    <col min="6574" max="6575" width="10.7109375" style="231"/>
    <col min="6576" max="6576" width="10.7109375" style="231" customWidth="1"/>
    <col min="6577" max="6580" width="10.7109375" style="231"/>
    <col min="6581" max="6581" width="10.7109375" style="231" customWidth="1"/>
    <col min="6582" max="6582" width="10.7109375" style="231"/>
    <col min="6583" max="6583" width="10.7109375" style="231" customWidth="1"/>
    <col min="6584" max="6584" width="10.7109375" style="231"/>
    <col min="6585" max="6588" width="10.7109375" style="231" customWidth="1"/>
    <col min="6589" max="6591" width="10.7109375" style="231"/>
    <col min="6592" max="6593" width="10.7109375" style="231" customWidth="1"/>
    <col min="6594" max="6595" width="10.7109375" style="231"/>
    <col min="6596" max="6596" width="10.7109375" style="231" customWidth="1"/>
    <col min="6597" max="6599" width="10.7109375" style="231"/>
    <col min="6600" max="6600" width="10.7109375" style="231" customWidth="1"/>
    <col min="6601" max="6604" width="10.7109375" style="231"/>
    <col min="6605" max="6605" width="10.7109375" style="231" customWidth="1"/>
    <col min="6606" max="6607" width="10.7109375" style="231"/>
    <col min="6608" max="6609" width="10.7109375" style="231" customWidth="1"/>
    <col min="6610" max="6616" width="10.7109375" style="231"/>
    <col min="6617" max="6617" width="10.7109375" style="231" customWidth="1"/>
    <col min="6618" max="6624" width="10.7109375" style="231"/>
    <col min="6625" max="6625" width="10.7109375" style="231" customWidth="1"/>
    <col min="6626" max="6630" width="10.7109375" style="231"/>
    <col min="6631" max="6631" width="10.7109375" style="231" customWidth="1"/>
    <col min="6632" max="6637" width="10.7109375" style="231"/>
    <col min="6638" max="6638" width="10.7109375" style="231" customWidth="1"/>
    <col min="6639" max="6641" width="10.7109375" style="231"/>
    <col min="6642" max="6642" width="10.7109375" style="231" customWidth="1"/>
    <col min="6643" max="6644" width="10.7109375" style="231"/>
    <col min="6645" max="6645" width="10.7109375" style="231" customWidth="1"/>
    <col min="6646" max="6647" width="10.7109375" style="231"/>
    <col min="6648" max="6648" width="10.7109375" style="231" customWidth="1"/>
    <col min="6649" max="6655" width="10.7109375" style="231"/>
    <col min="6656" max="6656" width="10.7109375" style="231" customWidth="1"/>
    <col min="6657" max="6663" width="10.7109375" style="231"/>
    <col min="6664" max="6664" width="10.7109375" style="231" customWidth="1"/>
    <col min="6665" max="6667" width="10.7109375" style="231"/>
    <col min="6668" max="6668" width="10.7109375" style="231" customWidth="1"/>
    <col min="6669" max="6669" width="10.7109375" style="231"/>
    <col min="6670" max="6670" width="10.7109375" style="231" customWidth="1"/>
    <col min="6671" max="6676" width="10.7109375" style="231"/>
    <col min="6677" max="6677" width="10.7109375" style="231" customWidth="1"/>
    <col min="6678" max="6679" width="10.7109375" style="231"/>
    <col min="6680" max="6681" width="10.7109375" style="231" customWidth="1"/>
    <col min="6682" max="6682" width="10.7109375" style="231"/>
    <col min="6683" max="6684" width="10.7109375" style="231" customWidth="1"/>
    <col min="6685" max="6687" width="10.7109375" style="231"/>
    <col min="6688" max="6688" width="10.7109375" style="231" customWidth="1"/>
    <col min="6689" max="6689" width="10.7109375" style="231"/>
    <col min="6690" max="6690" width="10.7109375" style="231" customWidth="1"/>
    <col min="6691" max="6692" width="10.7109375" style="231"/>
    <col min="6693" max="6693" width="10.7109375" style="231" customWidth="1"/>
    <col min="6694" max="6695" width="10.7109375" style="231"/>
    <col min="6696" max="6696" width="10.7109375" style="231" customWidth="1"/>
    <col min="6697" max="6697" width="10.7109375" style="231"/>
    <col min="6698" max="6701" width="10.7109375" style="231" customWidth="1"/>
    <col min="6702" max="6703" width="10.7109375" style="231"/>
    <col min="6704" max="6706" width="10.7109375" style="231" customWidth="1"/>
    <col min="6707" max="6711" width="10.7109375" style="231"/>
    <col min="6712" max="6714" width="10.7109375" style="231" customWidth="1"/>
    <col min="6715" max="6715" width="10.7109375" style="231"/>
    <col min="6716" max="6716" width="10.7109375" style="231" customWidth="1"/>
    <col min="6717" max="6717" width="10.7109375" style="231"/>
    <col min="6718" max="6718" width="10.7109375" style="231" customWidth="1"/>
    <col min="6719" max="6727" width="10.7109375" style="231"/>
    <col min="6728" max="6728" width="10.7109375" style="231" customWidth="1"/>
    <col min="6729" max="6731" width="10.7109375" style="231"/>
    <col min="6732" max="6733" width="10.7109375" style="231" customWidth="1"/>
    <col min="6734" max="6738" width="10.7109375" style="231"/>
    <col min="6739" max="6739" width="10.7109375" style="231" customWidth="1"/>
    <col min="6740" max="6740" width="10.7109375" style="231"/>
    <col min="6741" max="6741" width="10.7109375" style="231" customWidth="1"/>
    <col min="6742" max="6747" width="10.7109375" style="231"/>
    <col min="6748" max="6748" width="10.7109375" style="231" customWidth="1"/>
    <col min="6749" max="6752" width="10.7109375" style="231"/>
    <col min="6753" max="6753" width="10.7109375" style="231" customWidth="1"/>
    <col min="6754" max="6755" width="10.7109375" style="231"/>
    <col min="6756" max="6756" width="10.7109375" style="231" customWidth="1"/>
    <col min="6757" max="6759" width="10.7109375" style="231"/>
    <col min="6760" max="6761" width="10.7109375" style="231" customWidth="1"/>
    <col min="6762" max="6766" width="10.7109375" style="231"/>
    <col min="6767" max="6768" width="10.7109375" style="231" customWidth="1"/>
    <col min="6769" max="6783" width="10.7109375" style="231"/>
    <col min="6784" max="6784" width="10.7109375" style="231" customWidth="1"/>
    <col min="6785" max="6787" width="10.7109375" style="231"/>
    <col min="6788" max="6788" width="10.7109375" style="231" customWidth="1"/>
    <col min="6789" max="6792" width="10.7109375" style="231"/>
    <col min="6793" max="6793" width="10.7109375" style="231" customWidth="1"/>
    <col min="6794" max="6795" width="10.7109375" style="231"/>
    <col min="6796" max="6796" width="10.7109375" style="231" customWidth="1"/>
    <col min="6797" max="6801" width="10.7109375" style="231"/>
    <col min="6802" max="6803" width="10.7109375" style="231" customWidth="1"/>
    <col min="6804" max="6804" width="10.7109375" style="231"/>
    <col min="6805" max="6805" width="10.7109375" style="231" customWidth="1"/>
    <col min="6806" max="6807" width="10.7109375" style="231"/>
    <col min="6808" max="6809" width="10.7109375" style="231" customWidth="1"/>
    <col min="6810" max="6812" width="10.7109375" style="231"/>
    <col min="6813" max="6813" width="10.7109375" style="231" customWidth="1"/>
    <col min="6814" max="6815" width="10.7109375" style="231"/>
    <col min="6816" max="6816" width="10.7109375" style="231" customWidth="1"/>
    <col min="6817" max="6819" width="10.7109375" style="231"/>
    <col min="6820" max="6821" width="10.7109375" style="231" customWidth="1"/>
    <col min="6822" max="6823" width="10.7109375" style="231"/>
    <col min="6824" max="6825" width="10.7109375" style="231" customWidth="1"/>
    <col min="6826" max="6830" width="10.7109375" style="231"/>
    <col min="6831" max="6833" width="10.7109375" style="231" customWidth="1"/>
    <col min="6834" max="6834" width="10.7109375" style="231"/>
    <col min="6835" max="6835" width="10.7109375" style="231" customWidth="1"/>
    <col min="6836" max="6838" width="10.7109375" style="231"/>
    <col min="6839" max="6839" width="10.7109375" style="231" customWidth="1"/>
    <col min="6840" max="6840" width="10.7109375" style="231"/>
    <col min="6841" max="6841" width="10.7109375" style="231" customWidth="1"/>
    <col min="6842" max="6846" width="10.7109375" style="231"/>
    <col min="6847" max="6847" width="10.7109375" style="231" customWidth="1"/>
    <col min="6848" max="6868" width="10.7109375" style="231"/>
    <col min="6869" max="6869" width="10.7109375" style="231" customWidth="1"/>
    <col min="6870" max="6883" width="10.7109375" style="231"/>
    <col min="6884" max="6884" width="10.7109375" style="231" customWidth="1"/>
    <col min="6885" max="6894" width="10.7109375" style="231"/>
    <col min="6895" max="6895" width="10.7109375" style="231" customWidth="1"/>
    <col min="6896" max="6896" width="10.7109375" style="231"/>
    <col min="6897" max="6897" width="10.7109375" style="231" customWidth="1"/>
    <col min="6898" max="6898" width="10.7109375" style="231"/>
    <col min="6899" max="6899" width="10.7109375" style="231" customWidth="1"/>
    <col min="6900" max="6901" width="10.7109375" style="231"/>
    <col min="6902" max="6902" width="10.7109375" style="231" customWidth="1"/>
    <col min="6903" max="6911" width="10.7109375" style="231"/>
    <col min="6912" max="6912" width="10.7109375" style="231" customWidth="1"/>
    <col min="6913" max="6919" width="10.7109375" style="231"/>
    <col min="6920" max="6922" width="10.7109375" style="231" customWidth="1"/>
    <col min="6923" max="6923" width="10.7109375" style="231"/>
    <col min="6924" max="6924" width="10.7109375" style="231" customWidth="1"/>
    <col min="6925" max="6927" width="10.7109375" style="231"/>
    <col min="6928" max="6930" width="10.7109375" style="231" customWidth="1"/>
    <col min="6931" max="6935" width="10.7109375" style="231"/>
    <col min="6936" max="6936" width="10.7109375" style="231" customWidth="1"/>
    <col min="6937" max="6940" width="10.7109375" style="231"/>
    <col min="6941" max="6941" width="10.7109375" style="231" customWidth="1"/>
    <col min="6942" max="6943" width="10.7109375" style="231"/>
    <col min="6944" max="6944" width="10.7109375" style="231" customWidth="1"/>
    <col min="6945" max="6946" width="10.7109375" style="231"/>
    <col min="6947" max="6947" width="10.7109375" style="231" customWidth="1"/>
    <col min="6948" max="6953" width="10.7109375" style="231"/>
    <col min="6954" max="6954" width="10.7109375" style="231" customWidth="1"/>
    <col min="6955" max="6959" width="10.7109375" style="231"/>
    <col min="6960" max="6961" width="10.7109375" style="231" customWidth="1"/>
    <col min="6962" max="6966" width="10.7109375" style="231"/>
    <col min="6967" max="6968" width="10.7109375" style="231" customWidth="1"/>
    <col min="6969" max="6972" width="10.7109375" style="231"/>
    <col min="6973" max="6974" width="10.7109375" style="231" customWidth="1"/>
    <col min="6975" max="6975" width="10.7109375" style="231"/>
    <col min="6976" max="6976" width="10.7109375" style="231" customWidth="1"/>
    <col min="6977" max="6978" width="10.7109375" style="231"/>
    <col min="6979" max="6979" width="10.7109375" style="231" customWidth="1"/>
    <col min="6980" max="6985" width="10.7109375" style="231"/>
    <col min="6986" max="6986" width="10.7109375" style="231" customWidth="1"/>
    <col min="6987" max="6988" width="10.7109375" style="231"/>
    <col min="6989" max="6989" width="10.7109375" style="231" customWidth="1"/>
    <col min="6990" max="6993" width="10.7109375" style="231"/>
    <col min="6994" max="6994" width="10.7109375" style="231" customWidth="1"/>
    <col min="6995" max="7007" width="10.7109375" style="231"/>
    <col min="7008" max="7008" width="10.7109375" style="231" customWidth="1"/>
    <col min="7009" max="7012" width="10.7109375" style="231"/>
    <col min="7013" max="7013" width="10.7109375" style="231" customWidth="1"/>
    <col min="7014" max="7014" width="10.7109375" style="231"/>
    <col min="7015" max="7015" width="10.7109375" style="231" customWidth="1"/>
    <col min="7016" max="7018" width="10.7109375" style="231"/>
    <col min="7019" max="7020" width="10.7109375" style="231" customWidth="1"/>
    <col min="7021" max="7031" width="10.7109375" style="231"/>
    <col min="7032" max="7032" width="10.7109375" style="231" customWidth="1"/>
    <col min="7033" max="7039" width="10.7109375" style="231"/>
    <col min="7040" max="7040" width="10.7109375" style="231" customWidth="1"/>
    <col min="7041" max="7052" width="10.7109375" style="231"/>
    <col min="7053" max="7053" width="10.7109375" style="231" customWidth="1"/>
    <col min="7054" max="7059" width="10.7109375" style="231"/>
    <col min="7060" max="7061" width="10.7109375" style="231" customWidth="1"/>
    <col min="7062" max="7063" width="10.7109375" style="231"/>
    <col min="7064" max="7065" width="10.7109375" style="231" customWidth="1"/>
    <col min="7066" max="7071" width="10.7109375" style="231"/>
    <col min="7072" max="7072" width="10.7109375" style="231" customWidth="1"/>
    <col min="7073" max="7074" width="10.7109375" style="231"/>
    <col min="7075" max="7075" width="10.7109375" style="231" customWidth="1"/>
    <col min="7076" max="7077" width="10.7109375" style="231"/>
    <col min="7078" max="7079" width="10.7109375" style="231" customWidth="1"/>
    <col min="7080" max="7081" width="10.7109375" style="231"/>
    <col min="7082" max="7082" width="10.7109375" style="231" customWidth="1"/>
    <col min="7083" max="7084" width="10.7109375" style="231"/>
    <col min="7085" max="7088" width="10.7109375" style="231" customWidth="1"/>
    <col min="7089" max="7089" width="10.7109375" style="231"/>
    <col min="7090" max="7091" width="10.7109375" style="231" customWidth="1"/>
    <col min="7092" max="7092" width="10.7109375" style="231"/>
    <col min="7093" max="7096" width="10.7109375" style="231" customWidth="1"/>
    <col min="7097" max="7110" width="10.7109375" style="231"/>
    <col min="7111" max="7111" width="10.7109375" style="231" customWidth="1"/>
    <col min="7112" max="7119" width="10.7109375" style="231"/>
    <col min="7120" max="7120" width="10.7109375" style="231" customWidth="1"/>
    <col min="7121" max="7121" width="10.7109375" style="231"/>
    <col min="7122" max="7122" width="10.7109375" style="231" customWidth="1"/>
    <col min="7123" max="7123" width="10.7109375" style="231"/>
    <col min="7124" max="7125" width="10.7109375" style="231" customWidth="1"/>
    <col min="7126" max="7127" width="10.7109375" style="231"/>
    <col min="7128" max="7128" width="10.7109375" style="231" customWidth="1"/>
    <col min="7129" max="7135" width="10.7109375" style="231"/>
    <col min="7136" max="7136" width="10.7109375" style="231" customWidth="1"/>
    <col min="7137" max="7142" width="10.7109375" style="231"/>
    <col min="7143" max="7143" width="10.7109375" style="231" customWidth="1"/>
    <col min="7144" max="7161" width="10.7109375" style="231"/>
    <col min="7162" max="7162" width="10.7109375" style="231" customWidth="1"/>
    <col min="7163" max="7174" width="10.7109375" style="231"/>
    <col min="7175" max="7176" width="10.7109375" style="231" customWidth="1"/>
    <col min="7177" max="7177" width="10.7109375" style="231"/>
    <col min="7178" max="7178" width="10.7109375" style="231" customWidth="1"/>
    <col min="7179" max="7179" width="10.7109375" style="231"/>
    <col min="7180" max="7181" width="10.7109375" style="231" customWidth="1"/>
    <col min="7182" max="7183" width="10.7109375" style="231"/>
    <col min="7184" max="7185" width="10.7109375" style="231" customWidth="1"/>
    <col min="7186" max="7187" width="10.7109375" style="231"/>
    <col min="7188" max="7188" width="10.7109375" style="231" customWidth="1"/>
    <col min="7189" max="7191" width="10.7109375" style="231"/>
    <col min="7192" max="7192" width="10.7109375" style="231" customWidth="1"/>
    <col min="7193" max="7194" width="10.7109375" style="231"/>
    <col min="7195" max="7196" width="10.7109375" style="231" customWidth="1"/>
    <col min="7197" max="7201" width="10.7109375" style="231"/>
    <col min="7202" max="7202" width="10.7109375" style="231" customWidth="1"/>
    <col min="7203" max="7204" width="10.7109375" style="231"/>
    <col min="7205" max="7205" width="10.7109375" style="231" customWidth="1"/>
    <col min="7206" max="7211" width="10.7109375" style="231"/>
    <col min="7212" max="7213" width="10.7109375" style="231" customWidth="1"/>
    <col min="7214" max="7215" width="10.7109375" style="231"/>
    <col min="7216" max="7217" width="10.7109375" style="231" customWidth="1"/>
    <col min="7218" max="7220" width="10.7109375" style="231"/>
    <col min="7221" max="7221" width="10.7109375" style="231" customWidth="1"/>
    <col min="7222" max="7222" width="10.7109375" style="231"/>
    <col min="7223" max="7223" width="10.7109375" style="231" customWidth="1"/>
    <col min="7224" max="7224" width="10.7109375" style="231"/>
    <col min="7225" max="7225" width="10.7109375" style="231" customWidth="1"/>
    <col min="7226" max="7244" width="10.7109375" style="231"/>
    <col min="7245" max="7245" width="10.7109375" style="231" customWidth="1"/>
    <col min="7246" max="7248" width="10.7109375" style="231"/>
    <col min="7249" max="7249" width="10.7109375" style="231" customWidth="1"/>
    <col min="7250" max="7252" width="10.7109375" style="231"/>
    <col min="7253" max="7253" width="10.7109375" style="231" customWidth="1"/>
    <col min="7254" max="7255" width="10.7109375" style="231"/>
    <col min="7256" max="7257" width="10.7109375" style="231" customWidth="1"/>
    <col min="7258" max="7259" width="10.7109375" style="231"/>
    <col min="7260" max="7260" width="10.7109375" style="231" customWidth="1"/>
    <col min="7261" max="7264" width="10.7109375" style="231"/>
    <col min="7265" max="7265" width="10.7109375" style="231" customWidth="1"/>
    <col min="7266" max="7271" width="10.7109375" style="231"/>
    <col min="7272" max="7273" width="10.7109375" style="231" customWidth="1"/>
    <col min="7274" max="7279" width="10.7109375" style="231"/>
    <col min="7280" max="7280" width="10.7109375" style="231" customWidth="1"/>
    <col min="7281" max="7281" width="10.7109375" style="231"/>
    <col min="7282" max="7283" width="10.7109375" style="231" customWidth="1"/>
    <col min="7284" max="7284" width="10.7109375" style="231"/>
    <col min="7285" max="7285" width="10.7109375" style="231" customWidth="1"/>
    <col min="7286" max="7287" width="10.7109375" style="231"/>
    <col min="7288" max="7288" width="10.7109375" style="231" customWidth="1"/>
    <col min="7289" max="7290" width="10.7109375" style="231"/>
    <col min="7291" max="7293" width="10.7109375" style="231" customWidth="1"/>
    <col min="7294" max="7295" width="10.7109375" style="231"/>
    <col min="7296" max="7296" width="10.7109375" style="231" customWidth="1"/>
    <col min="7297" max="7303" width="10.7109375" style="231"/>
    <col min="7304" max="7304" width="10.7109375" style="231" customWidth="1"/>
    <col min="7305" max="7307" width="10.7109375" style="231"/>
    <col min="7308" max="7309" width="10.7109375" style="231" customWidth="1"/>
    <col min="7310" max="7311" width="10.7109375" style="231"/>
    <col min="7312" max="7314" width="10.7109375" style="231" customWidth="1"/>
    <col min="7315" max="7315" width="10.7109375" style="231"/>
    <col min="7316" max="7316" width="10.7109375" style="231" customWidth="1"/>
    <col min="7317" max="7319" width="10.7109375" style="231"/>
    <col min="7320" max="7320" width="10.7109375" style="231" customWidth="1"/>
    <col min="7321" max="7324" width="10.7109375" style="231"/>
    <col min="7325" max="7325" width="10.7109375" style="231" customWidth="1"/>
    <col min="7326" max="7326" width="10.7109375" style="231"/>
    <col min="7327" max="7328" width="10.7109375" style="231" customWidth="1"/>
    <col min="7329" max="7329" width="10.7109375" style="231"/>
    <col min="7330" max="7330" width="10.7109375" style="231" customWidth="1"/>
    <col min="7331" max="7335" width="10.7109375" style="231"/>
    <col min="7336" max="7338" width="10.7109375" style="231" customWidth="1"/>
    <col min="7339" max="7339" width="10.7109375" style="231"/>
    <col min="7340" max="7340" width="10.7109375" style="231" customWidth="1"/>
    <col min="7341" max="7343" width="10.7109375" style="231"/>
    <col min="7344" max="7344" width="10.7109375" style="231" customWidth="1"/>
    <col min="7345" max="7345" width="10.7109375" style="231"/>
    <col min="7346" max="7346" width="10.7109375" style="231" customWidth="1"/>
    <col min="7347" max="7379" width="10.7109375" style="231"/>
    <col min="7380" max="7380" width="10.7109375" style="231" customWidth="1"/>
    <col min="7381" max="7406" width="10.7109375" style="231"/>
    <col min="7407" max="7407" width="10.7109375" style="231" customWidth="1"/>
    <col min="7408" max="7412" width="10.7109375" style="231"/>
    <col min="7413" max="7413" width="10.7109375" style="231" customWidth="1"/>
    <col min="7414" max="7414" width="10.7109375" style="231"/>
    <col min="7415" max="7415" width="10.7109375" style="231" customWidth="1"/>
    <col min="7416" max="7418" width="10.7109375" style="231"/>
    <col min="7419" max="7419" width="10.7109375" style="231" customWidth="1"/>
    <col min="7420" max="7423" width="10.7109375" style="231"/>
    <col min="7424" max="7424" width="10.7109375" style="231" customWidth="1"/>
    <col min="7425" max="7427" width="10.7109375" style="231"/>
    <col min="7428" max="7429" width="10.7109375" style="231" customWidth="1"/>
    <col min="7430" max="7431" width="10.7109375" style="231"/>
    <col min="7432" max="7432" width="10.7109375" style="231" customWidth="1"/>
    <col min="7433" max="7433" width="10.7109375" style="231"/>
    <col min="7434" max="7434" width="10.7109375" style="231" customWidth="1"/>
    <col min="7435" max="7439" width="10.7109375" style="231"/>
    <col min="7440" max="7441" width="10.7109375" style="231" customWidth="1"/>
    <col min="7442" max="7447" width="10.7109375" style="231"/>
    <col min="7448" max="7448" width="10.7109375" style="231" customWidth="1"/>
    <col min="7449" max="7453" width="10.7109375" style="231"/>
    <col min="7454" max="7454" width="10.7109375" style="231" customWidth="1"/>
    <col min="7455" max="7462" width="10.7109375" style="231"/>
    <col min="7463" max="7464" width="10.7109375" style="231" customWidth="1"/>
    <col min="7465" max="7465" width="10.7109375" style="231"/>
    <col min="7466" max="7466" width="10.7109375" style="231" customWidth="1"/>
    <col min="7467" max="7468" width="10.7109375" style="231"/>
    <col min="7469" max="7472" width="10.7109375" style="231" customWidth="1"/>
    <col min="7473" max="7474" width="10.7109375" style="231"/>
    <col min="7475" max="7475" width="10.7109375" style="231" customWidth="1"/>
    <col min="7476" max="7503" width="10.7109375" style="231"/>
    <col min="7504" max="7505" width="10.7109375" style="231" customWidth="1"/>
    <col min="7506" max="7506" width="10.7109375" style="231"/>
    <col min="7507" max="7508" width="10.7109375" style="231" customWidth="1"/>
    <col min="7509" max="7511" width="10.7109375" style="231"/>
    <col min="7512" max="7512" width="10.7109375" style="231" customWidth="1"/>
    <col min="7513" max="7513" width="10.7109375" style="231"/>
    <col min="7514" max="7514" width="10.7109375" style="231" customWidth="1"/>
    <col min="7515" max="7534" width="10.7109375" style="231"/>
    <col min="7535" max="7535" width="10.7109375" style="231" customWidth="1"/>
    <col min="7536" max="7536" width="10.7109375" style="231"/>
    <col min="7537" max="7537" width="10.7109375" style="231" customWidth="1"/>
    <col min="7538" max="7538" width="10.7109375" style="231"/>
    <col min="7539" max="7539" width="10.7109375" style="231" customWidth="1"/>
    <col min="7540" max="7540" width="10.7109375" style="231"/>
    <col min="7541" max="7542" width="10.7109375" style="231" customWidth="1"/>
    <col min="7543" max="7543" width="10.7109375" style="231"/>
    <col min="7544" max="7544" width="10.7109375" style="231" customWidth="1"/>
    <col min="7545" max="7550" width="10.7109375" style="231"/>
    <col min="7551" max="7551" width="10.7109375" style="231" customWidth="1"/>
    <col min="7552" max="7566" width="10.7109375" style="231"/>
    <col min="7567" max="7567" width="10.7109375" style="231" customWidth="1"/>
    <col min="7568" max="7569" width="10.7109375" style="231"/>
    <col min="7570" max="7571" width="10.7109375" style="231" customWidth="1"/>
    <col min="7572" max="7573" width="10.7109375" style="231"/>
    <col min="7574" max="7576" width="10.7109375" style="231" customWidth="1"/>
    <col min="7577" max="7582" width="10.7109375" style="231"/>
    <col min="7583" max="7583" width="10.7109375" style="231" customWidth="1"/>
    <col min="7584" max="7602" width="10.7109375" style="231"/>
    <col min="7603" max="7603" width="10.7109375" style="231" customWidth="1"/>
    <col min="7604" max="7604" width="10.7109375" style="231"/>
    <col min="7605" max="7605" width="10.7109375" style="231" customWidth="1"/>
    <col min="7606" max="7607" width="10.7109375" style="231"/>
    <col min="7608" max="7608" width="10.7109375" style="231" customWidth="1"/>
    <col min="7609" max="7611" width="10.7109375" style="231"/>
    <col min="7612" max="7612" width="10.7109375" style="231" customWidth="1"/>
    <col min="7613" max="7630" width="10.7109375" style="231"/>
    <col min="7631" max="7631" width="10.7109375" style="231" customWidth="1"/>
    <col min="7632" max="7633" width="10.7109375" style="231"/>
    <col min="7634" max="7634" width="10.7109375" style="231" customWidth="1"/>
    <col min="7635" max="7637" width="10.7109375" style="231"/>
    <col min="7638" max="7638" width="10.7109375" style="231" customWidth="1"/>
    <col min="7639" max="7642" width="10.7109375" style="231"/>
    <col min="7643" max="7643" width="10.7109375" style="231" customWidth="1"/>
    <col min="7644" max="7655" width="10.7109375" style="231"/>
    <col min="7656" max="7656" width="10.7109375" style="231" customWidth="1"/>
    <col min="7657" max="7658" width="10.7109375" style="231"/>
    <col min="7659" max="7659" width="10.7109375" style="231" customWidth="1"/>
    <col min="7660" max="7661" width="10.7109375" style="231"/>
    <col min="7662" max="7663" width="10.7109375" style="231" customWidth="1"/>
    <col min="7664" max="7665" width="10.7109375" style="231"/>
    <col min="7666" max="7667" width="10.7109375" style="231" customWidth="1"/>
    <col min="7668" max="7668" width="10.7109375" style="231"/>
    <col min="7669" max="7670" width="10.7109375" style="231" customWidth="1"/>
    <col min="7671" max="7671" width="10.7109375" style="231"/>
    <col min="7672" max="7672" width="10.7109375" style="231" customWidth="1"/>
    <col min="7673" max="7703" width="10.7109375" style="231"/>
    <col min="7704" max="7705" width="10.7109375" style="231" customWidth="1"/>
    <col min="7706" max="7710" width="10.7109375" style="231"/>
    <col min="7711" max="7712" width="10.7109375" style="231" customWidth="1"/>
    <col min="7713" max="7714" width="10.7109375" style="231"/>
    <col min="7715" max="7717" width="10.7109375" style="231" customWidth="1"/>
    <col min="7718" max="7719" width="10.7109375" style="231"/>
    <col min="7720" max="7720" width="10.7109375" style="231" customWidth="1"/>
    <col min="7721" max="7724" width="10.7109375" style="231"/>
    <col min="7725" max="7725" width="10.7109375" style="231" customWidth="1"/>
    <col min="7726" max="7727" width="10.7109375" style="231"/>
    <col min="7728" max="7728" width="10.7109375" style="231" customWidth="1"/>
    <col min="7729" max="7732" width="10.7109375" style="231"/>
    <col min="7733" max="7733" width="10.7109375" style="231" customWidth="1"/>
    <col min="7734" max="7735" width="10.7109375" style="231"/>
    <col min="7736" max="7737" width="10.7109375" style="231" customWidth="1"/>
    <col min="7738" max="7742" width="10.7109375" style="231"/>
    <col min="7743" max="7743" width="10.7109375" style="231" customWidth="1"/>
    <col min="7744" max="7760" width="10.7109375" style="231"/>
    <col min="7761" max="7764" width="10.7109375" style="231" customWidth="1"/>
    <col min="7765" max="7767" width="10.7109375" style="231"/>
    <col min="7768" max="7768" width="10.7109375" style="231" customWidth="1"/>
    <col min="7769" max="7769" width="10.7109375" style="231"/>
    <col min="7770" max="7770" width="10.7109375" style="231" customWidth="1"/>
    <col min="7771" max="7783" width="10.7109375" style="231"/>
    <col min="7784" max="7785" width="10.7109375" style="231" customWidth="1"/>
    <col min="7786" max="7790" width="10.7109375" style="231"/>
    <col min="7791" max="7796" width="10.7109375" style="231" customWidth="1"/>
    <col min="7797" max="7799" width="10.7109375" style="231"/>
    <col min="7800" max="7801" width="10.7109375" style="231" customWidth="1"/>
    <col min="7802" max="7802" width="10.7109375" style="231"/>
    <col min="7803" max="7804" width="10.7109375" style="231" customWidth="1"/>
    <col min="7805" max="7809" width="10.7109375" style="231"/>
    <col min="7810" max="7810" width="10.7109375" style="231" customWidth="1"/>
    <col min="7811" max="7815" width="10.7109375" style="231"/>
    <col min="7816" max="7817" width="10.7109375" style="231" customWidth="1"/>
    <col min="7818" max="7820" width="10.7109375" style="231"/>
    <col min="7821" max="7821" width="10.7109375" style="231" customWidth="1"/>
    <col min="7822" max="7823" width="10.7109375" style="231"/>
    <col min="7824" max="7824" width="10.7109375" style="231" customWidth="1"/>
    <col min="7825" max="7827" width="10.7109375" style="231"/>
    <col min="7828" max="7828" width="10.7109375" style="231" customWidth="1"/>
    <col min="7829" max="7831" width="10.7109375" style="231"/>
    <col min="7832" max="7832" width="10.7109375" style="231" customWidth="1"/>
    <col min="7833" max="7836" width="10.7109375" style="231"/>
    <col min="7837" max="7837" width="10.7109375" style="231" customWidth="1"/>
    <col min="7838" max="7838" width="10.7109375" style="231"/>
    <col min="7839" max="7840" width="10.7109375" style="231" customWidth="1"/>
    <col min="7841" max="7841" width="10.7109375" style="231"/>
    <col min="7842" max="7842" width="10.7109375" style="231" customWidth="1"/>
    <col min="7843" max="7845" width="10.7109375" style="231"/>
    <col min="7846" max="7846" width="10.7109375" style="231" customWidth="1"/>
    <col min="7847" max="7847" width="10.7109375" style="231"/>
    <col min="7848" max="7848" width="10.7109375" style="231" customWidth="1"/>
    <col min="7849" max="7849" width="10.7109375" style="231"/>
    <col min="7850" max="7850" width="10.7109375" style="231" customWidth="1"/>
    <col min="7851" max="7851" width="10.7109375" style="231"/>
    <col min="7852" max="7853" width="10.7109375" style="231" customWidth="1"/>
    <col min="7854" max="7855" width="10.7109375" style="231"/>
    <col min="7856" max="7856" width="10.7109375" style="231" customWidth="1"/>
    <col min="7857" max="7863" width="10.7109375" style="231"/>
    <col min="7864" max="7864" width="10.7109375" style="231" customWidth="1"/>
    <col min="7865" max="7868" width="10.7109375" style="231"/>
    <col min="7869" max="7869" width="10.7109375" style="231" customWidth="1"/>
    <col min="7870" max="7892" width="10.7109375" style="231"/>
    <col min="7893" max="7893" width="10.7109375" style="231" customWidth="1"/>
    <col min="7894" max="7899" width="10.7109375" style="231"/>
    <col min="7900" max="7900" width="10.7109375" style="231" customWidth="1"/>
    <col min="7901" max="7911" width="10.7109375" style="231"/>
    <col min="7912" max="7913" width="10.7109375" style="231" customWidth="1"/>
    <col min="7914" max="7918" width="10.7109375" style="231"/>
    <col min="7919" max="7919" width="10.7109375" style="231" customWidth="1"/>
    <col min="7920" max="7920" width="10.7109375" style="231"/>
    <col min="7921" max="7924" width="10.7109375" style="231" customWidth="1"/>
    <col min="7925" max="7925" width="10.7109375" style="231"/>
    <col min="7926" max="7926" width="10.7109375" style="231" customWidth="1"/>
    <col min="7927" max="7927" width="10.7109375" style="231"/>
    <col min="7928" max="7928" width="10.7109375" style="231" customWidth="1"/>
    <col min="7929" max="7932" width="10.7109375" style="231"/>
    <col min="7933" max="7934" width="10.7109375" style="231" customWidth="1"/>
    <col min="7935" max="7935" width="10.7109375" style="231"/>
    <col min="7936" max="7936" width="10.7109375" style="231" customWidth="1"/>
    <col min="7937" max="7937" width="10.7109375" style="231"/>
    <col min="7938" max="7938" width="10.7109375" style="231" customWidth="1"/>
    <col min="7939" max="7941" width="10.7109375" style="231"/>
    <col min="7942" max="7942" width="10.7109375" style="231" customWidth="1"/>
    <col min="7943" max="7943" width="10.7109375" style="231"/>
    <col min="7944" max="7944" width="10.7109375" style="231" customWidth="1"/>
    <col min="7945" max="7945" width="10.7109375" style="231"/>
    <col min="7946" max="7946" width="10.7109375" style="231" customWidth="1"/>
    <col min="7947" max="7947" width="10.7109375" style="231"/>
    <col min="7948" max="7949" width="10.7109375" style="231" customWidth="1"/>
    <col min="7950" max="7951" width="10.7109375" style="231"/>
    <col min="7952" max="7952" width="10.7109375" style="231" customWidth="1"/>
    <col min="7953" max="7955" width="10.7109375" style="231"/>
    <col min="7956" max="7956" width="10.7109375" style="231" customWidth="1"/>
    <col min="7957" max="7959" width="10.7109375" style="231"/>
    <col min="7960" max="7960" width="10.7109375" style="231" customWidth="1"/>
    <col min="7961" max="7964" width="10.7109375" style="231"/>
    <col min="7965" max="7965" width="10.7109375" style="231" customWidth="1"/>
    <col min="7966" max="7967" width="10.7109375" style="231"/>
    <col min="7968" max="7968" width="10.7109375" style="231" customWidth="1"/>
    <col min="7969" max="7981" width="10.7109375" style="231"/>
    <col min="7982" max="7982" width="10.7109375" style="231" customWidth="1"/>
    <col min="7983" max="7983" width="10.7109375" style="231"/>
    <col min="7984" max="7984" width="10.7109375" style="231" customWidth="1"/>
    <col min="7985" max="8014" width="10.7109375" style="231"/>
    <col min="8015" max="8015" width="10.7109375" style="231" customWidth="1"/>
    <col min="8016" max="8041" width="10.7109375" style="231"/>
    <col min="8042" max="8042" width="10.7109375" style="231" customWidth="1"/>
    <col min="8043" max="8048" width="10.7109375" style="231"/>
    <col min="8049" max="8049" width="10.7109375" style="231" customWidth="1"/>
    <col min="8050" max="8054" width="10.7109375" style="231"/>
    <col min="8055" max="8056" width="10.7109375" style="231" customWidth="1"/>
    <col min="8057" max="8060" width="10.7109375" style="231"/>
    <col min="8061" max="8064" width="10.7109375" style="231" customWidth="1"/>
    <col min="8065" max="8065" width="10.7109375" style="231"/>
    <col min="8066" max="8066" width="10.7109375" style="231" customWidth="1"/>
    <col min="8067" max="8069" width="10.7109375" style="231"/>
    <col min="8070" max="8072" width="10.7109375" style="231" customWidth="1"/>
    <col min="8073" max="8073" width="10.7109375" style="231"/>
    <col min="8074" max="8074" width="10.7109375" style="231" customWidth="1"/>
    <col min="8075" max="8076" width="10.7109375" style="231"/>
    <col min="8077" max="8080" width="10.7109375" style="231" customWidth="1"/>
    <col min="8081" max="8084" width="10.7109375" style="231"/>
    <col min="8085" max="8088" width="10.7109375" style="231" customWidth="1"/>
    <col min="8089" max="8089" width="10.7109375" style="231"/>
    <col min="8090" max="8090" width="10.7109375" style="231" customWidth="1"/>
    <col min="8091" max="8092" width="10.7109375" style="231"/>
    <col min="8093" max="8096" width="10.7109375" style="231" customWidth="1"/>
    <col min="8097" max="8097" width="10.7109375" style="231"/>
    <col min="8098" max="8098" width="10.7109375" style="231" customWidth="1"/>
    <col min="8099" max="8101" width="10.7109375" style="231"/>
    <col min="8102" max="8106" width="10.7109375" style="231" customWidth="1"/>
    <col min="8107" max="8110" width="10.7109375" style="231"/>
    <col min="8111" max="8112" width="10.7109375" style="231" customWidth="1"/>
    <col min="8113" max="8119" width="10.7109375" style="231"/>
    <col min="8120" max="8120" width="10.7109375" style="231" customWidth="1"/>
    <col min="8121" max="8148" width="10.7109375" style="231"/>
    <col min="8149" max="8149" width="10.7109375" style="231" customWidth="1"/>
    <col min="8150" max="8155" width="10.7109375" style="231"/>
    <col min="8156" max="8156" width="10.7109375" style="231" customWidth="1"/>
    <col min="8157" max="8166" width="10.7109375" style="231"/>
    <col min="8167" max="8169" width="10.7109375" style="231" customWidth="1"/>
    <col min="8170" max="8177" width="10.7109375" style="231"/>
    <col min="8178" max="8181" width="10.7109375" style="231" customWidth="1"/>
    <col min="8182" max="8183" width="10.7109375" style="231"/>
    <col min="8184" max="8184" width="10.7109375" style="231" customWidth="1"/>
    <col min="8185" max="8188" width="10.7109375" style="231"/>
    <col min="8189" max="8189" width="10.7109375" style="231" customWidth="1"/>
    <col min="8190" max="8190" width="10.7109375" style="231"/>
    <col min="8191" max="8192" width="10.7109375" style="231" customWidth="1"/>
    <col min="8193" max="8193" width="10.7109375" style="231"/>
    <col min="8194" max="8194" width="10.7109375" style="231" customWidth="1"/>
    <col min="8195" max="8199" width="10.7109375" style="231"/>
    <col min="8200" max="8200" width="10.7109375" style="231" customWidth="1"/>
    <col min="8201" max="8201" width="10.7109375" style="231"/>
    <col min="8202" max="8202" width="10.7109375" style="231" customWidth="1"/>
    <col min="8203" max="8203" width="10.7109375" style="231"/>
    <col min="8204" max="8205" width="10.7109375" style="231" customWidth="1"/>
    <col min="8206" max="8207" width="10.7109375" style="231"/>
    <col min="8208" max="8210" width="10.7109375" style="231" customWidth="1"/>
    <col min="8211" max="8211" width="10.7109375" style="231"/>
    <col min="8212" max="8212" width="10.7109375" style="231" customWidth="1"/>
    <col min="8213" max="8240" width="10.7109375" style="231"/>
    <col min="8241" max="8242" width="10.7109375" style="231" customWidth="1"/>
    <col min="8243" max="8254" width="10.7109375" style="231"/>
    <col min="8255" max="8255" width="10.7109375" style="231" customWidth="1"/>
    <col min="8256" max="8274" width="10.7109375" style="231"/>
    <col min="8275" max="8275" width="10.7109375" style="231" customWidth="1"/>
    <col min="8276" max="8284" width="10.7109375" style="231"/>
    <col min="8285" max="8285" width="10.7109375" style="231" customWidth="1"/>
    <col min="8286" max="8304" width="10.7109375" style="231"/>
    <col min="8305" max="8305" width="10.7109375" style="231" customWidth="1"/>
    <col min="8306" max="8316" width="10.7109375" style="231"/>
    <col min="8317" max="8317" width="10.7109375" style="231" customWidth="1"/>
    <col min="8318" max="8318" width="10.7109375" style="231"/>
    <col min="8319" max="8319" width="10.7109375" style="231" customWidth="1"/>
    <col min="8320" max="8334" width="10.7109375" style="231"/>
    <col min="8335" max="8335" width="10.7109375" style="231" customWidth="1"/>
    <col min="8336" max="8338" width="10.7109375" style="231"/>
    <col min="8339" max="8339" width="10.7109375" style="231" customWidth="1"/>
    <col min="8340" max="8340" width="10.7109375" style="231"/>
    <col min="8341" max="8341" width="10.7109375" style="231" customWidth="1"/>
    <col min="8342" max="8342" width="10.7109375" style="231"/>
    <col min="8343" max="8344" width="10.7109375" style="231" customWidth="1"/>
    <col min="8345" max="8345" width="10.7109375" style="231"/>
    <col min="8346" max="8346" width="10.7109375" style="231" customWidth="1"/>
    <col min="8347" max="8348" width="10.7109375" style="231"/>
    <col min="8349" max="8349" width="10.7109375" style="231" customWidth="1"/>
    <col min="8350" max="8351" width="10.7109375" style="231"/>
    <col min="8352" max="8352" width="10.7109375" style="231" customWidth="1"/>
    <col min="8353" max="8356" width="10.7109375" style="231"/>
    <col min="8357" max="8357" width="10.7109375" style="231" customWidth="1"/>
    <col min="8358" max="8359" width="10.7109375" style="231"/>
    <col min="8360" max="8360" width="10.7109375" style="231" customWidth="1"/>
    <col min="8361" max="8366" width="10.7109375" style="231"/>
    <col min="8367" max="8367" width="10.7109375" style="231" customWidth="1"/>
    <col min="8368" max="8370" width="10.7109375" style="231"/>
    <col min="8371" max="8371" width="10.7109375" style="231" customWidth="1"/>
    <col min="8372" max="8372" width="10.7109375" style="231"/>
    <col min="8373" max="8373" width="10.7109375" style="231" customWidth="1"/>
    <col min="8374" max="8379" width="10.7109375" style="231"/>
    <col min="8380" max="8380" width="10.7109375" style="231" customWidth="1"/>
    <col min="8381" max="8398" width="10.7109375" style="231"/>
    <col min="8399" max="8399" width="10.7109375" style="231" customWidth="1"/>
    <col min="8400" max="8403" width="10.7109375" style="231"/>
    <col min="8404" max="8405" width="10.7109375" style="231" customWidth="1"/>
    <col min="8406" max="8412" width="10.7109375" style="231"/>
    <col min="8413" max="8413" width="10.7109375" style="231" customWidth="1"/>
    <col min="8414" max="8415" width="10.7109375" style="231"/>
    <col min="8416" max="8416" width="10.7109375" style="231" customWidth="1"/>
    <col min="8417" max="8420" width="10.7109375" style="231"/>
    <col min="8421" max="8421" width="10.7109375" style="231" customWidth="1"/>
    <col min="8422" max="8423" width="10.7109375" style="231"/>
    <col min="8424" max="8424" width="10.7109375" style="231" customWidth="1"/>
    <col min="8425" max="8430" width="10.7109375" style="231"/>
    <col min="8431" max="8431" width="10.7109375" style="231" customWidth="1"/>
    <col min="8432" max="8433" width="10.7109375" style="231"/>
    <col min="8434" max="8435" width="10.7109375" style="231" customWidth="1"/>
    <col min="8436" max="8439" width="10.7109375" style="231"/>
    <col min="8440" max="8444" width="10.7109375" style="231" customWidth="1"/>
    <col min="8445" max="8450" width="10.7109375" style="231"/>
    <col min="8451" max="8451" width="10.7109375" style="231" customWidth="1"/>
    <col min="8452" max="8455" width="10.7109375" style="231"/>
    <col min="8456" max="8457" width="10.7109375" style="231" customWidth="1"/>
    <col min="8458" max="8460" width="10.7109375" style="231"/>
    <col min="8461" max="8461" width="10.7109375" style="231" customWidth="1"/>
    <col min="8462" max="8463" width="10.7109375" style="231"/>
    <col min="8464" max="8464" width="10.7109375" style="231" customWidth="1"/>
    <col min="8465" max="8465" width="10.7109375" style="231"/>
    <col min="8466" max="8466" width="10.7109375" style="231" customWidth="1"/>
    <col min="8467" max="8471" width="10.7109375" style="231"/>
    <col min="8472" max="8473" width="10.7109375" style="231" customWidth="1"/>
    <col min="8474" max="8478" width="10.7109375" style="231"/>
    <col min="8479" max="8481" width="10.7109375" style="231" customWidth="1"/>
    <col min="8482" max="8483" width="10.7109375" style="231"/>
    <col min="8484" max="8484" width="10.7109375" style="231" customWidth="1"/>
    <col min="8485" max="8487" width="10.7109375" style="231"/>
    <col min="8488" max="8489" width="10.7109375" style="231" customWidth="1"/>
    <col min="8490" max="8491" width="10.7109375" style="231"/>
    <col min="8492" max="8492" width="10.7109375" style="231" customWidth="1"/>
    <col min="8493" max="8495" width="10.7109375" style="231"/>
    <col min="8496" max="8496" width="10.7109375" style="231" customWidth="1"/>
    <col min="8497" max="8497" width="10.7109375" style="231"/>
    <col min="8498" max="8499" width="10.7109375" style="231" customWidth="1"/>
    <col min="8500" max="8526" width="10.7109375" style="231"/>
    <col min="8527" max="8527" width="10.7109375" style="231" customWidth="1"/>
    <col min="8528" max="8528" width="10.7109375" style="231"/>
    <col min="8529" max="8529" width="10.7109375" style="231" customWidth="1"/>
    <col min="8530" max="8531" width="10.7109375" style="231"/>
    <col min="8532" max="8532" width="10.7109375" style="231" customWidth="1"/>
    <col min="8533" max="8535" width="10.7109375" style="231"/>
    <col min="8536" max="8536" width="10.7109375" style="231" customWidth="1"/>
    <col min="8537" max="8540" width="10.7109375" style="231"/>
    <col min="8541" max="8541" width="10.7109375" style="231" customWidth="1"/>
    <col min="8542" max="8543" width="10.7109375" style="231"/>
    <col min="8544" max="8544" width="10.7109375" style="231" customWidth="1"/>
    <col min="8545" max="8546" width="10.7109375" style="231"/>
    <col min="8547" max="8547" width="10.7109375" style="231" customWidth="1"/>
    <col min="8548" max="8551" width="10.7109375" style="231"/>
    <col min="8552" max="8552" width="10.7109375" style="231" customWidth="1"/>
    <col min="8553" max="8561" width="10.7109375" style="231"/>
    <col min="8562" max="8562" width="10.7109375" style="231" customWidth="1"/>
    <col min="8563" max="8563" width="10.7109375" style="231"/>
    <col min="8564" max="8565" width="10.7109375" style="231" customWidth="1"/>
    <col min="8566" max="8567" width="10.7109375" style="231"/>
    <col min="8568" max="8568" width="10.7109375" style="231" customWidth="1"/>
    <col min="8569" max="8569" width="10.7109375" style="231"/>
    <col min="8570" max="8570" width="10.7109375" style="231" customWidth="1"/>
    <col min="8571" max="8571" width="10.7109375" style="231"/>
    <col min="8572" max="8572" width="10.7109375" style="231" customWidth="1"/>
    <col min="8573" max="8575" width="10.7109375" style="231"/>
    <col min="8576" max="8576" width="10.7109375" style="231" customWidth="1"/>
    <col min="8577" max="8582" width="10.7109375" style="231"/>
    <col min="8583" max="8584" width="10.7109375" style="231" customWidth="1"/>
    <col min="8585" max="8587" width="10.7109375" style="231"/>
    <col min="8588" max="8588" width="10.7109375" style="231" customWidth="1"/>
    <col min="8589" max="8591" width="10.7109375" style="231"/>
    <col min="8592" max="8592" width="10.7109375" style="231" customWidth="1"/>
    <col min="8593" max="8593" width="10.7109375" style="231"/>
    <col min="8594" max="8594" width="10.7109375" style="231" customWidth="1"/>
    <col min="8595" max="8595" width="10.7109375" style="231"/>
    <col min="8596" max="8596" width="10.7109375" style="231" customWidth="1"/>
    <col min="8597" max="8601" width="10.7109375" style="231"/>
    <col min="8602" max="8605" width="10.7109375" style="231" customWidth="1"/>
    <col min="8606" max="8607" width="10.7109375" style="231"/>
    <col min="8608" max="8610" width="10.7109375" style="231" customWidth="1"/>
    <col min="8611" max="8611" width="10.7109375" style="231"/>
    <col min="8612" max="8612" width="10.7109375" style="231" customWidth="1"/>
    <col min="8613" max="8615" width="10.7109375" style="231"/>
    <col min="8616" max="8616" width="10.7109375" style="231" customWidth="1"/>
    <col min="8617" max="8617" width="10.7109375" style="231"/>
    <col min="8618" max="8618" width="10.7109375" style="231" customWidth="1"/>
    <col min="8619" max="8619" width="10.7109375" style="231"/>
    <col min="8620" max="8621" width="10.7109375" style="231" customWidth="1"/>
    <col min="8622" max="8623" width="10.7109375" style="231"/>
    <col min="8624" max="8625" width="10.7109375" style="231" customWidth="1"/>
    <col min="8626" max="8628" width="10.7109375" style="231"/>
    <col min="8629" max="8629" width="10.7109375" style="231" customWidth="1"/>
    <col min="8630" max="8631" width="10.7109375" style="231"/>
    <col min="8632" max="8632" width="10.7109375" style="231" customWidth="1"/>
    <col min="8633" max="8633" width="10.7109375" style="231"/>
    <col min="8634" max="8634" width="10.7109375" style="231" customWidth="1"/>
    <col min="8635" max="8636" width="10.7109375" style="231"/>
    <col min="8637" max="8637" width="10.7109375" style="231" customWidth="1"/>
    <col min="8638" max="8639" width="10.7109375" style="231"/>
    <col min="8640" max="8640" width="10.7109375" style="231" customWidth="1"/>
    <col min="8641" max="8647" width="10.7109375" style="231"/>
    <col min="8648" max="8648" width="10.7109375" style="231" customWidth="1"/>
    <col min="8649" max="8651" width="10.7109375" style="231"/>
    <col min="8652" max="8653" width="10.7109375" style="231" customWidth="1"/>
    <col min="8654" max="8655" width="10.7109375" style="231"/>
    <col min="8656" max="8658" width="10.7109375" style="231" customWidth="1"/>
    <col min="8659" max="8662" width="10.7109375" style="231"/>
    <col min="8663" max="8664" width="10.7109375" style="231" customWidth="1"/>
    <col min="8665" max="8679" width="10.7109375" style="231"/>
    <col min="8680" max="8680" width="10.7109375" style="231" customWidth="1"/>
    <col min="8681" max="8683" width="10.7109375" style="231"/>
    <col min="8684" max="8685" width="10.7109375" style="231" customWidth="1"/>
    <col min="8686" max="8687" width="10.7109375" style="231"/>
    <col min="8688" max="8688" width="10.7109375" style="231" customWidth="1"/>
    <col min="8689" max="8695" width="10.7109375" style="231"/>
    <col min="8696" max="8696" width="10.7109375" style="231" customWidth="1"/>
    <col min="8697" max="8702" width="10.7109375" style="231"/>
    <col min="8703" max="8703" width="10.7109375" style="231" customWidth="1"/>
    <col min="8704" max="8718" width="10.7109375" style="231"/>
    <col min="8719" max="8719" width="10.7109375" style="231" customWidth="1"/>
    <col min="8720" max="8722" width="10.7109375" style="231"/>
    <col min="8723" max="8723" width="10.7109375" style="231" customWidth="1"/>
    <col min="8724" max="8724" width="10.7109375" style="231"/>
    <col min="8725" max="8728" width="10.7109375" style="231" customWidth="1"/>
    <col min="8729" max="8729" width="10.7109375" style="231"/>
    <col min="8730" max="8731" width="10.7109375" style="231" customWidth="1"/>
    <col min="8732" max="8732" width="10.7109375" style="231"/>
    <col min="8733" max="8736" width="10.7109375" style="231" customWidth="1"/>
    <col min="8737" max="8737" width="10.7109375" style="231"/>
    <col min="8738" max="8739" width="10.7109375" style="231" customWidth="1"/>
    <col min="8740" max="8740" width="10.7109375" style="231"/>
    <col min="8741" max="8744" width="10.7109375" style="231" customWidth="1"/>
    <col min="8745" max="8745" width="10.7109375" style="231"/>
    <col min="8746" max="8747" width="10.7109375" style="231" customWidth="1"/>
    <col min="8748" max="8748" width="10.7109375" style="231"/>
    <col min="8749" max="8754" width="10.7109375" style="231" customWidth="1"/>
    <col min="8755" max="8785" width="10.7109375" style="231"/>
    <col min="8786" max="8786" width="10.7109375" style="231" customWidth="1"/>
    <col min="8787" max="8787" width="10.7109375" style="231"/>
    <col min="8788" max="8789" width="10.7109375" style="231" customWidth="1"/>
    <col min="8790" max="8791" width="10.7109375" style="231"/>
    <col min="8792" max="8792" width="10.7109375" style="231" customWidth="1"/>
    <col min="8793" max="8796" width="10.7109375" style="231"/>
    <col min="8797" max="8797" width="10.7109375" style="231" customWidth="1"/>
    <col min="8798" max="8799" width="10.7109375" style="231"/>
    <col min="8800" max="8800" width="10.7109375" style="231" customWidth="1"/>
    <col min="8801" max="8808" width="10.7109375" style="231"/>
    <col min="8809" max="8809" width="10.7109375" style="231" customWidth="1"/>
    <col min="8810" max="8811" width="10.7109375" style="231"/>
    <col min="8812" max="8812" width="10.7109375" style="231" customWidth="1"/>
    <col min="8813" max="8816" width="10.7109375" style="231"/>
    <col min="8817" max="8817" width="10.7109375" style="231" customWidth="1"/>
    <col min="8818" max="8822" width="10.7109375" style="231"/>
    <col min="8823" max="8823" width="10.7109375" style="231" customWidth="1"/>
    <col min="8824" max="8824" width="10.7109375" style="231"/>
    <col min="8825" max="8828" width="10.7109375" style="231" customWidth="1"/>
    <col min="8829" max="8830" width="10.7109375" style="231"/>
    <col min="8831" max="8834" width="10.7109375" style="231" customWidth="1"/>
    <col min="8835" max="8838" width="10.7109375" style="231"/>
    <col min="8839" max="8840" width="10.7109375" style="231" customWidth="1"/>
    <col min="8841" max="8844" width="10.7109375" style="231"/>
    <col min="8845" max="8845" width="10.7109375" style="231" customWidth="1"/>
    <col min="8846" max="8846" width="10.7109375" style="231"/>
    <col min="8847" max="8848" width="10.7109375" style="231" customWidth="1"/>
    <col min="8849" max="8849" width="10.7109375" style="231"/>
    <col min="8850" max="8851" width="10.7109375" style="231" customWidth="1"/>
    <col min="8852" max="8852" width="10.7109375" style="231"/>
    <col min="8853" max="8853" width="10.7109375" style="231" customWidth="1"/>
    <col min="8854" max="8856" width="10.7109375" style="231"/>
    <col min="8857" max="8857" width="10.7109375" style="231" customWidth="1"/>
    <col min="8858" max="8864" width="10.7109375" style="231"/>
    <col min="8865" max="8866" width="10.7109375" style="231" customWidth="1"/>
    <col min="8867" max="8871" width="10.7109375" style="231"/>
    <col min="8872" max="8872" width="10.7109375" style="231" customWidth="1"/>
    <col min="8873" max="8873" width="10.7109375" style="231"/>
    <col min="8874" max="8874" width="10.7109375" style="231" customWidth="1"/>
    <col min="8875" max="8875" width="10.7109375" style="231"/>
    <col min="8876" max="8877" width="10.7109375" style="231" customWidth="1"/>
    <col min="8878" max="8879" width="10.7109375" style="231"/>
    <col min="8880" max="8880" width="10.7109375" style="231" customWidth="1"/>
    <col min="8881" max="8883" width="10.7109375" style="231"/>
    <col min="8884" max="8885" width="10.7109375" style="231" customWidth="1"/>
    <col min="8886" max="8887" width="10.7109375" style="231"/>
    <col min="8888" max="8888" width="10.7109375" style="231" customWidth="1"/>
    <col min="8889" max="8889" width="10.7109375" style="231"/>
    <col min="8890" max="8890" width="10.7109375" style="231" customWidth="1"/>
    <col min="8891" max="8891" width="10.7109375" style="231"/>
    <col min="8892" max="8893" width="10.7109375" style="231" customWidth="1"/>
    <col min="8894" max="8895" width="10.7109375" style="231"/>
    <col min="8896" max="8896" width="10.7109375" style="231" customWidth="1"/>
    <col min="8897" max="8903" width="10.7109375" style="231"/>
    <col min="8904" max="8905" width="10.7109375" style="231" customWidth="1"/>
    <col min="8906" max="8910" width="10.7109375" style="231"/>
    <col min="8911" max="8913" width="10.7109375" style="231" customWidth="1"/>
    <col min="8914" max="8914" width="10.7109375" style="231"/>
    <col min="8915" max="8915" width="10.7109375" style="231" customWidth="1"/>
    <col min="8916" max="8916" width="10.7109375" style="231"/>
    <col min="8917" max="8920" width="10.7109375" style="231" customWidth="1"/>
    <col min="8921" max="8921" width="10.7109375" style="231"/>
    <col min="8922" max="8923" width="10.7109375" style="231" customWidth="1"/>
    <col min="8924" max="8925" width="10.7109375" style="231"/>
    <col min="8926" max="8926" width="10.7109375" style="231" customWidth="1"/>
    <col min="8927" max="8929" width="10.7109375" style="231"/>
    <col min="8930" max="8930" width="10.7109375" style="231" customWidth="1"/>
    <col min="8931" max="8933" width="10.7109375" style="231"/>
    <col min="8934" max="8936" width="10.7109375" style="231" customWidth="1"/>
    <col min="8937" max="8937" width="10.7109375" style="231"/>
    <col min="8938" max="8938" width="10.7109375" style="231" customWidth="1"/>
    <col min="8939" max="8940" width="10.7109375" style="231"/>
    <col min="8941" max="8944" width="10.7109375" style="231" customWidth="1"/>
    <col min="8945" max="8948" width="10.7109375" style="231"/>
    <col min="8949" max="8950" width="10.7109375" style="231" customWidth="1"/>
    <col min="8951" max="8951" width="10.7109375" style="231"/>
    <col min="8952" max="8952" width="10.7109375" style="231" customWidth="1"/>
    <col min="8953" max="8959" width="10.7109375" style="231"/>
    <col min="8960" max="8960" width="10.7109375" style="231" customWidth="1"/>
    <col min="8961" max="8964" width="10.7109375" style="231"/>
    <col min="8965" max="8965" width="10.7109375" style="231" customWidth="1"/>
    <col min="8966" max="8966" width="10.7109375" style="231"/>
    <col min="8967" max="8969" width="10.7109375" style="231" customWidth="1"/>
    <col min="8970" max="8977" width="10.7109375" style="231"/>
    <col min="8978" max="8979" width="10.7109375" style="231" customWidth="1"/>
    <col min="8980" max="8980" width="10.7109375" style="231"/>
    <col min="8981" max="8981" width="10.7109375" style="231" customWidth="1"/>
    <col min="8982" max="8986" width="10.7109375" style="231"/>
    <col min="8987" max="8989" width="10.7109375" style="231" customWidth="1"/>
    <col min="8990" max="8991" width="10.7109375" style="231"/>
    <col min="8992" max="8994" width="10.7109375" style="231" customWidth="1"/>
    <col min="8995" max="8995" width="10.7109375" style="231"/>
    <col min="8996" max="8996" width="10.7109375" style="231" customWidth="1"/>
    <col min="8997" max="8999" width="10.7109375" style="231"/>
    <col min="9000" max="9001" width="10.7109375" style="231" customWidth="1"/>
    <col min="9002" max="9006" width="10.7109375" style="231"/>
    <col min="9007" max="9009" width="10.7109375" style="231" customWidth="1"/>
    <col min="9010" max="9010" width="10.7109375" style="231"/>
    <col min="9011" max="9011" width="10.7109375" style="231" customWidth="1"/>
    <col min="9012" max="9015" width="10.7109375" style="231"/>
    <col min="9016" max="9016" width="10.7109375" style="231" customWidth="1"/>
    <col min="9017" max="9018" width="10.7109375" style="231"/>
    <col min="9019" max="9019" width="10.7109375" style="231" customWidth="1"/>
    <col min="9020" max="9020" width="10.7109375" style="231"/>
    <col min="9021" max="9021" width="10.7109375" style="231" customWidth="1"/>
    <col min="9022" max="9022" width="10.7109375" style="231"/>
    <col min="9023" max="9023" width="10.7109375" style="231" customWidth="1"/>
    <col min="9024" max="9038" width="10.7109375" style="231"/>
    <col min="9039" max="9039" width="10.7109375" style="231" customWidth="1"/>
    <col min="9040" max="9041" width="10.7109375" style="231"/>
    <col min="9042" max="9042" width="10.7109375" style="231" customWidth="1"/>
    <col min="9043" max="9063" width="10.7109375" style="231"/>
    <col min="9064" max="9065" width="10.7109375" style="231" customWidth="1"/>
    <col min="9066" max="9072" width="10.7109375" style="231"/>
    <col min="9073" max="9073" width="10.7109375" style="231" customWidth="1"/>
    <col min="9074" max="9074" width="10.7109375" style="231"/>
    <col min="9075" max="9076" width="10.7109375" style="231" customWidth="1"/>
    <col min="9077" max="9081" width="10.7109375" style="231"/>
    <col min="9082" max="9085" width="10.7109375" style="231" customWidth="1"/>
    <col min="9086" max="9087" width="10.7109375" style="231"/>
    <col min="9088" max="9088" width="10.7109375" style="231" customWidth="1"/>
    <col min="9089" max="9089" width="10.7109375" style="231"/>
    <col min="9090" max="9091" width="10.7109375" style="231" customWidth="1"/>
    <col min="9092" max="9095" width="10.7109375" style="231"/>
    <col min="9096" max="9097" width="10.7109375" style="231" customWidth="1"/>
    <col min="9098" max="9102" width="10.7109375" style="231"/>
    <col min="9103" max="9104" width="10.7109375" style="231" customWidth="1"/>
    <col min="9105" max="9140" width="10.7109375" style="231"/>
    <col min="9141" max="9141" width="10.7109375" style="231" customWidth="1"/>
    <col min="9142" max="9183" width="10.7109375" style="231"/>
    <col min="9184" max="9184" width="10.7109375" style="231" customWidth="1"/>
    <col min="9185" max="9197" width="10.7109375" style="231"/>
    <col min="9198" max="9199" width="10.7109375" style="231" customWidth="1"/>
    <col min="9200" max="9201" width="10.7109375" style="231"/>
    <col min="9202" max="9203" width="10.7109375" style="231" customWidth="1"/>
    <col min="9204" max="9204" width="10.7109375" style="231"/>
    <col min="9205" max="9210" width="10.7109375" style="231" customWidth="1"/>
    <col min="9211" max="9223" width="10.7109375" style="231"/>
    <col min="9224" max="9224" width="10.7109375" style="231" customWidth="1"/>
    <col min="9225" max="9225" width="10.7109375" style="231"/>
    <col min="9226" max="9226" width="10.7109375" style="231" customWidth="1"/>
    <col min="9227" max="9227" width="10.7109375" style="231"/>
    <col min="9228" max="9229" width="10.7109375" style="231" customWidth="1"/>
    <col min="9230" max="9231" width="10.7109375" style="231"/>
    <col min="9232" max="9232" width="10.7109375" style="231" customWidth="1"/>
    <col min="9233" max="9233" width="10.7109375" style="231"/>
    <col min="9234" max="9235" width="10.7109375" style="231" customWidth="1"/>
    <col min="9236" max="9240" width="10.7109375" style="231"/>
    <col min="9241" max="9241" width="10.7109375" style="231" customWidth="1"/>
    <col min="9242" max="9246" width="10.7109375" style="231"/>
    <col min="9247" max="9248" width="10.7109375" style="231" customWidth="1"/>
    <col min="9249" max="9250" width="10.7109375" style="231"/>
    <col min="9251" max="9253" width="10.7109375" style="231" customWidth="1"/>
    <col min="9254" max="9255" width="10.7109375" style="231"/>
    <col min="9256" max="9256" width="10.7109375" style="231" customWidth="1"/>
    <col min="9257" max="9260" width="10.7109375" style="231"/>
    <col min="9261" max="9261" width="10.7109375" style="231" customWidth="1"/>
    <col min="9262" max="9263" width="10.7109375" style="231"/>
    <col min="9264" max="9264" width="10.7109375" style="231" customWidth="1"/>
    <col min="9265" max="9278" width="10.7109375" style="231"/>
    <col min="9279" max="9279" width="10.7109375" style="231" customWidth="1"/>
    <col min="9280" max="9299" width="10.7109375" style="231"/>
    <col min="9300" max="9300" width="10.7109375" style="231" customWidth="1"/>
    <col min="9301" max="9308" width="10.7109375" style="231"/>
    <col min="9309" max="9309" width="10.7109375" style="231" customWidth="1"/>
    <col min="9310" max="9311" width="10.7109375" style="231"/>
    <col min="9312" max="9312" width="10.7109375" style="231" customWidth="1"/>
    <col min="9313" max="9320" width="10.7109375" style="231"/>
    <col min="9321" max="9321" width="10.7109375" style="231" customWidth="1"/>
    <col min="9322" max="9326" width="10.7109375" style="231"/>
    <col min="9327" max="9327" width="10.7109375" style="231" customWidth="1"/>
    <col min="9328" max="9328" width="10.7109375" style="231"/>
    <col min="9329" max="9332" width="10.7109375" style="231" customWidth="1"/>
    <col min="9333" max="9335" width="10.7109375" style="231"/>
    <col min="9336" max="9337" width="10.7109375" style="231" customWidth="1"/>
    <col min="9338" max="9338" width="10.7109375" style="231"/>
    <col min="9339" max="9340" width="10.7109375" style="231" customWidth="1"/>
    <col min="9341" max="9345" width="10.7109375" style="231"/>
    <col min="9346" max="9346" width="10.7109375" style="231" customWidth="1"/>
    <col min="9347" max="9351" width="10.7109375" style="231"/>
    <col min="9352" max="9353" width="10.7109375" style="231" customWidth="1"/>
    <col min="9354" max="9356" width="10.7109375" style="231"/>
    <col min="9357" max="9357" width="10.7109375" style="231" customWidth="1"/>
    <col min="9358" max="9359" width="10.7109375" style="231"/>
    <col min="9360" max="9360" width="10.7109375" style="231" customWidth="1"/>
    <col min="9361" max="9361" width="10.7109375" style="231"/>
    <col min="9362" max="9362" width="10.7109375" style="231" customWidth="1"/>
    <col min="9363" max="9392" width="10.7109375" style="231"/>
    <col min="9393" max="9395" width="10.7109375" style="231" customWidth="1"/>
    <col min="9396" max="9432" width="10.7109375" style="231"/>
    <col min="9433" max="9433" width="10.7109375" style="231" customWidth="1"/>
    <col min="9434" max="9436" width="10.7109375" style="231"/>
    <col min="9437" max="9437" width="10.7109375" style="231" customWidth="1"/>
    <col min="9438" max="9439" width="10.7109375" style="231"/>
    <col min="9440" max="9440" width="10.7109375" style="231" customWidth="1"/>
    <col min="9441" max="9448" width="10.7109375" style="231"/>
    <col min="9449" max="9449" width="10.7109375" style="231" customWidth="1"/>
    <col min="9450" max="9454" width="10.7109375" style="231"/>
    <col min="9455" max="9455" width="10.7109375" style="231" customWidth="1"/>
    <col min="9456" max="9456" width="10.7109375" style="231"/>
    <col min="9457" max="9457" width="10.7109375" style="231" customWidth="1"/>
    <col min="9458" max="9461" width="10.7109375" style="231"/>
    <col min="9462" max="9462" width="10.7109375" style="231" customWidth="1"/>
    <col min="9463" max="9468" width="10.7109375" style="231"/>
    <col min="9469" max="9470" width="10.7109375" style="231" customWidth="1"/>
    <col min="9471" max="9473" width="10.7109375" style="231"/>
    <col min="9474" max="9474" width="10.7109375" style="231" customWidth="1"/>
    <col min="9475" max="9475" width="10.7109375" style="231"/>
    <col min="9476" max="9476" width="10.7109375" style="231" customWidth="1"/>
    <col min="9477" max="9477" width="10.7109375" style="231"/>
    <col min="9478" max="9478" width="10.7109375" style="231" customWidth="1"/>
    <col min="9479" max="9490" width="10.7109375" style="231"/>
    <col min="9491" max="9493" width="10.7109375" style="231" customWidth="1"/>
    <col min="9494" max="9495" width="10.7109375" style="231"/>
    <col min="9496" max="9498" width="10.7109375" style="231" customWidth="1"/>
    <col min="9499" max="9499" width="10.7109375" style="231"/>
    <col min="9500" max="9501" width="10.7109375" style="231" customWidth="1"/>
    <col min="9502" max="9503" width="10.7109375" style="231"/>
    <col min="9504" max="9505" width="10.7109375" style="231" customWidth="1"/>
    <col min="9506" max="9506" width="10.7109375" style="231"/>
    <col min="9507" max="9507" width="10.7109375" style="231" customWidth="1"/>
    <col min="9508" max="9508" width="10.7109375" style="231"/>
    <col min="9509" max="9509" width="10.7109375" style="231" customWidth="1"/>
    <col min="9510" max="9511" width="10.7109375" style="231"/>
    <col min="9512" max="9512" width="10.7109375" style="231" customWidth="1"/>
    <col min="9513" max="9513" width="10.7109375" style="231"/>
    <col min="9514" max="9514" width="10.7109375" style="231" customWidth="1"/>
    <col min="9515" max="9515" width="10.7109375" style="231"/>
    <col min="9516" max="9516" width="10.7109375" style="231" customWidth="1"/>
    <col min="9517" max="9519" width="10.7109375" style="231"/>
    <col min="9520" max="9520" width="10.7109375" style="231" customWidth="1"/>
    <col min="9521" max="9522" width="10.7109375" style="231"/>
    <col min="9523" max="9523" width="10.7109375" style="231" customWidth="1"/>
    <col min="9524" max="9527" width="10.7109375" style="231"/>
    <col min="9528" max="9528" width="10.7109375" style="231" customWidth="1"/>
    <col min="9529" max="9552" width="10.7109375" style="231"/>
    <col min="9553" max="9555" width="10.7109375" style="231" customWidth="1"/>
    <col min="9556" max="9564" width="10.7109375" style="231"/>
    <col min="9565" max="9565" width="10.7109375" style="231" customWidth="1"/>
    <col min="9566" max="9571" width="10.7109375" style="231"/>
    <col min="9572" max="9573" width="10.7109375" style="231" customWidth="1"/>
    <col min="9574" max="9584" width="10.7109375" style="231"/>
    <col min="9585" max="9585" width="10.7109375" style="231" customWidth="1"/>
    <col min="9586" max="9611" width="10.7109375" style="231"/>
    <col min="9612" max="9612" width="10.7109375" style="231" customWidth="1"/>
    <col min="9613" max="9616" width="10.7109375" style="231"/>
    <col min="9617" max="9617" width="10.7109375" style="231" customWidth="1"/>
    <col min="9618" max="9622" width="10.7109375" style="231"/>
    <col min="9623" max="9623" width="10.7109375" style="231" customWidth="1"/>
    <col min="9624" max="9628" width="10.7109375" style="231"/>
    <col min="9629" max="9629" width="10.7109375" style="231" customWidth="1"/>
    <col min="9630" max="9630" width="10.7109375" style="231"/>
    <col min="9631" max="9632" width="10.7109375" style="231" customWidth="1"/>
    <col min="9633" max="9634" width="10.7109375" style="231"/>
    <col min="9635" max="9635" width="10.7109375" style="231" customWidth="1"/>
    <col min="9636" max="9636" width="10.7109375" style="231"/>
    <col min="9637" max="9637" width="10.7109375" style="231" customWidth="1"/>
    <col min="9638" max="9639" width="10.7109375" style="231"/>
    <col min="9640" max="9640" width="10.7109375" style="231" customWidth="1"/>
    <col min="9641" max="9641" width="10.7109375" style="231"/>
    <col min="9642" max="9642" width="10.7109375" style="231" customWidth="1"/>
    <col min="9643" max="9643" width="10.7109375" style="231"/>
    <col min="9644" max="9645" width="10.7109375" style="231" customWidth="1"/>
    <col min="9646" max="9647" width="10.7109375" style="231"/>
    <col min="9648" max="9648" width="10.7109375" style="231" customWidth="1"/>
    <col min="9649" max="9649" width="10.7109375" style="231"/>
    <col min="9650" max="9651" width="10.7109375" style="231" customWidth="1"/>
    <col min="9652" max="9662" width="10.7109375" style="231"/>
    <col min="9663" max="9663" width="10.7109375" style="231" customWidth="1"/>
    <col min="9664" max="9678" width="10.7109375" style="231"/>
    <col min="9679" max="9679" width="10.7109375" style="231" customWidth="1"/>
    <col min="9680" max="9685" width="10.7109375" style="231"/>
    <col min="9686" max="9687" width="10.7109375" style="231" customWidth="1"/>
    <col min="9688" max="9694" width="10.7109375" style="231"/>
    <col min="9695" max="9695" width="10.7109375" style="231" customWidth="1"/>
    <col min="9696" max="9696" width="10.7109375" style="231"/>
    <col min="9697" max="9698" width="10.7109375" style="231" customWidth="1"/>
    <col min="9699" max="9699" width="10.7109375" style="231"/>
    <col min="9700" max="9700" width="10.7109375" style="231" customWidth="1"/>
    <col min="9701" max="9714" width="10.7109375" style="231"/>
    <col min="9715" max="9717" width="10.7109375" style="231" customWidth="1"/>
    <col min="9718" max="9720" width="10.7109375" style="231"/>
    <col min="9721" max="9722" width="10.7109375" style="231" customWidth="1"/>
    <col min="9723" max="9723" width="10.7109375" style="231"/>
    <col min="9724" max="9724" width="10.7109375" style="231" customWidth="1"/>
    <col min="9725" max="9728" width="10.7109375" style="231"/>
    <col min="9729" max="9729" width="10.7109375" style="231" customWidth="1"/>
    <col min="9730" max="9734" width="10.7109375" style="231"/>
    <col min="9735" max="9737" width="10.7109375" style="231" customWidth="1"/>
    <col min="9738" max="9740" width="10.7109375" style="231"/>
    <col min="9741" max="9744" width="10.7109375" style="231" customWidth="1"/>
    <col min="9745" max="9745" width="10.7109375" style="231"/>
    <col min="9746" max="9747" width="10.7109375" style="231" customWidth="1"/>
    <col min="9748" max="9748" width="10.7109375" style="231"/>
    <col min="9749" max="9751" width="10.7109375" style="231" customWidth="1"/>
    <col min="9752" max="9753" width="10.7109375" style="231"/>
    <col min="9754" max="9755" width="10.7109375" style="231" customWidth="1"/>
    <col min="9756" max="9756" width="10.7109375" style="231"/>
    <col min="9757" max="9760" width="10.7109375" style="231" customWidth="1"/>
    <col min="9761" max="9761" width="10.7109375" style="231"/>
    <col min="9762" max="9763" width="10.7109375" style="231" customWidth="1"/>
    <col min="9764" max="9764" width="10.7109375" style="231"/>
    <col min="9765" max="9770" width="10.7109375" style="231" customWidth="1"/>
    <col min="9771" max="9774" width="10.7109375" style="231"/>
    <col min="9775" max="9776" width="10.7109375" style="231" customWidth="1"/>
    <col min="9777" max="9778" width="10.7109375" style="231"/>
    <col min="9779" max="9779" width="10.7109375" style="231" customWidth="1"/>
    <col min="9780" max="9783" width="10.7109375" style="231"/>
    <col min="9784" max="9784" width="10.7109375" style="231" customWidth="1"/>
    <col min="9785" max="9787" width="10.7109375" style="231"/>
    <col min="9788" max="9788" width="10.7109375" style="231" customWidth="1"/>
    <col min="9789" max="9806" width="10.7109375" style="231"/>
    <col min="9807" max="9807" width="10.7109375" style="231" customWidth="1"/>
    <col min="9808" max="9815" width="10.7109375" style="231"/>
    <col min="9816" max="9816" width="10.7109375" style="231" customWidth="1"/>
    <col min="9817" max="9820" width="10.7109375" style="231"/>
    <col min="9821" max="9821" width="10.7109375" style="231" customWidth="1"/>
    <col min="9822" max="9838" width="10.7109375" style="231"/>
    <col min="9839" max="9839" width="10.7109375" style="231" customWidth="1"/>
    <col min="9840" max="9841" width="10.7109375" style="231"/>
    <col min="9842" max="9845" width="10.7109375" style="231" customWidth="1"/>
    <col min="9846" max="9848" width="10.7109375" style="231"/>
    <col min="9849" max="9852" width="10.7109375" style="231" customWidth="1"/>
    <col min="9853" max="9856" width="10.7109375" style="231"/>
    <col min="9857" max="9858" width="10.7109375" style="231" customWidth="1"/>
    <col min="9859" max="9863" width="10.7109375" style="231"/>
    <col min="9864" max="9866" width="10.7109375" style="231" customWidth="1"/>
    <col min="9867" max="9868" width="10.7109375" style="231"/>
    <col min="9869" max="9869" width="10.7109375" style="231" customWidth="1"/>
    <col min="9870" max="9871" width="10.7109375" style="231"/>
    <col min="9872" max="9872" width="10.7109375" style="231" customWidth="1"/>
    <col min="9873" max="9873" width="10.7109375" style="231"/>
    <col min="9874" max="9874" width="10.7109375" style="231" customWidth="1"/>
    <col min="9875" max="9879" width="10.7109375" style="231"/>
    <col min="9880" max="9881" width="10.7109375" style="231" customWidth="1"/>
    <col min="9882" max="9884" width="10.7109375" style="231"/>
    <col min="9885" max="9885" width="10.7109375" style="231" customWidth="1"/>
    <col min="9886" max="9886" width="10.7109375" style="231"/>
    <col min="9887" max="9892" width="10.7109375" style="231" customWidth="1"/>
    <col min="9893" max="9895" width="10.7109375" style="231"/>
    <col min="9896" max="9897" width="10.7109375" style="231" customWidth="1"/>
    <col min="9898" max="9898" width="10.7109375" style="231"/>
    <col min="9899" max="9900" width="10.7109375" style="231" customWidth="1"/>
    <col min="9901" max="9903" width="10.7109375" style="231"/>
    <col min="9904" max="9904" width="10.7109375" style="231" customWidth="1"/>
    <col min="9905" max="9905" width="10.7109375" style="231"/>
    <col min="9906" max="9906" width="10.7109375" style="231" customWidth="1"/>
    <col min="9907" max="9908" width="10.7109375" style="231"/>
    <col min="9909" max="9909" width="10.7109375" style="231" customWidth="1"/>
    <col min="9910" max="9912" width="10.7109375" style="231"/>
    <col min="9913" max="9913" width="10.7109375" style="231" customWidth="1"/>
    <col min="9914" max="9934" width="10.7109375" style="231"/>
    <col min="9935" max="9935" width="10.7109375" style="231" customWidth="1"/>
    <col min="9936" max="9937" width="10.7109375" style="231"/>
    <col min="9938" max="9938" width="10.7109375" style="231" customWidth="1"/>
    <col min="9939" max="9945" width="10.7109375" style="231"/>
    <col min="9946" max="9946" width="10.7109375" style="231" customWidth="1"/>
    <col min="9947" max="9948" width="10.7109375" style="231"/>
    <col min="9949" max="9949" width="10.7109375" style="231" customWidth="1"/>
    <col min="9950" max="9954" width="10.7109375" style="231"/>
    <col min="9955" max="9955" width="10.7109375" style="231" customWidth="1"/>
    <col min="9956" max="9971" width="10.7109375" style="231"/>
    <col min="9972" max="9972" width="10.7109375" style="231" customWidth="1"/>
    <col min="9973" max="9976" width="10.7109375" style="231"/>
    <col min="9977" max="9977" width="10.7109375" style="231" customWidth="1"/>
    <col min="9978" max="10000" width="10.7109375" style="231"/>
    <col min="10001" max="10001" width="10.7109375" style="231" customWidth="1"/>
    <col min="10002" max="10002" width="10.7109375" style="231"/>
    <col min="10003" max="10003" width="10.7109375" style="231" customWidth="1"/>
    <col min="10004" max="10009" width="10.7109375" style="231"/>
    <col min="10010" max="10010" width="10.7109375" style="231" customWidth="1"/>
    <col min="10011" max="10011" width="10.7109375" style="231"/>
    <col min="10012" max="10013" width="10.7109375" style="231" customWidth="1"/>
    <col min="10014" max="10015" width="10.7109375" style="231"/>
    <col min="10016" max="10016" width="10.7109375" style="231" customWidth="1"/>
    <col min="10017" max="10017" width="10.7109375" style="231"/>
    <col min="10018" max="10021" width="10.7109375" style="231" customWidth="1"/>
    <col min="10022" max="10023" width="10.7109375" style="231"/>
    <col min="10024" max="10026" width="10.7109375" style="231" customWidth="1"/>
    <col min="10027" max="10027" width="10.7109375" style="231"/>
    <col min="10028" max="10028" width="10.7109375" style="231" customWidth="1"/>
    <col min="10029" max="10031" width="10.7109375" style="231"/>
    <col min="10032" max="10032" width="10.7109375" style="231" customWidth="1"/>
    <col min="10033" max="10036" width="10.7109375" style="231"/>
    <col min="10037" max="10037" width="10.7109375" style="231" customWidth="1"/>
    <col min="10038" max="10062" width="10.7109375" style="231"/>
    <col min="10063" max="10063" width="10.7109375" style="231" customWidth="1"/>
    <col min="10064" max="10079" width="10.7109375" style="231"/>
    <col min="10080" max="10080" width="10.7109375" style="231" customWidth="1"/>
    <col min="10081" max="10081" width="10.7109375" style="231"/>
    <col min="10082" max="10083" width="10.7109375" style="231" customWidth="1"/>
    <col min="10084" max="10094" width="10.7109375" style="231"/>
    <col min="10095" max="10095" width="10.7109375" style="231" customWidth="1"/>
    <col min="10096" max="10096" width="10.7109375" style="231"/>
    <col min="10097" max="10097" width="10.7109375" style="231" customWidth="1"/>
    <col min="10098" max="10098" width="10.7109375" style="231"/>
    <col min="10099" max="10099" width="10.7109375" style="231" customWidth="1"/>
    <col min="10100" max="10101" width="10.7109375" style="231"/>
    <col min="10102" max="10102" width="10.7109375" style="231" customWidth="1"/>
    <col min="10103" max="10105" width="10.7109375" style="231"/>
    <col min="10106" max="10106" width="10.7109375" style="231" customWidth="1"/>
    <col min="10107" max="10109" width="10.7109375" style="231"/>
    <col min="10110" max="10110" width="10.7109375" style="231" customWidth="1"/>
    <col min="10111" max="10111" width="10.7109375" style="231"/>
    <col min="10112" max="10112" width="10.7109375" style="231" customWidth="1"/>
    <col min="10113" max="10119" width="10.7109375" style="231"/>
    <col min="10120" max="10120" width="10.7109375" style="231" customWidth="1"/>
    <col min="10121" max="10121" width="10.7109375" style="231"/>
    <col min="10122" max="10123" width="10.7109375" style="231" customWidth="1"/>
    <col min="10124" max="10126" width="10.7109375" style="231"/>
    <col min="10127" max="10127" width="10.7109375" style="231" customWidth="1"/>
    <col min="10128" max="10145" width="10.7109375" style="231"/>
    <col min="10146" max="10146" width="10.7109375" style="231" customWidth="1"/>
    <col min="10147" max="10147" width="10.7109375" style="231"/>
    <col min="10148" max="10148" width="10.7109375" style="231" customWidth="1"/>
    <col min="10149" max="10155" width="10.7109375" style="231"/>
    <col min="10156" max="10156" width="10.7109375" style="231" customWidth="1"/>
    <col min="10157" max="10161" width="10.7109375" style="231"/>
    <col min="10162" max="10163" width="10.7109375" style="231" customWidth="1"/>
    <col min="10164" max="10167" width="10.7109375" style="231"/>
    <col min="10168" max="10169" width="10.7109375" style="231" customWidth="1"/>
    <col min="10170" max="10190" width="10.7109375" style="231"/>
    <col min="10191" max="10191" width="10.7109375" style="231" customWidth="1"/>
    <col min="10192" max="10222" width="10.7109375" style="231"/>
    <col min="10223" max="10223" width="10.7109375" style="231" customWidth="1"/>
    <col min="10224" max="10233" width="10.7109375" style="231"/>
    <col min="10234" max="10234" width="10.7109375" style="231" customWidth="1"/>
    <col min="10235" max="10242" width="10.7109375" style="231"/>
    <col min="10243" max="10243" width="10.7109375" style="231" customWidth="1"/>
    <col min="10244" max="10288" width="10.7109375" style="231"/>
    <col min="10289" max="10289" width="10.7109375" style="231" customWidth="1"/>
    <col min="10290" max="10292" width="10.7109375" style="231"/>
    <col min="10293" max="10293" width="10.7109375" style="231" customWidth="1"/>
    <col min="10294" max="10297" width="10.7109375" style="231"/>
    <col min="10298" max="10298" width="10.7109375" style="231" customWidth="1"/>
    <col min="10299" max="10306" width="10.7109375" style="231"/>
    <col min="10307" max="10307" width="10.7109375" style="231" customWidth="1"/>
    <col min="10308" max="10314" width="10.7109375" style="231"/>
    <col min="10315" max="10316" width="10.7109375" style="231" customWidth="1"/>
    <col min="10317" max="10356" width="10.7109375" style="231"/>
    <col min="10357" max="10357" width="10.7109375" style="231" customWidth="1"/>
    <col min="10358" max="10358" width="10.7109375" style="231"/>
    <col min="10359" max="10360" width="10.7109375" style="231" customWidth="1"/>
    <col min="10361" max="10362" width="10.7109375" style="231"/>
    <col min="10363" max="10363" width="10.7109375" style="231" customWidth="1"/>
    <col min="10364" max="10367" width="10.7109375" style="231"/>
    <col min="10368" max="10368" width="10.7109375" style="231" customWidth="1"/>
    <col min="10369" max="10369" width="10.7109375" style="231"/>
    <col min="10370" max="10370" width="10.7109375" style="231" customWidth="1"/>
    <col min="10371" max="10375" width="10.7109375" style="231"/>
    <col min="10376" max="10377" width="10.7109375" style="231" customWidth="1"/>
    <col min="10378" max="10379" width="10.7109375" style="231"/>
    <col min="10380" max="10380" width="10.7109375" style="231" customWidth="1"/>
    <col min="10381" max="10383" width="10.7109375" style="231"/>
    <col min="10384" max="10384" width="10.7109375" style="231" customWidth="1"/>
    <col min="10385" max="10392" width="10.7109375" style="231"/>
    <col min="10393" max="10393" width="10.7109375" style="231" customWidth="1"/>
    <col min="10394" max="10396" width="10.7109375" style="231"/>
    <col min="10397" max="10397" width="10.7109375" style="231" customWidth="1"/>
    <col min="10398" max="10403" width="10.7109375" style="231"/>
    <col min="10404" max="10404" width="10.7109375" style="231" customWidth="1"/>
    <col min="10405" max="10414" width="10.7109375" style="231"/>
    <col min="10415" max="10415" width="10.7109375" style="231" customWidth="1"/>
    <col min="10416" max="10416" width="10.7109375" style="231"/>
    <col min="10417" max="10417" width="10.7109375" style="231" customWidth="1"/>
    <col min="10418" max="10425" width="10.7109375" style="231"/>
    <col min="10426" max="10426" width="10.7109375" style="231" customWidth="1"/>
    <col min="10427" max="10430" width="10.7109375" style="231"/>
    <col min="10431" max="10431" width="10.7109375" style="231" customWidth="1"/>
    <col min="10432" max="10446" width="10.7109375" style="231"/>
    <col min="10447" max="10447" width="10.7109375" style="231" customWidth="1"/>
    <col min="10448" max="10448" width="10.7109375" style="231"/>
    <col min="10449" max="10449" width="10.7109375" style="231" customWidth="1"/>
    <col min="10450" max="10454" width="10.7109375" style="231"/>
    <col min="10455" max="10455" width="10.7109375" style="231" customWidth="1"/>
    <col min="10456" max="10486" width="10.7109375" style="231"/>
    <col min="10487" max="10488" width="10.7109375" style="231" customWidth="1"/>
    <col min="10489" max="10490" width="10.7109375" style="231"/>
    <col min="10491" max="10493" width="10.7109375" style="231" customWidth="1"/>
    <col min="10494" max="10495" width="10.7109375" style="231"/>
    <col min="10496" max="10496" width="10.7109375" style="231" customWidth="1"/>
    <col min="10497" max="10500" width="10.7109375" style="231"/>
    <col min="10501" max="10501" width="10.7109375" style="231" customWidth="1"/>
    <col min="10502" max="10503" width="10.7109375" style="231"/>
    <col min="10504" max="10504" width="10.7109375" style="231" customWidth="1"/>
    <col min="10505" max="10505" width="10.7109375" style="231"/>
    <col min="10506" max="10506" width="10.7109375" style="231" customWidth="1"/>
    <col min="10507" max="10508" width="10.7109375" style="231"/>
    <col min="10509" max="10509" width="10.7109375" style="231" customWidth="1"/>
    <col min="10510" max="10511" width="10.7109375" style="231"/>
    <col min="10512" max="10512" width="10.7109375" style="231" customWidth="1"/>
    <col min="10513" max="10544" width="10.7109375" style="231"/>
    <col min="10545" max="10546" width="10.7109375" style="231" customWidth="1"/>
    <col min="10547" max="10555" width="10.7109375" style="231"/>
    <col min="10556" max="10556" width="10.7109375" style="231" customWidth="1"/>
    <col min="10557" max="10600" width="10.7109375" style="231"/>
    <col min="10601" max="10602" width="10.7109375" style="231" customWidth="1"/>
    <col min="10603" max="10608" width="10.7109375" style="231"/>
    <col min="10609" max="10609" width="10.7109375" style="231" customWidth="1"/>
    <col min="10610" max="10612" width="10.7109375" style="231"/>
    <col min="10613" max="10613" width="10.7109375" style="231" customWidth="1"/>
    <col min="10614" max="10619" width="10.7109375" style="231"/>
    <col min="10620" max="10620" width="10.7109375" style="231" customWidth="1"/>
    <col min="10621" max="10647" width="10.7109375" style="231"/>
    <col min="10648" max="10648" width="10.7109375" style="231" customWidth="1"/>
    <col min="10649" max="10670" width="10.7109375" style="231"/>
    <col min="10671" max="10671" width="10.7109375" style="231" customWidth="1"/>
    <col min="10672" max="10676" width="10.7109375" style="231"/>
    <col min="10677" max="10677" width="10.7109375" style="231" customWidth="1"/>
    <col min="10678" max="10681" width="10.7109375" style="231"/>
    <col min="10682" max="10682" width="10.7109375" style="231" customWidth="1"/>
    <col min="10683" max="10706" width="10.7109375" style="231"/>
    <col min="10707" max="10707" width="10.7109375" style="231" customWidth="1"/>
    <col min="10708" max="10708" width="10.7109375" style="231"/>
    <col min="10709" max="10709" width="10.7109375" style="231" customWidth="1"/>
    <col min="10710" max="10712" width="10.7109375" style="231"/>
    <col min="10713" max="10713" width="10.7109375" style="231" customWidth="1"/>
    <col min="10714" max="10737" width="10.7109375" style="231"/>
    <col min="10738" max="10739" width="10.7109375" style="231" customWidth="1"/>
    <col min="10740" max="10743" width="10.7109375" style="231"/>
    <col min="10744" max="10744" width="10.7109375" style="231" customWidth="1"/>
    <col min="10745" max="10751" width="10.7109375" style="231"/>
    <col min="10752" max="10752" width="10.7109375" style="231" customWidth="1"/>
    <col min="10753" max="10771" width="10.7109375" style="231"/>
    <col min="10772" max="10773" width="10.7109375" style="231" customWidth="1"/>
    <col min="10774" max="10775" width="10.7109375" style="231"/>
    <col min="10776" max="10776" width="10.7109375" style="231" customWidth="1"/>
    <col min="10777" max="10777" width="10.7109375" style="231"/>
    <col min="10778" max="10779" width="10.7109375" style="231" customWidth="1"/>
    <col min="10780" max="10783" width="10.7109375" style="231"/>
    <col min="10784" max="10785" width="10.7109375" style="231" customWidth="1"/>
    <col min="10786" max="10790" width="10.7109375" style="231"/>
    <col min="10791" max="10793" width="10.7109375" style="231" customWidth="1"/>
    <col min="10794" max="10794" width="10.7109375" style="231"/>
    <col min="10795" max="10795" width="10.7109375" style="231" customWidth="1"/>
    <col min="10796" max="10796" width="10.7109375" style="231"/>
    <col min="10797" max="10800" width="10.7109375" style="231" customWidth="1"/>
    <col min="10801" max="10802" width="10.7109375" style="231"/>
    <col min="10803" max="10803" width="10.7109375" style="231" customWidth="1"/>
    <col min="10804" max="10804" width="10.7109375" style="231"/>
    <col min="10805" max="10808" width="10.7109375" style="231" customWidth="1"/>
    <col min="10809" max="10809" width="10.7109375" style="231"/>
    <col min="10810" max="10811" width="10.7109375" style="231" customWidth="1"/>
    <col min="10812" max="10812" width="10.7109375" style="231"/>
    <col min="10813" max="10816" width="10.7109375" style="231" customWidth="1"/>
    <col min="10817" max="10817" width="10.7109375" style="231"/>
    <col min="10818" max="10819" width="10.7109375" style="231" customWidth="1"/>
    <col min="10820" max="10820" width="10.7109375" style="231"/>
    <col min="10821" max="10826" width="10.7109375" style="231" customWidth="1"/>
    <col min="10827" max="10830" width="10.7109375" style="231"/>
    <col min="10831" max="10832" width="10.7109375" style="231" customWidth="1"/>
    <col min="10833" max="10840" width="10.7109375" style="231"/>
    <col min="10841" max="10841" width="10.7109375" style="231" customWidth="1"/>
    <col min="10842" max="10842" width="10.7109375" style="231"/>
    <col min="10843" max="10843" width="10.7109375" style="231" customWidth="1"/>
    <col min="10844" max="10855" width="10.7109375" style="231"/>
    <col min="10856" max="10856" width="10.7109375" style="231" customWidth="1"/>
    <col min="10857" max="10857" width="10.7109375" style="231"/>
    <col min="10858" max="10858" width="10.7109375" style="231" customWidth="1"/>
    <col min="10859" max="10865" width="10.7109375" style="231"/>
    <col min="10866" max="10866" width="10.7109375" style="231" customWidth="1"/>
    <col min="10867" max="10871" width="10.7109375" style="231"/>
    <col min="10872" max="10873" width="10.7109375" style="231" customWidth="1"/>
    <col min="10874" max="10878" width="10.7109375" style="231"/>
    <col min="10879" max="10881" width="10.7109375" style="231" customWidth="1"/>
    <col min="10882" max="10882" width="10.7109375" style="231"/>
    <col min="10883" max="10883" width="10.7109375" style="231" customWidth="1"/>
    <col min="10884" max="10884" width="10.7109375" style="231"/>
    <col min="10885" max="10888" width="10.7109375" style="231" customWidth="1"/>
    <col min="10889" max="10889" width="10.7109375" style="231"/>
    <col min="10890" max="10891" width="10.7109375" style="231" customWidth="1"/>
    <col min="10892" max="10892" width="10.7109375" style="231"/>
    <col min="10893" max="10896" width="10.7109375" style="231" customWidth="1"/>
    <col min="10897" max="10898" width="10.7109375" style="231"/>
    <col min="10899" max="10899" width="10.7109375" style="231" customWidth="1"/>
    <col min="10900" max="10902" width="10.7109375" style="231"/>
    <col min="10903" max="10904" width="10.7109375" style="231" customWidth="1"/>
    <col min="10905" max="10905" width="10.7109375" style="231"/>
    <col min="10906" max="10907" width="10.7109375" style="231" customWidth="1"/>
    <col min="10908" max="10909" width="10.7109375" style="231"/>
    <col min="10910" max="10910" width="10.7109375" style="231" customWidth="1"/>
    <col min="10911" max="10913" width="10.7109375" style="231"/>
    <col min="10914" max="10914" width="10.7109375" style="231" customWidth="1"/>
    <col min="10915" max="10917" width="10.7109375" style="231"/>
    <col min="10918" max="10918" width="10.7109375" style="231" customWidth="1"/>
    <col min="10919" max="10919" width="10.7109375" style="231"/>
    <col min="10920" max="10922" width="10.7109375" style="231" customWidth="1"/>
    <col min="10923" max="10926" width="10.7109375" style="231"/>
    <col min="10927" max="10927" width="10.7109375" style="231" customWidth="1"/>
    <col min="10928" max="10928" width="10.7109375" style="231"/>
    <col min="10929" max="10930" width="10.7109375" style="231" customWidth="1"/>
    <col min="10931" max="10935" width="10.7109375" style="231"/>
    <col min="10936" max="10936" width="10.7109375" style="231" customWidth="1"/>
    <col min="10937" max="10937" width="10.7109375" style="231"/>
    <col min="10938" max="10938" width="10.7109375" style="231" customWidth="1"/>
    <col min="10939" max="10940" width="10.7109375" style="231"/>
    <col min="10941" max="10941" width="10.7109375" style="231" customWidth="1"/>
    <col min="10942" max="10943" width="10.7109375" style="231"/>
    <col min="10944" max="10944" width="10.7109375" style="231" customWidth="1"/>
    <col min="10945" max="10948" width="10.7109375" style="231"/>
    <col min="10949" max="10949" width="10.7109375" style="231" customWidth="1"/>
    <col min="10950" max="10951" width="10.7109375" style="231"/>
    <col min="10952" max="10954" width="10.7109375" style="231" customWidth="1"/>
    <col min="10955" max="10955" width="10.7109375" style="231"/>
    <col min="10956" max="10956" width="10.7109375" style="231" customWidth="1"/>
    <col min="10957" max="10959" width="10.7109375" style="231"/>
    <col min="10960" max="10960" width="10.7109375" style="231" customWidth="1"/>
    <col min="10961" max="10967" width="10.7109375" style="231"/>
    <col min="10968" max="10969" width="10.7109375" style="231" customWidth="1"/>
    <col min="10970" max="10973" width="10.7109375" style="231"/>
    <col min="10974" max="10976" width="10.7109375" style="231" customWidth="1"/>
    <col min="10977" max="10977" width="10.7109375" style="231"/>
    <col min="10978" max="10978" width="10.7109375" style="231" customWidth="1"/>
    <col min="10979" max="10980" width="10.7109375" style="231"/>
    <col min="10981" max="10981" width="10.7109375" style="231" customWidth="1"/>
    <col min="10982" max="10986" width="10.7109375" style="231"/>
    <col min="10987" max="10987" width="10.7109375" style="231" customWidth="1"/>
    <col min="10988" max="10988" width="10.7109375" style="231"/>
    <col min="10989" max="10989" width="10.7109375" style="231" customWidth="1"/>
    <col min="10990" max="10990" width="10.7109375" style="231"/>
    <col min="10991" max="10991" width="10.7109375" style="231" customWidth="1"/>
    <col min="10992" max="10993" width="10.7109375" style="231"/>
    <col min="10994" max="10994" width="10.7109375" style="231" customWidth="1"/>
    <col min="10995" max="10996" width="10.7109375" style="231"/>
    <col min="10997" max="10999" width="10.7109375" style="231" customWidth="1"/>
    <col min="11000" max="11001" width="10.7109375" style="231"/>
    <col min="11002" max="11003" width="10.7109375" style="231" customWidth="1"/>
    <col min="11004" max="11004" width="10.7109375" style="231"/>
    <col min="11005" max="11008" width="10.7109375" style="231" customWidth="1"/>
    <col min="11009" max="11009" width="10.7109375" style="231"/>
    <col min="11010" max="11011" width="10.7109375" style="231" customWidth="1"/>
    <col min="11012" max="11012" width="10.7109375" style="231"/>
    <col min="11013" max="11018" width="10.7109375" style="231" customWidth="1"/>
    <col min="11019" max="11022" width="10.7109375" style="231"/>
    <col min="11023" max="11024" width="10.7109375" style="231" customWidth="1"/>
    <col min="11025" max="11026" width="10.7109375" style="231"/>
    <col min="11027" max="11027" width="10.7109375" style="231" customWidth="1"/>
    <col min="11028" max="11031" width="10.7109375" style="231"/>
    <col min="11032" max="11032" width="10.7109375" style="231" customWidth="1"/>
    <col min="11033" max="11033" width="10.7109375" style="231"/>
    <col min="11034" max="11034" width="10.7109375" style="231" customWidth="1"/>
    <col min="11035" max="11035" width="10.7109375" style="231"/>
    <col min="11036" max="11037" width="10.7109375" style="231" customWidth="1"/>
    <col min="11038" max="11039" width="10.7109375" style="231"/>
    <col min="11040" max="11040" width="10.7109375" style="231" customWidth="1"/>
    <col min="11041" max="11047" width="10.7109375" style="231"/>
    <col min="11048" max="11049" width="10.7109375" style="231" customWidth="1"/>
    <col min="11050" max="11054" width="10.7109375" style="231"/>
    <col min="11055" max="11055" width="10.7109375" style="231" customWidth="1"/>
    <col min="11056" max="11058" width="10.7109375" style="231"/>
    <col min="11059" max="11061" width="10.7109375" style="231" customWidth="1"/>
    <col min="11062" max="11063" width="10.7109375" style="231"/>
    <col min="11064" max="11064" width="10.7109375" style="231" customWidth="1"/>
    <col min="11065" max="11068" width="10.7109375" style="231"/>
    <col min="11069" max="11069" width="10.7109375" style="231" customWidth="1"/>
    <col min="11070" max="11086" width="10.7109375" style="231"/>
    <col min="11087" max="11087" width="10.7109375" style="231" customWidth="1"/>
    <col min="11088" max="11089" width="10.7109375" style="231"/>
    <col min="11090" max="11093" width="10.7109375" style="231" customWidth="1"/>
    <col min="11094" max="11095" width="10.7109375" style="231"/>
    <col min="11096" max="11100" width="10.7109375" style="231" customWidth="1"/>
    <col min="11101" max="11103" width="10.7109375" style="231"/>
    <col min="11104" max="11108" width="10.7109375" style="231" customWidth="1"/>
    <col min="11109" max="11111" width="10.7109375" style="231"/>
    <col min="11112" max="11114" width="10.7109375" style="231" customWidth="1"/>
    <col min="11115" max="11116" width="10.7109375" style="231"/>
    <col min="11117" max="11117" width="10.7109375" style="231" customWidth="1"/>
    <col min="11118" max="11119" width="10.7109375" style="231"/>
    <col min="11120" max="11120" width="10.7109375" style="231" customWidth="1"/>
    <col min="11121" max="11121" width="10.7109375" style="231"/>
    <col min="11122" max="11122" width="10.7109375" style="231" customWidth="1"/>
    <col min="11123" max="11127" width="10.7109375" style="231"/>
    <col min="11128" max="11129" width="10.7109375" style="231" customWidth="1"/>
    <col min="11130" max="11132" width="10.7109375" style="231"/>
    <col min="11133" max="11133" width="10.7109375" style="231" customWidth="1"/>
    <col min="11134" max="11134" width="10.7109375" style="231"/>
    <col min="11135" max="11136" width="10.7109375" style="231" customWidth="1"/>
    <col min="11137" max="11139" width="10.7109375" style="231"/>
    <col min="11140" max="11140" width="10.7109375" style="231" customWidth="1"/>
    <col min="11141" max="11143" width="10.7109375" style="231"/>
    <col min="11144" max="11145" width="10.7109375" style="231" customWidth="1"/>
    <col min="11146" max="11146" width="10.7109375" style="231"/>
    <col min="11147" max="11148" width="10.7109375" style="231" customWidth="1"/>
    <col min="11149" max="11151" width="10.7109375" style="231"/>
    <col min="11152" max="11152" width="10.7109375" style="231" customWidth="1"/>
    <col min="11153" max="11154" width="10.7109375" style="231"/>
    <col min="11155" max="11155" width="10.7109375" style="231" customWidth="1"/>
    <col min="11156" max="11160" width="10.7109375" style="231"/>
    <col min="11161" max="11161" width="10.7109375" style="231" customWidth="1"/>
    <col min="11162" max="11167" width="10.7109375" style="231"/>
    <col min="11168" max="11168" width="10.7109375" style="231" customWidth="1"/>
    <col min="11169" max="11169" width="10.7109375" style="231"/>
    <col min="11170" max="11170" width="10.7109375" style="231" customWidth="1"/>
    <col min="11171" max="11171" width="10.7109375" style="231"/>
    <col min="11172" max="11172" width="10.7109375" style="231" customWidth="1"/>
    <col min="11173" max="11182" width="10.7109375" style="231"/>
    <col min="11183" max="11183" width="10.7109375" style="231" customWidth="1"/>
    <col min="11184" max="11184" width="10.7109375" style="231"/>
    <col min="11185" max="11188" width="10.7109375" style="231" customWidth="1"/>
    <col min="11189" max="11189" width="10.7109375" style="231"/>
    <col min="11190" max="11190" width="10.7109375" style="231" customWidth="1"/>
    <col min="11191" max="11191" width="10.7109375" style="231"/>
    <col min="11192" max="11192" width="10.7109375" style="231" customWidth="1"/>
    <col min="11193" max="11193" width="10.7109375" style="231"/>
    <col min="11194" max="11197" width="10.7109375" style="231" customWidth="1"/>
    <col min="11198" max="11199" width="10.7109375" style="231"/>
    <col min="11200" max="11204" width="10.7109375" style="231" customWidth="1"/>
    <col min="11205" max="11207" width="10.7109375" style="231"/>
    <col min="11208" max="11208" width="10.7109375" style="231" customWidth="1"/>
    <col min="11209" max="11209" width="10.7109375" style="231"/>
    <col min="11210" max="11210" width="10.7109375" style="231" customWidth="1"/>
    <col min="11211" max="11211" width="10.7109375" style="231"/>
    <col min="11212" max="11213" width="10.7109375" style="231" customWidth="1"/>
    <col min="11214" max="11215" width="10.7109375" style="231"/>
    <col min="11216" max="11217" width="10.7109375" style="231" customWidth="1"/>
    <col min="11218" max="11218" width="10.7109375" style="231"/>
    <col min="11219" max="11220" width="10.7109375" style="231" customWidth="1"/>
    <col min="11221" max="11226" width="10.7109375" style="231"/>
    <col min="11227" max="11227" width="10.7109375" style="231" customWidth="1"/>
    <col min="11228" max="11229" width="10.7109375" style="231"/>
    <col min="11230" max="11230" width="10.7109375" style="231" customWidth="1"/>
    <col min="11231" max="11232" width="10.7109375" style="231"/>
    <col min="11233" max="11233" width="10.7109375" style="231" customWidth="1"/>
    <col min="11234" max="11239" width="10.7109375" style="231"/>
    <col min="11240" max="11240" width="10.7109375" style="231" customWidth="1"/>
    <col min="11241" max="11243" width="10.7109375" style="231"/>
    <col min="11244" max="11244" width="10.7109375" style="231" customWidth="1"/>
    <col min="11245" max="11247" width="10.7109375" style="231"/>
    <col min="11248" max="11248" width="10.7109375" style="231" customWidth="1"/>
    <col min="11249" max="11256" width="10.7109375" style="231"/>
    <col min="11257" max="11257" width="10.7109375" style="231" customWidth="1"/>
    <col min="11258" max="11260" width="10.7109375" style="231"/>
    <col min="11261" max="11261" width="10.7109375" style="231" customWidth="1"/>
    <col min="11262" max="11262" width="10.7109375" style="231"/>
    <col min="11263" max="11263" width="10.7109375" style="231" customWidth="1"/>
    <col min="11264" max="11265" width="10.7109375" style="231"/>
    <col min="11266" max="11266" width="10.7109375" style="231" customWidth="1"/>
    <col min="11267" max="11267" width="10.7109375" style="231"/>
    <col min="11268" max="11268" width="10.7109375" style="231" customWidth="1"/>
    <col min="11269" max="11277" width="10.7109375" style="231"/>
    <col min="11278" max="11278" width="10.7109375" style="231" customWidth="1"/>
    <col min="11279" max="11281" width="10.7109375" style="231"/>
    <col min="11282" max="11282" width="10.7109375" style="231" customWidth="1"/>
    <col min="11283" max="11283" width="10.7109375" style="231"/>
    <col min="11284" max="11284" width="10.7109375" style="231" customWidth="1"/>
    <col min="11285" max="11285" width="10.7109375" style="231"/>
    <col min="11286" max="11286" width="10.7109375" style="231" customWidth="1"/>
    <col min="11287" max="11288" width="10.7109375" style="231"/>
    <col min="11289" max="11289" width="10.7109375" style="231" customWidth="1"/>
    <col min="11290" max="11316" width="10.7109375" style="231"/>
    <col min="11317" max="11317" width="10.7109375" style="231" customWidth="1"/>
    <col min="11318" max="11319" width="10.7109375" style="231"/>
    <col min="11320" max="11320" width="10.7109375" style="231" customWidth="1"/>
    <col min="11321" max="11321" width="10.7109375" style="231"/>
    <col min="11322" max="11322" width="10.7109375" style="231" customWidth="1"/>
    <col min="11323" max="11345" width="10.7109375" style="231"/>
    <col min="11346" max="11346" width="10.7109375" style="231" customWidth="1"/>
    <col min="11347" max="11347" width="10.7109375" style="231"/>
    <col min="11348" max="11348" width="10.7109375" style="231" customWidth="1"/>
    <col min="11349" max="11351" width="10.7109375" style="231"/>
    <col min="11352" max="11353" width="10.7109375" style="231" customWidth="1"/>
    <col min="11354" max="11356" width="10.7109375" style="231"/>
    <col min="11357" max="11357" width="10.7109375" style="231" customWidth="1"/>
    <col min="11358" max="11359" width="10.7109375" style="231"/>
    <col min="11360" max="11360" width="10.7109375" style="231" customWidth="1"/>
    <col min="11361" max="11367" width="10.7109375" style="231"/>
    <col min="11368" max="11368" width="10.7109375" style="231" customWidth="1"/>
    <col min="11369" max="11375" width="10.7109375" style="231"/>
    <col min="11376" max="11376" width="10.7109375" style="231" customWidth="1"/>
    <col min="11377" max="11379" width="10.7109375" style="231"/>
    <col min="11380" max="11381" width="10.7109375" style="231" customWidth="1"/>
    <col min="11382" max="11383" width="10.7109375" style="231"/>
    <col min="11384" max="11384" width="10.7109375" style="231" customWidth="1"/>
    <col min="11385" max="11385" width="10.7109375" style="231"/>
    <col min="11386" max="11386" width="10.7109375" style="231" customWidth="1"/>
    <col min="11387" max="11387" width="10.7109375" style="231"/>
    <col min="11388" max="11389" width="10.7109375" style="231" customWidth="1"/>
    <col min="11390" max="11391" width="10.7109375" style="231"/>
    <col min="11392" max="11393" width="10.7109375" style="231" customWidth="1"/>
    <col min="11394" max="11394" width="10.7109375" style="231"/>
    <col min="11395" max="11396" width="10.7109375" style="231" customWidth="1"/>
    <col min="11397" max="11397" width="10.7109375" style="231"/>
    <col min="11398" max="11398" width="10.7109375" style="231" customWidth="1"/>
    <col min="11399" max="11399" width="10.7109375" style="231"/>
    <col min="11400" max="11400" width="10.7109375" style="231" customWidth="1"/>
    <col min="11401" max="11401" width="10.7109375" style="231"/>
    <col min="11402" max="11402" width="10.7109375" style="231" customWidth="1"/>
    <col min="11403" max="11403" width="10.7109375" style="231"/>
    <col min="11404" max="11405" width="10.7109375" style="231" customWidth="1"/>
    <col min="11406" max="11407" width="10.7109375" style="231"/>
    <col min="11408" max="11408" width="10.7109375" style="231" customWidth="1"/>
    <col min="11409" max="11410" width="10.7109375" style="231"/>
    <col min="11411" max="11412" width="10.7109375" style="231" customWidth="1"/>
    <col min="11413" max="11416" width="10.7109375" style="231"/>
    <col min="11417" max="11417" width="10.7109375" style="231" customWidth="1"/>
    <col min="11418" max="11423" width="10.7109375" style="231"/>
    <col min="11424" max="11424" width="10.7109375" style="231" customWidth="1"/>
    <col min="11425" max="11425" width="10.7109375" style="231"/>
    <col min="11426" max="11426" width="10.7109375" style="231" customWidth="1"/>
    <col min="11427" max="11438" width="10.7109375" style="231"/>
    <col min="11439" max="11439" width="10.7109375" style="231" customWidth="1"/>
    <col min="11440" max="11442" width="10.7109375" style="231"/>
    <col min="11443" max="11443" width="10.7109375" style="231" customWidth="1"/>
    <col min="11444" max="11444" width="10.7109375" style="231"/>
    <col min="11445" max="11445" width="10.7109375" style="231" customWidth="1"/>
    <col min="11446" max="11447" width="10.7109375" style="231"/>
    <col min="11448" max="11448" width="10.7109375" style="231" customWidth="1"/>
    <col min="11449" max="11452" width="10.7109375" style="231"/>
    <col min="11453" max="11453" width="10.7109375" style="231" customWidth="1"/>
    <col min="11454" max="11455" width="10.7109375" style="231"/>
    <col min="11456" max="11456" width="10.7109375" style="231" customWidth="1"/>
    <col min="11457" max="11458" width="10.7109375" style="231"/>
    <col min="11459" max="11459" width="10.7109375" style="231" customWidth="1"/>
    <col min="11460" max="11463" width="10.7109375" style="231"/>
    <col min="11464" max="11465" width="10.7109375" style="231" customWidth="1"/>
    <col min="11466" max="11470" width="10.7109375" style="231"/>
    <col min="11471" max="11473" width="10.7109375" style="231" customWidth="1"/>
    <col min="11474" max="11474" width="10.7109375" style="231"/>
    <col min="11475" max="11475" width="10.7109375" style="231" customWidth="1"/>
    <col min="11476" max="11476" width="10.7109375" style="231"/>
    <col min="11477" max="11477" width="10.7109375" style="231" customWidth="1"/>
    <col min="11478" max="11478" width="10.7109375" style="231"/>
    <col min="11479" max="11479" width="10.7109375" style="231" customWidth="1"/>
    <col min="11480" max="11508" width="10.7109375" style="231"/>
    <col min="11509" max="11509" width="10.7109375" style="231" customWidth="1"/>
    <col min="11510" max="11510" width="10.7109375" style="231"/>
    <col min="11511" max="11512" width="10.7109375" style="231" customWidth="1"/>
    <col min="11513" max="11513" width="10.7109375" style="231"/>
    <col min="11514" max="11514" width="10.7109375" style="231" customWidth="1"/>
    <col min="11515" max="11516" width="10.7109375" style="231"/>
    <col min="11517" max="11517" width="10.7109375" style="231" customWidth="1"/>
    <col min="11518" max="11518" width="10.7109375" style="231"/>
    <col min="11519" max="11520" width="10.7109375" style="231" customWidth="1"/>
    <col min="11521" max="11521" width="10.7109375" style="231"/>
    <col min="11522" max="11522" width="10.7109375" style="231" customWidth="1"/>
    <col min="11523" max="11526" width="10.7109375" style="231"/>
    <col min="11527" max="11528" width="10.7109375" style="231" customWidth="1"/>
    <col min="11529" max="11529" width="10.7109375" style="231"/>
    <col min="11530" max="11530" width="10.7109375" style="231" customWidth="1"/>
    <col min="11531" max="11532" width="10.7109375" style="231"/>
    <col min="11533" max="11533" width="10.7109375" style="231" customWidth="1"/>
    <col min="11534" max="11535" width="10.7109375" style="231"/>
    <col min="11536" max="11536" width="10.7109375" style="231" customWidth="1"/>
    <col min="11537" max="11543" width="10.7109375" style="231"/>
    <col min="11544" max="11545" width="10.7109375" style="231" customWidth="1"/>
    <col min="11546" max="11546" width="10.7109375" style="231"/>
    <col min="11547" max="11548" width="10.7109375" style="231" customWidth="1"/>
    <col min="11549" max="11551" width="10.7109375" style="231"/>
    <col min="11552" max="11552" width="10.7109375" style="231" customWidth="1"/>
    <col min="11553" max="11553" width="10.7109375" style="231"/>
    <col min="11554" max="11554" width="10.7109375" style="231" customWidth="1"/>
    <col min="11555" max="11559" width="10.7109375" style="231"/>
    <col min="11560" max="11560" width="10.7109375" style="231" customWidth="1"/>
    <col min="11561" max="11561" width="10.7109375" style="231"/>
    <col min="11562" max="11562" width="10.7109375" style="231" customWidth="1"/>
    <col min="11563" max="11567" width="10.7109375" style="231"/>
    <col min="11568" max="11568" width="10.7109375" style="231" customWidth="1"/>
    <col min="11569" max="11578" width="10.7109375" style="231"/>
    <col min="11579" max="11579" width="10.7109375" style="231" customWidth="1"/>
    <col min="11580" max="11580" width="10.7109375" style="231"/>
    <col min="11581" max="11581" width="10.7109375" style="231" customWidth="1"/>
    <col min="11582" max="11583" width="10.7109375" style="231"/>
    <col min="11584" max="11584" width="10.7109375" style="231" customWidth="1"/>
    <col min="11585" max="11586" width="10.7109375" style="231"/>
    <col min="11587" max="11587" width="10.7109375" style="231" customWidth="1"/>
    <col min="11588" max="11588" width="10.7109375" style="231"/>
    <col min="11589" max="11589" width="10.7109375" style="231" customWidth="1"/>
    <col min="11590" max="11591" width="10.7109375" style="231"/>
    <col min="11592" max="11592" width="10.7109375" style="231" customWidth="1"/>
    <col min="11593" max="11593" width="10.7109375" style="231"/>
    <col min="11594" max="11594" width="10.7109375" style="231" customWidth="1"/>
    <col min="11595" max="11604" width="10.7109375" style="231"/>
    <col min="11605" max="11605" width="10.7109375" style="231" customWidth="1"/>
    <col min="11606" max="11609" width="10.7109375" style="231"/>
    <col min="11610" max="11610" width="10.7109375" style="231" customWidth="1"/>
    <col min="11611" max="11615" width="10.7109375" style="231"/>
    <col min="11616" max="11616" width="10.7109375" style="231" customWidth="1"/>
    <col min="11617" max="11620" width="10.7109375" style="231"/>
    <col min="11621" max="11621" width="10.7109375" style="231" customWidth="1"/>
    <col min="11622" max="11623" width="10.7109375" style="231"/>
    <col min="11624" max="11624" width="10.7109375" style="231" customWidth="1"/>
    <col min="11625" max="11675" width="10.7109375" style="231"/>
    <col min="11676" max="11676" width="10.7109375" style="231" customWidth="1"/>
    <col min="11677" max="11696" width="10.7109375" style="231"/>
    <col min="11697" max="11697" width="10.7109375" style="231" customWidth="1"/>
    <col min="11698" max="11706" width="10.7109375" style="231"/>
    <col min="11707" max="11707" width="10.7109375" style="231" customWidth="1"/>
    <col min="11708" max="11711" width="10.7109375" style="231"/>
    <col min="11712" max="11713" width="10.7109375" style="231" customWidth="1"/>
    <col min="11714" max="11719" width="10.7109375" style="231"/>
    <col min="11720" max="11720" width="10.7109375" style="231" customWidth="1"/>
    <col min="11721" max="11726" width="10.7109375" style="231"/>
    <col min="11727" max="11727" width="10.7109375" style="231" customWidth="1"/>
    <col min="11728" max="11735" width="10.7109375" style="231"/>
    <col min="11736" max="11737" width="10.7109375" style="231" customWidth="1"/>
    <col min="11738" max="11745" width="10.7109375" style="231"/>
    <col min="11746" max="11746" width="10.7109375" style="231" customWidth="1"/>
    <col min="11747" max="11753" width="10.7109375" style="231"/>
    <col min="11754" max="11754" width="10.7109375" style="231" customWidth="1"/>
    <col min="11755" max="11796" width="10.7109375" style="231"/>
    <col min="11797" max="11797" width="10.7109375" style="231" customWidth="1"/>
    <col min="11798" max="11799" width="10.7109375" style="231"/>
    <col min="11800" max="11800" width="10.7109375" style="231" customWidth="1"/>
    <col min="11801" max="11804" width="10.7109375" style="231"/>
    <col min="11805" max="11805" width="10.7109375" style="231" customWidth="1"/>
    <col min="11806" max="11807" width="10.7109375" style="231"/>
    <col min="11808" max="11808" width="10.7109375" style="231" customWidth="1"/>
    <col min="11809" max="11812" width="10.7109375" style="231"/>
    <col min="11813" max="11813" width="10.7109375" style="231" customWidth="1"/>
    <col min="11814" max="11815" width="10.7109375" style="231"/>
    <col min="11816" max="11816" width="10.7109375" style="231" customWidth="1"/>
    <col min="11817" max="11817" width="10.7109375" style="231"/>
    <col min="11818" max="11819" width="10.7109375" style="231" customWidth="1"/>
    <col min="11820" max="11823" width="10.7109375" style="231"/>
    <col min="11824" max="11824" width="10.7109375" style="231" customWidth="1"/>
    <col min="11825" max="11826" width="10.7109375" style="231"/>
    <col min="11827" max="11827" width="10.7109375" style="231" customWidth="1"/>
    <col min="11828" max="11830" width="10.7109375" style="231"/>
    <col min="11831" max="11832" width="10.7109375" style="231" customWidth="1"/>
    <col min="11833" max="11833" width="10.7109375" style="231"/>
    <col min="11834" max="11835" width="10.7109375" style="231" customWidth="1"/>
    <col min="11836" max="11836" width="10.7109375" style="231"/>
    <col min="11837" max="11840" width="10.7109375" style="231" customWidth="1"/>
    <col min="11841" max="11841" width="10.7109375" style="231"/>
    <col min="11842" max="11842" width="10.7109375" style="231" customWidth="1"/>
    <col min="11843" max="11844" width="10.7109375" style="231"/>
    <col min="11845" max="11846" width="10.7109375" style="231" customWidth="1"/>
    <col min="11847" max="11847" width="10.7109375" style="231"/>
    <col min="11848" max="11848" width="10.7109375" style="231" customWidth="1"/>
    <col min="11849" max="11849" width="10.7109375" style="231"/>
    <col min="11850" max="11850" width="10.7109375" style="231" customWidth="1"/>
    <col min="11851" max="11855" width="10.7109375" style="231"/>
    <col min="11856" max="11856" width="10.7109375" style="231" customWidth="1"/>
    <col min="11857" max="11860" width="10.7109375" style="231"/>
    <col min="11861" max="11861" width="10.7109375" style="231" customWidth="1"/>
    <col min="11862" max="11895" width="10.7109375" style="231"/>
    <col min="11896" max="11896" width="10.7109375" style="231" customWidth="1"/>
    <col min="11897" max="11903" width="10.7109375" style="231"/>
    <col min="11904" max="11905" width="10.7109375" style="231" customWidth="1"/>
    <col min="11906" max="11906" width="10.7109375" style="231"/>
    <col min="11907" max="11908" width="10.7109375" style="231" customWidth="1"/>
    <col min="11909" max="11911" width="10.7109375" style="231"/>
    <col min="11912" max="11912" width="10.7109375" style="231" customWidth="1"/>
    <col min="11913" max="11919" width="10.7109375" style="231"/>
    <col min="11920" max="11920" width="10.7109375" style="231" customWidth="1"/>
    <col min="11921" max="11921" width="10.7109375" style="231"/>
    <col min="11922" max="11922" width="10.7109375" style="231" customWidth="1"/>
    <col min="11923" max="11923" width="10.7109375" style="231"/>
    <col min="11924" max="11924" width="10.7109375" style="231" customWidth="1"/>
    <col min="11925" max="11967" width="10.7109375" style="231"/>
    <col min="11968" max="11968" width="10.7109375" style="231" customWidth="1"/>
    <col min="11969" max="11971" width="10.7109375" style="231"/>
    <col min="11972" max="11973" width="10.7109375" style="231" customWidth="1"/>
    <col min="11974" max="11975" width="10.7109375" style="231"/>
    <col min="11976" max="11976" width="10.7109375" style="231" customWidth="1"/>
    <col min="11977" max="11991" width="10.7109375" style="231"/>
    <col min="11992" max="11993" width="10.7109375" style="231" customWidth="1"/>
    <col min="11994" max="11994" width="10.7109375" style="231"/>
    <col min="11995" max="11995" width="10.7109375" style="231" customWidth="1"/>
    <col min="11996" max="11999" width="10.7109375" style="231"/>
    <col min="12000" max="12000" width="10.7109375" style="231" customWidth="1"/>
    <col min="12001" max="12007" width="10.7109375" style="231"/>
    <col min="12008" max="12009" width="10.7109375" style="231" customWidth="1"/>
    <col min="12010" max="12013" width="10.7109375" style="231"/>
    <col min="12014" max="12015" width="10.7109375" style="231" customWidth="1"/>
    <col min="12016" max="12050" width="10.7109375" style="231"/>
    <col min="12051" max="12051" width="10.7109375" style="231" customWidth="1"/>
    <col min="12052" max="12052" width="10.7109375" style="231"/>
    <col min="12053" max="12054" width="10.7109375" style="231" customWidth="1"/>
    <col min="12055" max="12055" width="10.7109375" style="231"/>
    <col min="12056" max="12056" width="10.7109375" style="231" customWidth="1"/>
    <col min="12057" max="12057" width="10.7109375" style="231"/>
    <col min="12058" max="12059" width="10.7109375" style="231" customWidth="1"/>
    <col min="12060" max="12060" width="10.7109375" style="231"/>
    <col min="12061" max="12066" width="10.7109375" style="231" customWidth="1"/>
    <col min="12067" max="12070" width="10.7109375" style="231"/>
    <col min="12071" max="12073" width="10.7109375" style="231" customWidth="1"/>
    <col min="12074" max="12074" width="10.7109375" style="231"/>
    <col min="12075" max="12076" width="10.7109375" style="231" customWidth="1"/>
    <col min="12077" max="12079" width="10.7109375" style="231"/>
    <col min="12080" max="12080" width="10.7109375" style="231" customWidth="1"/>
    <col min="12081" max="12083" width="10.7109375" style="231"/>
    <col min="12084" max="12085" width="10.7109375" style="231" customWidth="1"/>
    <col min="12086" max="12087" width="10.7109375" style="231"/>
    <col min="12088" max="12088" width="10.7109375" style="231" customWidth="1"/>
    <col min="12089" max="12089" width="10.7109375" style="231"/>
    <col min="12090" max="12093" width="10.7109375" style="231" customWidth="1"/>
    <col min="12094" max="12095" width="10.7109375" style="231"/>
    <col min="12096" max="12098" width="10.7109375" style="231" customWidth="1"/>
    <col min="12099" max="12100" width="10.7109375" style="231"/>
    <col min="12101" max="12101" width="10.7109375" style="231" customWidth="1"/>
    <col min="12102" max="12103" width="10.7109375" style="231"/>
    <col min="12104" max="12105" width="10.7109375" style="231" customWidth="1"/>
    <col min="12106" max="12110" width="10.7109375" style="231"/>
    <col min="12111" max="12112" width="10.7109375" style="231" customWidth="1"/>
    <col min="12113" max="12142" width="10.7109375" style="231"/>
    <col min="12143" max="12143" width="10.7109375" style="231" customWidth="1"/>
    <col min="12144" max="12148" width="10.7109375" style="231"/>
    <col min="12149" max="12149" width="10.7109375" style="231" customWidth="1"/>
    <col min="12150" max="12150" width="10.7109375" style="231"/>
    <col min="12151" max="12153" width="10.7109375" style="231" customWidth="1"/>
    <col min="12154" max="12154" width="10.7109375" style="231"/>
    <col min="12155" max="12156" width="10.7109375" style="231" customWidth="1"/>
    <col min="12157" max="12159" width="10.7109375" style="231"/>
    <col min="12160" max="12160" width="10.7109375" style="231" customWidth="1"/>
    <col min="12161" max="12161" width="10.7109375" style="231"/>
    <col min="12162" max="12162" width="10.7109375" style="231" customWidth="1"/>
    <col min="12163" max="12163" width="10.7109375" style="231"/>
    <col min="12164" max="12165" width="10.7109375" style="231" customWidth="1"/>
    <col min="12166" max="12167" width="10.7109375" style="231"/>
    <col min="12168" max="12168" width="10.7109375" style="231" customWidth="1"/>
    <col min="12169" max="12169" width="10.7109375" style="231"/>
    <col min="12170" max="12173" width="10.7109375" style="231" customWidth="1"/>
    <col min="12174" max="12175" width="10.7109375" style="231"/>
    <col min="12176" max="12178" width="10.7109375" style="231" customWidth="1"/>
    <col min="12179" max="12180" width="10.7109375" style="231"/>
    <col min="12181" max="12181" width="10.7109375" style="231" customWidth="1"/>
    <col min="12182" max="12183" width="10.7109375" style="231"/>
    <col min="12184" max="12185" width="10.7109375" style="231" customWidth="1"/>
    <col min="12186" max="12190" width="10.7109375" style="231"/>
    <col min="12191" max="12193" width="10.7109375" style="231" customWidth="1"/>
    <col min="12194" max="12194" width="10.7109375" style="231"/>
    <col min="12195" max="12195" width="10.7109375" style="231" customWidth="1"/>
    <col min="12196" max="12196" width="10.7109375" style="231"/>
    <col min="12197" max="12200" width="10.7109375" style="231" customWidth="1"/>
    <col min="12201" max="12201" width="10.7109375" style="231"/>
    <col min="12202" max="12203" width="10.7109375" style="231" customWidth="1"/>
    <col min="12204" max="12204" width="10.7109375" style="231"/>
    <col min="12205" max="12208" width="10.7109375" style="231" customWidth="1"/>
    <col min="12209" max="12222" width="10.7109375" style="231"/>
    <col min="12223" max="12223" width="10.7109375" style="231" customWidth="1"/>
    <col min="12224" max="12241" width="10.7109375" style="231"/>
    <col min="12242" max="12243" width="10.7109375" style="231" customWidth="1"/>
    <col min="12244" max="12244" width="10.7109375" style="231"/>
    <col min="12245" max="12245" width="10.7109375" style="231" customWidth="1"/>
    <col min="12246" max="12247" width="10.7109375" style="231"/>
    <col min="12248" max="12248" width="10.7109375" style="231" customWidth="1"/>
    <col min="12249" max="12274" width="10.7109375" style="231"/>
    <col min="12275" max="12277" width="10.7109375" style="231" customWidth="1"/>
    <col min="12278" max="12279" width="10.7109375" style="231"/>
    <col min="12280" max="12282" width="10.7109375" style="231" customWidth="1"/>
    <col min="12283" max="12284" width="10.7109375" style="231"/>
    <col min="12285" max="12285" width="10.7109375" style="231" customWidth="1"/>
    <col min="12286" max="12287" width="10.7109375" style="231"/>
    <col min="12288" max="12289" width="10.7109375" style="231" customWidth="1"/>
    <col min="12290" max="12294" width="10.7109375" style="231"/>
    <col min="12295" max="12296" width="10.7109375" style="231" customWidth="1"/>
    <col min="12297" max="12297" width="10.7109375" style="231"/>
    <col min="12298" max="12298" width="10.7109375" style="231" customWidth="1"/>
    <col min="12299" max="12299" width="10.7109375" style="231"/>
    <col min="12300" max="12300" width="10.7109375" style="231" customWidth="1"/>
    <col min="12301" max="12302" width="10.7109375" style="231"/>
    <col min="12303" max="12307" width="10.7109375" style="231" customWidth="1"/>
    <col min="12308" max="12310" width="10.7109375" style="231"/>
    <col min="12311" max="12312" width="10.7109375" style="231" customWidth="1"/>
    <col min="12313" max="12314" width="10.7109375" style="231"/>
    <col min="12315" max="12315" width="10.7109375" style="231" customWidth="1"/>
    <col min="12316" max="12320" width="10.7109375" style="231"/>
    <col min="12321" max="12321" width="10.7109375" style="231" customWidth="1"/>
    <col min="12322" max="12326" width="10.7109375" style="231"/>
    <col min="12327" max="12328" width="10.7109375" style="231" customWidth="1"/>
    <col min="12329" max="12334" width="10.7109375" style="231"/>
    <col min="12335" max="12337" width="10.7109375" style="231" customWidth="1"/>
    <col min="12338" max="12338" width="10.7109375" style="231"/>
    <col min="12339" max="12339" width="10.7109375" style="231" customWidth="1"/>
    <col min="12340" max="12347" width="10.7109375" style="231"/>
    <col min="12348" max="12348" width="10.7109375" style="231" customWidth="1"/>
    <col min="12349" max="12378" width="10.7109375" style="231"/>
    <col min="12379" max="12379" width="10.7109375" style="231" customWidth="1"/>
    <col min="12380" max="12381" width="10.7109375" style="231"/>
    <col min="12382" max="12383" width="10.7109375" style="231" customWidth="1"/>
    <col min="12384" max="12385" width="10.7109375" style="231"/>
    <col min="12386" max="12386" width="10.7109375" style="231" customWidth="1"/>
    <col min="12387" max="12388" width="10.7109375" style="231"/>
    <col min="12389" max="12390" width="10.7109375" style="231" customWidth="1"/>
    <col min="12391" max="12394" width="10.7109375" style="231"/>
    <col min="12395" max="12395" width="10.7109375" style="231" customWidth="1"/>
    <col min="12396" max="12397" width="10.7109375" style="231"/>
    <col min="12398" max="12399" width="10.7109375" style="231" customWidth="1"/>
    <col min="12400" max="12402" width="10.7109375" style="231"/>
    <col min="12403" max="12403" width="10.7109375" style="231" customWidth="1"/>
    <col min="12404" max="12405" width="10.7109375" style="231"/>
    <col min="12406" max="12406" width="10.7109375" style="231" customWidth="1"/>
    <col min="12407" max="12410" width="10.7109375" style="231"/>
    <col min="12411" max="12411" width="10.7109375" style="231" customWidth="1"/>
    <col min="12412" max="12412" width="10.7109375" style="231"/>
    <col min="12413" max="12413" width="10.7109375" style="231" customWidth="1"/>
    <col min="12414" max="12422" width="10.7109375" style="231"/>
    <col min="12423" max="12424" width="10.7109375" style="231" customWidth="1"/>
    <col min="12425" max="12425" width="10.7109375" style="231"/>
    <col min="12426" max="12426" width="10.7109375" style="231" customWidth="1"/>
    <col min="12427" max="12430" width="10.7109375" style="231"/>
    <col min="12431" max="12432" width="10.7109375" style="231" customWidth="1"/>
    <col min="12433" max="12439" width="10.7109375" style="231"/>
    <col min="12440" max="12440" width="10.7109375" style="231" customWidth="1"/>
    <col min="12441" max="12441" width="10.7109375" style="231"/>
    <col min="12442" max="12444" width="10.7109375" style="231" customWidth="1"/>
    <col min="12445" max="12466" width="10.7109375" style="231"/>
    <col min="12467" max="12467" width="10.7109375" style="231" customWidth="1"/>
    <col min="12468" max="12468" width="10.7109375" style="231"/>
    <col min="12469" max="12469" width="10.7109375" style="231" customWidth="1"/>
    <col min="12470" max="12473" width="10.7109375" style="231"/>
    <col min="12474" max="12475" width="10.7109375" style="231" customWidth="1"/>
    <col min="12476" max="12494" width="10.7109375" style="231"/>
    <col min="12495" max="12495" width="10.7109375" style="231" customWidth="1"/>
    <col min="12496" max="12497" width="10.7109375" style="231"/>
    <col min="12498" max="12498" width="10.7109375" style="231" customWidth="1"/>
    <col min="12499" max="12503" width="10.7109375" style="231"/>
    <col min="12504" max="12504" width="10.7109375" style="231" customWidth="1"/>
    <col min="12505" max="12506" width="10.7109375" style="231"/>
    <col min="12507" max="12507" width="10.7109375" style="231" customWidth="1"/>
    <col min="12508" max="12509" width="10.7109375" style="231"/>
    <col min="12510" max="12510" width="10.7109375" style="231" customWidth="1"/>
    <col min="12511" max="12518" width="10.7109375" style="231"/>
    <col min="12519" max="12519" width="10.7109375" style="231" customWidth="1"/>
    <col min="12520" max="12525" width="10.7109375" style="231"/>
    <col min="12526" max="12527" width="10.7109375" style="231" customWidth="1"/>
    <col min="12528" max="12530" width="10.7109375" style="231"/>
    <col min="12531" max="12531" width="10.7109375" style="231" customWidth="1"/>
    <col min="12532" max="12533" width="10.7109375" style="231"/>
    <col min="12534" max="12534" width="10.7109375" style="231" customWidth="1"/>
    <col min="12535" max="12535" width="10.7109375" style="231"/>
    <col min="12536" max="12536" width="10.7109375" style="231" customWidth="1"/>
    <col min="12537" max="12537" width="10.7109375" style="231"/>
    <col min="12538" max="12538" width="10.7109375" style="231" customWidth="1"/>
    <col min="12539" max="12542" width="10.7109375" style="231"/>
    <col min="12543" max="12544" width="10.7109375" style="231" customWidth="1"/>
    <col min="12545" max="12546" width="10.7109375" style="231"/>
    <col min="12547" max="12547" width="10.7109375" style="231" customWidth="1"/>
    <col min="12548" max="12551" width="10.7109375" style="231"/>
    <col min="12552" max="12552" width="10.7109375" style="231" customWidth="1"/>
    <col min="12553" max="12553" width="10.7109375" style="231"/>
    <col min="12554" max="12554" width="10.7109375" style="231" customWidth="1"/>
    <col min="12555" max="12555" width="10.7109375" style="231"/>
    <col min="12556" max="12556" width="10.7109375" style="231" customWidth="1"/>
    <col min="12557" max="12559" width="10.7109375" style="231"/>
    <col min="12560" max="12560" width="10.7109375" style="231" customWidth="1"/>
    <col min="12561" max="12561" width="10.7109375" style="231"/>
    <col min="12562" max="12563" width="10.7109375" style="231" customWidth="1"/>
    <col min="12564" max="12567" width="10.7109375" style="231"/>
    <col min="12568" max="12568" width="10.7109375" style="231" customWidth="1"/>
    <col min="12569" max="12599" width="10.7109375" style="231"/>
    <col min="12600" max="12600" width="10.7109375" style="231" customWidth="1"/>
    <col min="12601" max="12606" width="10.7109375" style="231"/>
    <col min="12607" max="12607" width="10.7109375" style="231" customWidth="1"/>
    <col min="12608" max="12626" width="10.7109375" style="231"/>
    <col min="12627" max="12627" width="10.7109375" style="231" customWidth="1"/>
    <col min="12628" max="12633" width="10.7109375" style="231"/>
    <col min="12634" max="12634" width="10.7109375" style="231" customWidth="1"/>
    <col min="12635" max="12641" width="10.7109375" style="231"/>
    <col min="12642" max="12642" width="10.7109375" style="231" customWidth="1"/>
    <col min="12643" max="12643" width="10.7109375" style="231"/>
    <col min="12644" max="12645" width="10.7109375" style="231" customWidth="1"/>
    <col min="12646" max="12654" width="10.7109375" style="231"/>
    <col min="12655" max="12655" width="10.7109375" style="231" customWidth="1"/>
    <col min="12656" max="12658" width="10.7109375" style="231"/>
    <col min="12659" max="12660" width="10.7109375" style="231" customWidth="1"/>
    <col min="12661" max="12666" width="10.7109375" style="231"/>
    <col min="12667" max="12667" width="10.7109375" style="231" customWidth="1"/>
    <col min="12668" max="12671" width="10.7109375" style="231"/>
    <col min="12672" max="12672" width="10.7109375" style="231" customWidth="1"/>
    <col min="12673" max="12674" width="10.7109375" style="231"/>
    <col min="12675" max="12675" width="10.7109375" style="231" customWidth="1"/>
    <col min="12676" max="12679" width="10.7109375" style="231"/>
    <col min="12680" max="12681" width="10.7109375" style="231" customWidth="1"/>
    <col min="12682" max="12687" width="10.7109375" style="231"/>
    <col min="12688" max="12690" width="10.7109375" style="231" customWidth="1"/>
    <col min="12691" max="12691" width="10.7109375" style="231"/>
    <col min="12692" max="12692" width="10.7109375" style="231" customWidth="1"/>
    <col min="12693" max="12695" width="10.7109375" style="231"/>
    <col min="12696" max="12696" width="10.7109375" style="231" customWidth="1"/>
    <col min="12697" max="12702" width="10.7109375" style="231"/>
    <col min="12703" max="12703" width="10.7109375" style="231" customWidth="1"/>
    <col min="12704" max="12722" width="10.7109375" style="231"/>
    <col min="12723" max="12723" width="10.7109375" style="231" customWidth="1"/>
    <col min="12724" max="12724" width="10.7109375" style="231"/>
    <col min="12725" max="12725" width="10.7109375" style="231" customWidth="1"/>
    <col min="12726" max="12727" width="10.7109375" style="231"/>
    <col min="12728" max="12728" width="10.7109375" style="231" customWidth="1"/>
    <col min="12729" max="12730" width="10.7109375" style="231"/>
    <col min="12731" max="12731" width="10.7109375" style="231" customWidth="1"/>
    <col min="12732" max="12771" width="10.7109375" style="231"/>
    <col min="12772" max="12772" width="10.7109375" style="231" customWidth="1"/>
    <col min="12773" max="12779" width="10.7109375" style="231"/>
    <col min="12780" max="12780" width="10.7109375" style="231" customWidth="1"/>
    <col min="12781" max="12785" width="10.7109375" style="231"/>
    <col min="12786" max="12786" width="10.7109375" style="231" customWidth="1"/>
    <col min="12787" max="12796" width="10.7109375" style="231"/>
    <col min="12797" max="12797" width="10.7109375" style="231" customWidth="1"/>
    <col min="12798" max="12800" width="10.7109375" style="231"/>
    <col min="12801" max="12801" width="10.7109375" style="231" customWidth="1"/>
    <col min="12802" max="12807" width="10.7109375" style="231"/>
    <col min="12808" max="12808" width="10.7109375" style="231" customWidth="1"/>
    <col min="12809" max="12809" width="10.7109375" style="231"/>
    <col min="12810" max="12810" width="10.7109375" style="231" customWidth="1"/>
    <col min="12811" max="12817" width="10.7109375" style="231"/>
    <col min="12818" max="12821" width="10.7109375" style="231" customWidth="1"/>
    <col min="12822" max="12823" width="10.7109375" style="231"/>
    <col min="12824" max="12824" width="10.7109375" style="231" customWidth="1"/>
    <col min="12825" max="12846" width="10.7109375" style="231"/>
    <col min="12847" max="12847" width="10.7109375" style="231" customWidth="1"/>
    <col min="12848" max="12850" width="10.7109375" style="231"/>
    <col min="12851" max="12851" width="10.7109375" style="231" customWidth="1"/>
    <col min="12852" max="12855" width="10.7109375" style="231"/>
    <col min="12856" max="12856" width="10.7109375" style="231" customWidth="1"/>
    <col min="12857" max="12857" width="10.7109375" style="231"/>
    <col min="12858" max="12858" width="10.7109375" style="231" customWidth="1"/>
    <col min="12859" max="12859" width="10.7109375" style="231"/>
    <col min="12860" max="12860" width="10.7109375" style="231" customWidth="1"/>
    <col min="12861" max="12865" width="10.7109375" style="231"/>
    <col min="12866" max="12866" width="10.7109375" style="231" customWidth="1"/>
    <col min="12867" max="12871" width="10.7109375" style="231"/>
    <col min="12872" max="12873" width="10.7109375" style="231" customWidth="1"/>
    <col min="12874" max="12878" width="10.7109375" style="231"/>
    <col min="12879" max="12879" width="10.7109375" style="231" customWidth="1"/>
    <col min="12880" max="12880" width="10.7109375" style="231"/>
    <col min="12881" max="12881" width="10.7109375" style="231" customWidth="1"/>
    <col min="12882" max="12882" width="10.7109375" style="231"/>
    <col min="12883" max="12883" width="10.7109375" style="231" customWidth="1"/>
    <col min="12884" max="12886" width="10.7109375" style="231"/>
    <col min="12887" max="12888" width="10.7109375" style="231" customWidth="1"/>
    <col min="12889" max="12895" width="10.7109375" style="231"/>
    <col min="12896" max="12896" width="10.7109375" style="231" customWidth="1"/>
    <col min="12897" max="12897" width="10.7109375" style="231"/>
    <col min="12898" max="12898" width="10.7109375" style="231" customWidth="1"/>
    <col min="12899" max="12900" width="10.7109375" style="231"/>
    <col min="12901" max="12901" width="10.7109375" style="231" customWidth="1"/>
    <col min="12902" max="12906" width="10.7109375" style="231"/>
    <col min="12907" max="12907" width="10.7109375" style="231" customWidth="1"/>
    <col min="12908" max="12908" width="10.7109375" style="231"/>
    <col min="12909" max="12909" width="10.7109375" style="231" customWidth="1"/>
    <col min="12910" max="12910" width="10.7109375" style="231"/>
    <col min="12911" max="12911" width="10.7109375" style="231" customWidth="1"/>
    <col min="12912" max="12913" width="10.7109375" style="231"/>
    <col min="12914" max="12914" width="10.7109375" style="231" customWidth="1"/>
    <col min="12915" max="12919" width="10.7109375" style="231"/>
    <col min="12920" max="12920" width="10.7109375" style="231" customWidth="1"/>
    <col min="12921" max="12926" width="10.7109375" style="231"/>
    <col min="12927" max="12930" width="10.7109375" style="231" customWidth="1"/>
    <col min="12931" max="12938" width="10.7109375" style="231"/>
    <col min="12939" max="12939" width="10.7109375" style="231" customWidth="1"/>
    <col min="12940" max="12940" width="10.7109375" style="231"/>
    <col min="12941" max="12941" width="10.7109375" style="231" customWidth="1"/>
    <col min="12942" max="12944" width="10.7109375" style="231"/>
    <col min="12945" max="12945" width="10.7109375" style="231" customWidth="1"/>
    <col min="12946" max="12951" width="10.7109375" style="231"/>
    <col min="12952" max="12952" width="10.7109375" style="231" customWidth="1"/>
    <col min="12953" max="12953" width="10.7109375" style="231"/>
    <col min="12954" max="12954" width="10.7109375" style="231" customWidth="1"/>
    <col min="12955" max="12955" width="10.7109375" style="231"/>
    <col min="12956" max="12956" width="10.7109375" style="231" customWidth="1"/>
    <col min="12957" max="12977" width="10.7109375" style="231"/>
    <col min="12978" max="12978" width="10.7109375" style="231" customWidth="1"/>
    <col min="12979" max="12979" width="10.7109375" style="231"/>
    <col min="12980" max="12980" width="10.7109375" style="231" customWidth="1"/>
    <col min="12981" max="12984" width="10.7109375" style="231"/>
    <col min="12985" max="12985" width="10.7109375" style="231" customWidth="1"/>
    <col min="12986" max="12992" width="10.7109375" style="231"/>
    <col min="12993" max="12993" width="10.7109375" style="231" customWidth="1"/>
    <col min="12994" max="13002" width="10.7109375" style="231"/>
    <col min="13003" max="13003" width="10.7109375" style="231" customWidth="1"/>
    <col min="13004" max="13006" width="10.7109375" style="231"/>
    <col min="13007" max="13007" width="10.7109375" style="231" customWidth="1"/>
    <col min="13008" max="13008" width="10.7109375" style="231"/>
    <col min="13009" max="13010" width="10.7109375" style="231" customWidth="1"/>
    <col min="13011" max="13020" width="10.7109375" style="231"/>
    <col min="13021" max="13021" width="10.7109375" style="231" customWidth="1"/>
    <col min="13022" max="13031" width="10.7109375" style="231"/>
    <col min="13032" max="13032" width="10.7109375" style="231" customWidth="1"/>
    <col min="13033" max="13036" width="10.7109375" style="231"/>
    <col min="13037" max="13037" width="10.7109375" style="231" customWidth="1"/>
    <col min="13038" max="13040" width="10.7109375" style="231"/>
    <col min="13041" max="13042" width="10.7109375" style="231" customWidth="1"/>
    <col min="13043" max="13043" width="10.7109375" style="231"/>
    <col min="13044" max="13044" width="10.7109375" style="231" customWidth="1"/>
    <col min="13045" max="13047" width="10.7109375" style="231"/>
    <col min="13048" max="13048" width="10.7109375" style="231" customWidth="1"/>
    <col min="13049" max="13049" width="10.7109375" style="231"/>
    <col min="13050" max="13050" width="10.7109375" style="231" customWidth="1"/>
    <col min="13051" max="13051" width="10.7109375" style="231"/>
    <col min="13052" max="13053" width="10.7109375" style="231" customWidth="1"/>
    <col min="13054" max="13055" width="10.7109375" style="231"/>
    <col min="13056" max="13056" width="10.7109375" style="231" customWidth="1"/>
    <col min="13057" max="13059" width="10.7109375" style="231"/>
    <col min="13060" max="13061" width="10.7109375" style="231" customWidth="1"/>
    <col min="13062" max="13063" width="10.7109375" style="231"/>
    <col min="13064" max="13064" width="10.7109375" style="231" customWidth="1"/>
    <col min="13065" max="13065" width="10.7109375" style="231"/>
    <col min="13066" max="13066" width="10.7109375" style="231" customWidth="1"/>
    <col min="13067" max="13067" width="10.7109375" style="231"/>
    <col min="13068" max="13069" width="10.7109375" style="231" customWidth="1"/>
    <col min="13070" max="13071" width="10.7109375" style="231"/>
    <col min="13072" max="13073" width="10.7109375" style="231" customWidth="1"/>
    <col min="13074" max="13074" width="10.7109375" style="231"/>
    <col min="13075" max="13076" width="10.7109375" style="231" customWidth="1"/>
    <col min="13077" max="13079" width="10.7109375" style="231"/>
    <col min="13080" max="13080" width="10.7109375" style="231" customWidth="1"/>
    <col min="13081" max="13086" width="10.7109375" style="231"/>
    <col min="13087" max="13087" width="10.7109375" style="231" customWidth="1"/>
    <col min="13088" max="13102" width="10.7109375" style="231"/>
    <col min="13103" max="13103" width="10.7109375" style="231" customWidth="1"/>
    <col min="13104" max="13105" width="10.7109375" style="231"/>
    <col min="13106" max="13107" width="10.7109375" style="231" customWidth="1"/>
    <col min="13108" max="13114" width="10.7109375" style="231"/>
    <col min="13115" max="13115" width="10.7109375" style="231" customWidth="1"/>
    <col min="13116" max="13117" width="10.7109375" style="231"/>
    <col min="13118" max="13118" width="10.7109375" style="231" customWidth="1"/>
    <col min="13119" max="13134" width="10.7109375" style="231"/>
    <col min="13135" max="13135" width="10.7109375" style="231" customWidth="1"/>
    <col min="13136" max="13142" width="10.7109375" style="231"/>
    <col min="13143" max="13145" width="10.7109375" style="231" customWidth="1"/>
    <col min="13146" max="13147" width="10.7109375" style="231"/>
    <col min="13148" max="13148" width="10.7109375" style="231" customWidth="1"/>
    <col min="13149" max="13151" width="10.7109375" style="231"/>
    <col min="13152" max="13152" width="10.7109375" style="231" customWidth="1"/>
    <col min="13153" max="13153" width="10.7109375" style="231"/>
    <col min="13154" max="13154" width="10.7109375" style="231" customWidth="1"/>
    <col min="13155" max="13156" width="10.7109375" style="231"/>
    <col min="13157" max="13157" width="10.7109375" style="231" customWidth="1"/>
    <col min="13158" max="13162" width="10.7109375" style="231"/>
    <col min="13163" max="13165" width="10.7109375" style="231" customWidth="1"/>
    <col min="13166" max="13168" width="10.7109375" style="231"/>
    <col min="13169" max="13170" width="10.7109375" style="231" customWidth="1"/>
    <col min="13171" max="13171" width="10.7109375" style="231"/>
    <col min="13172" max="13172" width="10.7109375" style="231" customWidth="1"/>
    <col min="13173" max="13175" width="10.7109375" style="231"/>
    <col min="13176" max="13177" width="10.7109375" style="231" customWidth="1"/>
    <col min="13178" max="13182" width="10.7109375" style="231"/>
    <col min="13183" max="13185" width="10.7109375" style="231" customWidth="1"/>
    <col min="13186" max="13186" width="10.7109375" style="231"/>
    <col min="13187" max="13187" width="10.7109375" style="231" customWidth="1"/>
    <col min="13188" max="13188" width="10.7109375" style="231"/>
    <col min="13189" max="13192" width="10.7109375" style="231" customWidth="1"/>
    <col min="13193" max="13193" width="10.7109375" style="231"/>
    <col min="13194" max="13195" width="10.7109375" style="231" customWidth="1"/>
    <col min="13196" max="13196" width="10.7109375" style="231"/>
    <col min="13197" max="13200" width="10.7109375" style="231" customWidth="1"/>
    <col min="13201" max="13201" width="10.7109375" style="231"/>
    <col min="13202" max="13203" width="10.7109375" style="231" customWidth="1"/>
    <col min="13204" max="13207" width="10.7109375" style="231"/>
    <col min="13208" max="13208" width="10.7109375" style="231" customWidth="1"/>
    <col min="13209" max="13209" width="10.7109375" style="231"/>
    <col min="13210" max="13211" width="10.7109375" style="231" customWidth="1"/>
    <col min="13212" max="13214" width="10.7109375" style="231"/>
    <col min="13215" max="13215" width="10.7109375" style="231" customWidth="1"/>
    <col min="13216" max="13230" width="10.7109375" style="231"/>
    <col min="13231" max="13231" width="10.7109375" style="231" customWidth="1"/>
    <col min="13232" max="13233" width="10.7109375" style="231"/>
    <col min="13234" max="13236" width="10.7109375" style="231" customWidth="1"/>
    <col min="13237" max="13240" width="10.7109375" style="231"/>
    <col min="13241" max="13241" width="10.7109375" style="231" customWidth="1"/>
    <col min="13242" max="13248" width="10.7109375" style="231"/>
    <col min="13249" max="13249" width="10.7109375" style="231" customWidth="1"/>
    <col min="13250" max="13251" width="10.7109375" style="231"/>
    <col min="13252" max="13252" width="10.7109375" style="231" customWidth="1"/>
    <col min="13253" max="13258" width="10.7109375" style="231"/>
    <col min="13259" max="13259" width="10.7109375" style="231" customWidth="1"/>
    <col min="13260" max="13265" width="10.7109375" style="231"/>
    <col min="13266" max="13267" width="10.7109375" style="231" customWidth="1"/>
    <col min="13268" max="13271" width="10.7109375" style="231"/>
    <col min="13272" max="13272" width="10.7109375" style="231" customWidth="1"/>
    <col min="13273" max="13278" width="10.7109375" style="231"/>
    <col min="13279" max="13280" width="10.7109375" style="231" customWidth="1"/>
    <col min="13281" max="13286" width="10.7109375" style="231"/>
    <col min="13287" max="13288" width="10.7109375" style="231" customWidth="1"/>
    <col min="13289" max="13289" width="10.7109375" style="231"/>
    <col min="13290" max="13290" width="10.7109375" style="231" customWidth="1"/>
    <col min="13291" max="13292" width="10.7109375" style="231"/>
    <col min="13293" max="13293" width="10.7109375" style="231" customWidth="1"/>
    <col min="13294" max="13294" width="10.7109375" style="231"/>
    <col min="13295" max="13295" width="10.7109375" style="231" customWidth="1"/>
    <col min="13296" max="13297" width="10.7109375" style="231"/>
    <col min="13298" max="13299" width="10.7109375" style="231" customWidth="1"/>
    <col min="13300" max="13300" width="10.7109375" style="231"/>
    <col min="13301" max="13306" width="10.7109375" style="231" customWidth="1"/>
    <col min="13307" max="13310" width="10.7109375" style="231"/>
    <col min="13311" max="13312" width="10.7109375" style="231" customWidth="1"/>
    <col min="13313" max="13316" width="10.7109375" style="231"/>
    <col min="13317" max="13317" width="10.7109375" style="231" customWidth="1"/>
    <col min="13318" max="13318" width="10.7109375" style="231"/>
    <col min="13319" max="13322" width="10.7109375" style="231" customWidth="1"/>
    <col min="13323" max="13323" width="10.7109375" style="231"/>
    <col min="13324" max="13325" width="10.7109375" style="231" customWidth="1"/>
    <col min="13326" max="13327" width="10.7109375" style="231"/>
    <col min="13328" max="13328" width="10.7109375" style="231" customWidth="1"/>
    <col min="13329" max="13329" width="10.7109375" style="231"/>
    <col min="13330" max="13331" width="10.7109375" style="231" customWidth="1"/>
    <col min="13332" max="13332" width="10.7109375" style="231"/>
    <col min="13333" max="13333" width="10.7109375" style="231" customWidth="1"/>
    <col min="13334" max="13335" width="10.7109375" style="231"/>
    <col min="13336" max="13336" width="10.7109375" style="231" customWidth="1"/>
    <col min="13337" max="13338" width="10.7109375" style="231"/>
    <col min="13339" max="13339" width="10.7109375" style="231" customWidth="1"/>
    <col min="13340" max="13358" width="10.7109375" style="231"/>
    <col min="13359" max="13359" width="10.7109375" style="231" customWidth="1"/>
    <col min="13360" max="13362" width="10.7109375" style="231"/>
    <col min="13363" max="13363" width="10.7109375" style="231" customWidth="1"/>
    <col min="13364" max="13390" width="10.7109375" style="231"/>
    <col min="13391" max="13391" width="10.7109375" style="231" customWidth="1"/>
    <col min="13392" max="13394" width="10.7109375" style="231"/>
    <col min="13395" max="13395" width="10.7109375" style="231" customWidth="1"/>
    <col min="13396" max="13396" width="10.7109375" style="231"/>
    <col min="13397" max="13397" width="10.7109375" style="231" customWidth="1"/>
    <col min="13398" max="13401" width="10.7109375" style="231"/>
    <col min="13402" max="13402" width="10.7109375" style="231" customWidth="1"/>
    <col min="13403" max="13403" width="10.7109375" style="231"/>
    <col min="13404" max="13404" width="10.7109375" style="231" customWidth="1"/>
    <col min="13405" max="13407" width="10.7109375" style="231"/>
    <col min="13408" max="13408" width="10.7109375" style="231" customWidth="1"/>
    <col min="13409" max="13416" width="10.7109375" style="231"/>
    <col min="13417" max="13417" width="10.7109375" style="231" customWidth="1"/>
    <col min="13418" max="13422" width="10.7109375" style="231"/>
    <col min="13423" max="13423" width="10.7109375" style="231" customWidth="1"/>
    <col min="13424" max="13426" width="10.7109375" style="231"/>
    <col min="13427" max="13429" width="10.7109375" style="231" customWidth="1"/>
    <col min="13430" max="13431" width="10.7109375" style="231"/>
    <col min="13432" max="13432" width="10.7109375" style="231" customWidth="1"/>
    <col min="13433" max="13436" width="10.7109375" style="231"/>
    <col min="13437" max="13437" width="10.7109375" style="231" customWidth="1"/>
    <col min="13438" max="13439" width="10.7109375" style="231"/>
    <col min="13440" max="13440" width="10.7109375" style="231" customWidth="1"/>
    <col min="13441" max="13441" width="10.7109375" style="231"/>
    <col min="13442" max="13442" width="10.7109375" style="231" customWidth="1"/>
    <col min="13443" max="13447" width="10.7109375" style="231"/>
    <col min="13448" max="13449" width="10.7109375" style="231" customWidth="1"/>
    <col min="13450" max="13452" width="10.7109375" style="231"/>
    <col min="13453" max="13453" width="10.7109375" style="231" customWidth="1"/>
    <col min="13454" max="13454" width="10.7109375" style="231"/>
    <col min="13455" max="13456" width="10.7109375" style="231" customWidth="1"/>
    <col min="13457" max="13458" width="10.7109375" style="231"/>
    <col min="13459" max="13461" width="10.7109375" style="231" customWidth="1"/>
    <col min="13462" max="13463" width="10.7109375" style="231"/>
    <col min="13464" max="13468" width="10.7109375" style="231" customWidth="1"/>
    <col min="13469" max="13471" width="10.7109375" style="231"/>
    <col min="13472" max="13476" width="10.7109375" style="231" customWidth="1"/>
    <col min="13477" max="13479" width="10.7109375" style="231"/>
    <col min="13480" max="13482" width="10.7109375" style="231" customWidth="1"/>
    <col min="13483" max="13484" width="10.7109375" style="231"/>
    <col min="13485" max="13485" width="10.7109375" style="231" customWidth="1"/>
    <col min="13486" max="13487" width="10.7109375" style="231"/>
    <col min="13488" max="13488" width="10.7109375" style="231" customWidth="1"/>
    <col min="13489" max="13489" width="10.7109375" style="231"/>
    <col min="13490" max="13490" width="10.7109375" style="231" customWidth="1"/>
    <col min="13491" max="13492" width="10.7109375" style="231"/>
    <col min="13493" max="13493" width="10.7109375" style="231" customWidth="1"/>
    <col min="13494" max="13500" width="10.7109375" style="231"/>
    <col min="13501" max="13501" width="10.7109375" style="231" customWidth="1"/>
    <col min="13502" max="13502" width="10.7109375" style="231"/>
    <col min="13503" max="13503" width="10.7109375" style="231" customWidth="1"/>
    <col min="13504" max="13521" width="10.7109375" style="231"/>
    <col min="13522" max="13522" width="10.7109375" style="231" customWidth="1"/>
    <col min="13523" max="13524" width="10.7109375" style="231"/>
    <col min="13525" max="13525" width="10.7109375" style="231" customWidth="1"/>
    <col min="13526" max="13543" width="10.7109375" style="231"/>
    <col min="13544" max="13545" width="10.7109375" style="231" customWidth="1"/>
    <col min="13546" max="13550" width="10.7109375" style="231"/>
    <col min="13551" max="13551" width="10.7109375" style="231" customWidth="1"/>
    <col min="13552" max="13559" width="10.7109375" style="231"/>
    <col min="13560" max="13560" width="10.7109375" style="231" customWidth="1"/>
    <col min="13561" max="13561" width="10.7109375" style="231"/>
    <col min="13562" max="13565" width="10.7109375" style="231" customWidth="1"/>
    <col min="13566" max="13567" width="10.7109375" style="231"/>
    <col min="13568" max="13568" width="10.7109375" style="231" customWidth="1"/>
    <col min="13569" max="13584" width="10.7109375" style="231"/>
    <col min="13585" max="13585" width="10.7109375" style="231" customWidth="1"/>
    <col min="13586" max="13620" width="10.7109375" style="231"/>
    <col min="13621" max="13621" width="10.7109375" style="231" customWidth="1"/>
    <col min="13622" max="13623" width="10.7109375" style="231"/>
    <col min="13624" max="13624" width="10.7109375" style="231" customWidth="1"/>
    <col min="13625" max="13628" width="10.7109375" style="231"/>
    <col min="13629" max="13629" width="10.7109375" style="231" customWidth="1"/>
    <col min="13630" max="13630" width="10.7109375" style="231"/>
    <col min="13631" max="13632" width="10.7109375" style="231" customWidth="1"/>
    <col min="13633" max="13633" width="10.7109375" style="231"/>
    <col min="13634" max="13634" width="10.7109375" style="231" customWidth="1"/>
    <col min="13635" max="13637" width="10.7109375" style="231"/>
    <col min="13638" max="13638" width="10.7109375" style="231" customWidth="1"/>
    <col min="13639" max="13639" width="10.7109375" style="231"/>
    <col min="13640" max="13640" width="10.7109375" style="231" customWidth="1"/>
    <col min="13641" max="13641" width="10.7109375" style="231"/>
    <col min="13642" max="13642" width="10.7109375" style="231" customWidth="1"/>
    <col min="13643" max="13644" width="10.7109375" style="231"/>
    <col min="13645" max="13646" width="10.7109375" style="231" customWidth="1"/>
    <col min="13647" max="13647" width="10.7109375" style="231"/>
    <col min="13648" max="13648" width="10.7109375" style="231" customWidth="1"/>
    <col min="13649" max="13649" width="10.7109375" style="231"/>
    <col min="13650" max="13650" width="10.7109375" style="231" customWidth="1"/>
    <col min="13651" max="13651" width="10.7109375" style="231"/>
    <col min="13652" max="13652" width="10.7109375" style="231" customWidth="1"/>
    <col min="13653" max="13653" width="10.7109375" style="231"/>
    <col min="13654" max="13654" width="10.7109375" style="231" customWidth="1"/>
    <col min="13655" max="13655" width="10.7109375" style="231"/>
    <col min="13656" max="13657" width="10.7109375" style="231" customWidth="1"/>
    <col min="13658" max="13665" width="10.7109375" style="231"/>
    <col min="13666" max="13666" width="10.7109375" style="231" customWidth="1"/>
    <col min="13667" max="13671" width="10.7109375" style="231"/>
    <col min="13672" max="13674" width="10.7109375" style="231" customWidth="1"/>
    <col min="13675" max="13675" width="10.7109375" style="231"/>
    <col min="13676" max="13677" width="10.7109375" style="231" customWidth="1"/>
    <col min="13678" max="13679" width="10.7109375" style="231"/>
    <col min="13680" max="13680" width="10.7109375" style="231" customWidth="1"/>
    <col min="13681" max="13689" width="10.7109375" style="231"/>
    <col min="13690" max="13690" width="10.7109375" style="231" customWidth="1"/>
    <col min="13691" max="13713" width="10.7109375" style="231"/>
    <col min="13714" max="13714" width="10.7109375" style="231" customWidth="1"/>
    <col min="13715" max="13715" width="10.7109375" style="231"/>
    <col min="13716" max="13717" width="10.7109375" style="231" customWidth="1"/>
    <col min="13718" max="13719" width="10.7109375" style="231"/>
    <col min="13720" max="13722" width="10.7109375" style="231" customWidth="1"/>
    <col min="13723" max="13723" width="10.7109375" style="231"/>
    <col min="13724" max="13724" width="10.7109375" style="231" customWidth="1"/>
    <col min="13725" max="13728" width="10.7109375" style="231"/>
    <col min="13729" max="13730" width="10.7109375" style="231" customWidth="1"/>
    <col min="13731" max="13737" width="10.7109375" style="231"/>
    <col min="13738" max="13738" width="10.7109375" style="231" customWidth="1"/>
    <col min="13739" max="13739" width="10.7109375" style="231"/>
    <col min="13740" max="13740" width="10.7109375" style="231" customWidth="1"/>
    <col min="13741" max="13743" width="10.7109375" style="231"/>
    <col min="13744" max="13748" width="10.7109375" style="231" customWidth="1"/>
    <col min="13749" max="13751" width="10.7109375" style="231"/>
    <col min="13752" max="13752" width="10.7109375" style="231" customWidth="1"/>
    <col min="13753" max="13753" width="10.7109375" style="231"/>
    <col min="13754" max="13754" width="10.7109375" style="231" customWidth="1"/>
    <col min="13755" max="13755" width="10.7109375" style="231"/>
    <col min="13756" max="13757" width="10.7109375" style="231" customWidth="1"/>
    <col min="13758" max="13759" width="10.7109375" style="231"/>
    <col min="13760" max="13760" width="10.7109375" style="231" customWidth="1"/>
    <col min="13761" max="13767" width="10.7109375" style="231"/>
    <col min="13768" max="13769" width="10.7109375" style="231" customWidth="1"/>
    <col min="13770" max="13771" width="10.7109375" style="231"/>
    <col min="13772" max="13772" width="10.7109375" style="231" customWidth="1"/>
    <col min="13773" max="13773" width="10.7109375" style="231"/>
    <col min="13774" max="13774" width="10.7109375" style="231" customWidth="1"/>
    <col min="13775" max="13775" width="10.7109375" style="231"/>
    <col min="13776" max="13776" width="10.7109375" style="231" customWidth="1"/>
    <col min="13777" max="13777" width="10.7109375" style="231"/>
    <col min="13778" max="13778" width="10.7109375" style="231" customWidth="1"/>
    <col min="13779" max="13779" width="10.7109375" style="231"/>
    <col min="13780" max="13781" width="10.7109375" style="231" customWidth="1"/>
    <col min="13782" max="13783" width="10.7109375" style="231"/>
    <col min="13784" max="13784" width="10.7109375" style="231" customWidth="1"/>
    <col min="13785" max="13787" width="10.7109375" style="231"/>
    <col min="13788" max="13788" width="10.7109375" style="231" customWidth="1"/>
    <col min="13789" max="13793" width="10.7109375" style="231"/>
    <col min="13794" max="13794" width="10.7109375" style="231" customWidth="1"/>
    <col min="13795" max="13799" width="10.7109375" style="231"/>
    <col min="13800" max="13802" width="10.7109375" style="231" customWidth="1"/>
    <col min="13803" max="13806" width="10.7109375" style="231"/>
    <col min="13807" max="13808" width="10.7109375" style="231" customWidth="1"/>
    <col min="13809" max="13812" width="10.7109375" style="231"/>
    <col min="13813" max="13813" width="10.7109375" style="231" customWidth="1"/>
    <col min="13814" max="13814" width="10.7109375" style="231"/>
    <col min="13815" max="13816" width="10.7109375" style="231" customWidth="1"/>
    <col min="13817" max="13820" width="10.7109375" style="231"/>
    <col min="13821" max="13821" width="10.7109375" style="231" customWidth="1"/>
    <col min="13822" max="13823" width="10.7109375" style="231"/>
    <col min="13824" max="13824" width="10.7109375" style="231" customWidth="1"/>
    <col min="13825" max="13825" width="10.7109375" style="231"/>
    <col min="13826" max="13826" width="10.7109375" style="231" customWidth="1"/>
    <col min="13827" max="13831" width="10.7109375" style="231"/>
    <col min="13832" max="13832" width="10.7109375" style="231" customWidth="1"/>
    <col min="13833" max="13833" width="10.7109375" style="231"/>
    <col min="13834" max="13834" width="10.7109375" style="231" customWidth="1"/>
    <col min="13835" max="13839" width="10.7109375" style="231"/>
    <col min="13840" max="13841" width="10.7109375" style="231" customWidth="1"/>
    <col min="13842" max="13846" width="10.7109375" style="231"/>
    <col min="13847" max="13849" width="10.7109375" style="231" customWidth="1"/>
    <col min="13850" max="13850" width="10.7109375" style="231"/>
    <col min="13851" max="13851" width="10.7109375" style="231" customWidth="1"/>
    <col min="13852" max="13853" width="10.7109375" style="231"/>
    <col min="13854" max="13854" width="10.7109375" style="231" customWidth="1"/>
    <col min="13855" max="13857" width="10.7109375" style="231"/>
    <col min="13858" max="13858" width="10.7109375" style="231" customWidth="1"/>
    <col min="13859" max="13861" width="10.7109375" style="231"/>
    <col min="13862" max="13864" width="10.7109375" style="231" customWidth="1"/>
    <col min="13865" max="13865" width="10.7109375" style="231"/>
    <col min="13866" max="13866" width="10.7109375" style="231" customWidth="1"/>
    <col min="13867" max="13868" width="10.7109375" style="231"/>
    <col min="13869" max="13874" width="10.7109375" style="231" customWidth="1"/>
    <col min="13875" max="13878" width="10.7109375" style="231"/>
    <col min="13879" max="13879" width="10.7109375" style="231" customWidth="1"/>
    <col min="13880" max="13912" width="10.7109375" style="231"/>
    <col min="13913" max="13913" width="10.7109375" style="231" customWidth="1"/>
    <col min="13914" max="13919" width="10.7109375" style="231"/>
    <col min="13920" max="13920" width="10.7109375" style="231" customWidth="1"/>
    <col min="13921" max="13930" width="10.7109375" style="231"/>
    <col min="13931" max="13931" width="10.7109375" style="231" customWidth="1"/>
    <col min="13932" max="13933" width="10.7109375" style="231"/>
    <col min="13934" max="13935" width="10.7109375" style="231" customWidth="1"/>
    <col min="13936" max="13937" width="10.7109375" style="231"/>
    <col min="13938" max="13938" width="10.7109375" style="231" customWidth="1"/>
    <col min="13939" max="13941" width="10.7109375" style="231"/>
    <col min="13942" max="13944" width="10.7109375" style="231" customWidth="1"/>
    <col min="13945" max="13945" width="10.7109375" style="231"/>
    <col min="13946" max="13946" width="10.7109375" style="231" customWidth="1"/>
    <col min="13947" max="13950" width="10.7109375" style="231"/>
    <col min="13951" max="13951" width="10.7109375" style="231" customWidth="1"/>
    <col min="13952" max="13969" width="10.7109375" style="231"/>
    <col min="13970" max="13970" width="10.7109375" style="231" customWidth="1"/>
    <col min="13971" max="13972" width="10.7109375" style="231"/>
    <col min="13973" max="13973" width="10.7109375" style="231" customWidth="1"/>
    <col min="13974" max="13975" width="10.7109375" style="231"/>
    <col min="13976" max="13976" width="10.7109375" style="231" customWidth="1"/>
    <col min="13977" max="13977" width="10.7109375" style="231"/>
    <col min="13978" max="13979" width="10.7109375" style="231" customWidth="1"/>
    <col min="13980" max="13983" width="10.7109375" style="231"/>
    <col min="13984" max="13985" width="10.7109375" style="231" customWidth="1"/>
    <col min="13986" max="13990" width="10.7109375" style="231"/>
    <col min="13991" max="13992" width="10.7109375" style="231" customWidth="1"/>
    <col min="13993" max="13994" width="10.7109375" style="231"/>
    <col min="13995" max="13997" width="10.7109375" style="231" customWidth="1"/>
    <col min="13998" max="13999" width="10.7109375" style="231"/>
    <col min="14000" max="14000" width="10.7109375" style="231" customWidth="1"/>
    <col min="14001" max="14004" width="10.7109375" style="231"/>
    <col min="14005" max="14005" width="10.7109375" style="231" customWidth="1"/>
    <col min="14006" max="14007" width="10.7109375" style="231"/>
    <col min="14008" max="14008" width="10.7109375" style="231" customWidth="1"/>
    <col min="14009" max="14009" width="10.7109375" style="231"/>
    <col min="14010" max="14010" width="10.7109375" style="231" customWidth="1"/>
    <col min="14011" max="14012" width="10.7109375" style="231"/>
    <col min="14013" max="14013" width="10.7109375" style="231" customWidth="1"/>
    <col min="14014" max="14015" width="10.7109375" style="231"/>
    <col min="14016" max="14017" width="10.7109375" style="231" customWidth="1"/>
    <col min="14018" max="14020" width="10.7109375" style="231"/>
    <col min="14021" max="14021" width="10.7109375" style="231" customWidth="1"/>
    <col min="14022" max="14022" width="10.7109375" style="231"/>
    <col min="14023" max="14024" width="10.7109375" style="231" customWidth="1"/>
    <col min="14025" max="14025" width="10.7109375" style="231"/>
    <col min="14026" max="14029" width="10.7109375" style="231" customWidth="1"/>
    <col min="14030" max="14031" width="10.7109375" style="231"/>
    <col min="14032" max="14032" width="10.7109375" style="231" customWidth="1"/>
    <col min="14033" max="14033" width="10.7109375" style="231"/>
    <col min="14034" max="14034" width="10.7109375" style="231" customWidth="1"/>
    <col min="14035" max="14041" width="10.7109375" style="231"/>
    <col min="14042" max="14042" width="10.7109375" style="231" customWidth="1"/>
    <col min="14043" max="14043" width="10.7109375" style="231"/>
    <col min="14044" max="14044" width="10.7109375" style="231" customWidth="1"/>
    <col min="14045" max="14047" width="10.7109375" style="231"/>
    <col min="14048" max="14048" width="10.7109375" style="231" customWidth="1"/>
    <col min="14049" max="14057" width="10.7109375" style="231"/>
    <col min="14058" max="14058" width="10.7109375" style="231" customWidth="1"/>
    <col min="14059" max="14059" width="10.7109375" style="231"/>
    <col min="14060" max="14060" width="10.7109375" style="231" customWidth="1"/>
    <col min="14061" max="14064" width="10.7109375" style="231"/>
    <col min="14065" max="14065" width="10.7109375" style="231" customWidth="1"/>
    <col min="14066" max="14072" width="10.7109375" style="231"/>
    <col min="14073" max="14073" width="10.7109375" style="231" customWidth="1"/>
    <col min="14074" max="14075" width="10.7109375" style="231"/>
    <col min="14076" max="14076" width="10.7109375" style="231" customWidth="1"/>
    <col min="14077" max="14080" width="10.7109375" style="231"/>
    <col min="14081" max="14081" width="10.7109375" style="231" customWidth="1"/>
    <col min="14082" max="14087" width="10.7109375" style="231"/>
    <col min="14088" max="14088" width="10.7109375" style="231" customWidth="1"/>
    <col min="14089" max="14089" width="10.7109375" style="231"/>
    <col min="14090" max="14091" width="10.7109375" style="231" customWidth="1"/>
    <col min="14092" max="14095" width="10.7109375" style="231"/>
    <col min="14096" max="14097" width="10.7109375" style="231" customWidth="1"/>
    <col min="14098" max="14100" width="10.7109375" style="231"/>
    <col min="14101" max="14101" width="10.7109375" style="231" customWidth="1"/>
    <col min="14102" max="14103" width="10.7109375" style="231"/>
    <col min="14104" max="14104" width="10.7109375" style="231" customWidth="1"/>
    <col min="14105" max="14105" width="10.7109375" style="231"/>
    <col min="14106" max="14106" width="10.7109375" style="231" customWidth="1"/>
    <col min="14107" max="14107" width="10.7109375" style="231"/>
    <col min="14108" max="14108" width="10.7109375" style="231" customWidth="1"/>
    <col min="14109" max="14111" width="10.7109375" style="231"/>
    <col min="14112" max="14112" width="10.7109375" style="231" customWidth="1"/>
    <col min="14113" max="14118" width="10.7109375" style="231"/>
    <col min="14119" max="14120" width="10.7109375" style="231" customWidth="1"/>
    <col min="14121" max="14121" width="10.7109375" style="231"/>
    <col min="14122" max="14122" width="10.7109375" style="231" customWidth="1"/>
    <col min="14123" max="14123" width="10.7109375" style="231"/>
    <col min="14124" max="14124" width="10.7109375" style="231" customWidth="1"/>
    <col min="14125" max="14127" width="10.7109375" style="231"/>
    <col min="14128" max="14128" width="10.7109375" style="231" customWidth="1"/>
    <col min="14129" max="14129" width="10.7109375" style="231"/>
    <col min="14130" max="14131" width="10.7109375" style="231" customWidth="1"/>
    <col min="14132" max="14135" width="10.7109375" style="231"/>
    <col min="14136" max="14136" width="10.7109375" style="231" customWidth="1"/>
    <col min="14137" max="14139" width="10.7109375" style="231"/>
    <col min="14140" max="14141" width="10.7109375" style="231" customWidth="1"/>
    <col min="14142" max="14143" width="10.7109375" style="231"/>
    <col min="14144" max="14144" width="10.7109375" style="231" customWidth="1"/>
    <col min="14145" max="14151" width="10.7109375" style="231"/>
    <col min="14152" max="14152" width="10.7109375" style="231" customWidth="1"/>
    <col min="14153" max="14153" width="10.7109375" style="231"/>
    <col min="14154" max="14154" width="10.7109375" style="231" customWidth="1"/>
    <col min="14155" max="14155" width="10.7109375" style="231"/>
    <col min="14156" max="14156" width="10.7109375" style="231" customWidth="1"/>
    <col min="14157" max="14159" width="10.7109375" style="231"/>
    <col min="14160" max="14162" width="10.7109375" style="231" customWidth="1"/>
    <col min="14163" max="14163" width="10.7109375" style="231"/>
    <col min="14164" max="14164" width="10.7109375" style="231" customWidth="1"/>
    <col min="14165" max="14167" width="10.7109375" style="231"/>
    <col min="14168" max="14169" width="10.7109375" style="231" customWidth="1"/>
    <col min="14170" max="14172" width="10.7109375" style="231"/>
    <col min="14173" max="14173" width="10.7109375" style="231" customWidth="1"/>
    <col min="14174" max="14174" width="10.7109375" style="231"/>
    <col min="14175" max="14176" width="10.7109375" style="231" customWidth="1"/>
    <col min="14177" max="14180" width="10.7109375" style="231"/>
    <col min="14181" max="14181" width="10.7109375" style="231" customWidth="1"/>
    <col min="14182" max="14183" width="10.7109375" style="231"/>
    <col min="14184" max="14185" width="10.7109375" style="231" customWidth="1"/>
    <col min="14186" max="14186" width="10.7109375" style="231"/>
    <col min="14187" max="14188" width="10.7109375" style="231" customWidth="1"/>
    <col min="14189" max="14191" width="10.7109375" style="231"/>
    <col min="14192" max="14192" width="10.7109375" style="231" customWidth="1"/>
    <col min="14193" max="14195" width="10.7109375" style="231"/>
    <col min="14196" max="14197" width="10.7109375" style="231" customWidth="1"/>
    <col min="14198" max="14199" width="10.7109375" style="231"/>
    <col min="14200" max="14200" width="10.7109375" style="231" customWidth="1"/>
    <col min="14201" max="14201" width="10.7109375" style="231"/>
    <col min="14202" max="14205" width="10.7109375" style="231" customWidth="1"/>
    <col min="14206" max="14207" width="10.7109375" style="231"/>
    <col min="14208" max="14210" width="10.7109375" style="231" customWidth="1"/>
    <col min="14211" max="14211" width="10.7109375" style="231"/>
    <col min="14212" max="14212" width="10.7109375" style="231" customWidth="1"/>
    <col min="14213" max="14215" width="10.7109375" style="231"/>
    <col min="14216" max="14216" width="10.7109375" style="231" customWidth="1"/>
    <col min="14217" max="14223" width="10.7109375" style="231"/>
    <col min="14224" max="14225" width="10.7109375" style="231" customWidth="1"/>
    <col min="14226" max="14226" width="10.7109375" style="231"/>
    <col min="14227" max="14228" width="10.7109375" style="231" customWidth="1"/>
    <col min="14229" max="14231" width="10.7109375" style="231"/>
    <col min="14232" max="14232" width="10.7109375" style="231" customWidth="1"/>
    <col min="14233" max="14238" width="10.7109375" style="231"/>
    <col min="14239" max="14240" width="10.7109375" style="231" customWidth="1"/>
    <col min="14241" max="14246" width="10.7109375" style="231"/>
    <col min="14247" max="14248" width="10.7109375" style="231" customWidth="1"/>
    <col min="14249" max="14252" width="10.7109375" style="231"/>
    <col min="14253" max="14253" width="10.7109375" style="231" customWidth="1"/>
    <col min="14254" max="14255" width="10.7109375" style="231"/>
    <col min="14256" max="14256" width="10.7109375" style="231" customWidth="1"/>
    <col min="14257" max="14257" width="10.7109375" style="231"/>
    <col min="14258" max="14258" width="10.7109375" style="231" customWidth="1"/>
    <col min="14259" max="14259" width="10.7109375" style="231"/>
    <col min="14260" max="14260" width="10.7109375" style="231" customWidth="1"/>
    <col min="14261" max="14265" width="10.7109375" style="231"/>
    <col min="14266" max="14266" width="10.7109375" style="231" customWidth="1"/>
    <col min="14267" max="14271" width="10.7109375" style="231"/>
    <col min="14272" max="14272" width="10.7109375" style="231" customWidth="1"/>
    <col min="14273" max="14278" width="10.7109375" style="231"/>
    <col min="14279" max="14281" width="10.7109375" style="231" customWidth="1"/>
    <col min="14282" max="14284" width="10.7109375" style="231"/>
    <col min="14285" max="14288" width="10.7109375" style="231" customWidth="1"/>
    <col min="14289" max="14292" width="10.7109375" style="231"/>
    <col min="14293" max="14293" width="10.7109375" style="231" customWidth="1"/>
    <col min="14294" max="14295" width="10.7109375" style="231"/>
    <col min="14296" max="14296" width="10.7109375" style="231" customWidth="1"/>
    <col min="14297" max="14309" width="10.7109375" style="231"/>
    <col min="14310" max="14310" width="10.7109375" style="231" customWidth="1"/>
    <col min="14311" max="14312" width="10.7109375" style="231"/>
    <col min="14313" max="14314" width="10.7109375" style="231" customWidth="1"/>
    <col min="14315" max="14318" width="10.7109375" style="231"/>
    <col min="14319" max="14319" width="10.7109375" style="231" customWidth="1"/>
    <col min="14320" max="14328" width="10.7109375" style="231"/>
    <col min="14329" max="14329" width="10.7109375" style="231" customWidth="1"/>
    <col min="14330" max="14335" width="10.7109375" style="231"/>
    <col min="14336" max="14337" width="10.7109375" style="231" customWidth="1"/>
    <col min="14338" max="14338" width="10.7109375" style="231"/>
    <col min="14339" max="14339" width="10.7109375" style="231" customWidth="1"/>
    <col min="14340" max="14345" width="10.7109375" style="231"/>
    <col min="14346" max="14346" width="10.7109375" style="231" customWidth="1"/>
    <col min="14347" max="14352" width="10.7109375" style="231"/>
    <col min="14353" max="14353" width="10.7109375" style="231" customWidth="1"/>
    <col min="14354" max="14356" width="10.7109375" style="231"/>
    <col min="14357" max="14357" width="10.7109375" style="231" customWidth="1"/>
    <col min="14358" max="14359" width="10.7109375" style="231"/>
    <col min="14360" max="14360" width="10.7109375" style="231" customWidth="1"/>
    <col min="14361" max="14363" width="10.7109375" style="231"/>
    <col min="14364" max="14364" width="10.7109375" style="231" customWidth="1"/>
    <col min="14365" max="14368" width="10.7109375" style="231"/>
    <col min="14369" max="14369" width="10.7109375" style="231" customWidth="1"/>
    <col min="14370" max="14374" width="10.7109375" style="231"/>
    <col min="14375" max="14376" width="10.7109375" style="231" customWidth="1"/>
    <col min="14377" max="14380" width="10.7109375" style="231"/>
    <col min="14381" max="14381" width="10.7109375" style="231" customWidth="1"/>
    <col min="14382" max="14383" width="10.7109375" style="231"/>
    <col min="14384" max="14384" width="10.7109375" style="231" customWidth="1"/>
    <col min="14385" max="14388" width="10.7109375" style="231"/>
    <col min="14389" max="14389" width="10.7109375" style="231" customWidth="1"/>
    <col min="14390" max="14404" width="10.7109375" style="231"/>
    <col min="14405" max="14405" width="10.7109375" style="231" customWidth="1"/>
    <col min="14406" max="14407" width="10.7109375" style="231"/>
    <col min="14408" max="14408" width="10.7109375" style="231" customWidth="1"/>
    <col min="14409" max="14409" width="10.7109375" style="231"/>
    <col min="14410" max="14413" width="10.7109375" style="231" customWidth="1"/>
    <col min="14414" max="14415" width="10.7109375" style="231"/>
    <col min="14416" max="14420" width="10.7109375" style="231" customWidth="1"/>
    <col min="14421" max="14423" width="10.7109375" style="231"/>
    <col min="14424" max="14428" width="10.7109375" style="231" customWidth="1"/>
    <col min="14429" max="14431" width="10.7109375" style="231"/>
    <col min="14432" max="14434" width="10.7109375" style="231" customWidth="1"/>
    <col min="14435" max="14439" width="10.7109375" style="231"/>
    <col min="14440" max="14440" width="10.7109375" style="231" customWidth="1"/>
    <col min="14441" max="14441" width="10.7109375" style="231"/>
    <col min="14442" max="14442" width="10.7109375" style="231" customWidth="1"/>
    <col min="14443" max="14443" width="10.7109375" style="231"/>
    <col min="14444" max="14444" width="10.7109375" style="231" customWidth="1"/>
    <col min="14445" max="14447" width="10.7109375" style="231"/>
    <col min="14448" max="14449" width="10.7109375" style="231" customWidth="1"/>
    <col min="14450" max="14454" width="10.7109375" style="231"/>
    <col min="14455" max="14455" width="10.7109375" style="231" customWidth="1"/>
    <col min="14456" max="14458" width="10.7109375" style="231"/>
    <col min="14459" max="14459" width="10.7109375" style="231" customWidth="1"/>
    <col min="14460" max="14460" width="10.7109375" style="231"/>
    <col min="14461" max="14461" width="10.7109375" style="231" customWidth="1"/>
    <col min="14462" max="14471" width="10.7109375" style="231"/>
    <col min="14472" max="14472" width="10.7109375" style="231" customWidth="1"/>
    <col min="14473" max="14475" width="10.7109375" style="231"/>
    <col min="14476" max="14476" width="10.7109375" style="231" customWidth="1"/>
    <col min="14477" max="14479" width="10.7109375" style="231"/>
    <col min="14480" max="14480" width="10.7109375" style="231" customWidth="1"/>
    <col min="14481" max="14481" width="10.7109375" style="231"/>
    <col min="14482" max="14482" width="10.7109375" style="231" customWidth="1"/>
    <col min="14483" max="14489" width="10.7109375" style="231"/>
    <col min="14490" max="14491" width="10.7109375" style="231" customWidth="1"/>
    <col min="14492" max="14492" width="10.7109375" style="231"/>
    <col min="14493" max="14493" width="10.7109375" style="231" customWidth="1"/>
    <col min="14494" max="14503" width="10.7109375" style="231"/>
    <col min="14504" max="14504" width="10.7109375" style="231" customWidth="1"/>
    <col min="14505" max="14506" width="10.7109375" style="231"/>
    <col min="14507" max="14507" width="10.7109375" style="231" customWidth="1"/>
    <col min="14508" max="14511" width="10.7109375" style="231"/>
    <col min="14512" max="14512" width="10.7109375" style="231" customWidth="1"/>
    <col min="14513" max="14515" width="10.7109375" style="231"/>
    <col min="14516" max="14517" width="10.7109375" style="231" customWidth="1"/>
    <col min="14518" max="14519" width="10.7109375" style="231"/>
    <col min="14520" max="14522" width="10.7109375" style="231" customWidth="1"/>
    <col min="14523" max="14523" width="10.7109375" style="231"/>
    <col min="14524" max="14524" width="10.7109375" style="231" customWidth="1"/>
    <col min="14525" max="14527" width="10.7109375" style="231"/>
    <col min="14528" max="14530" width="10.7109375" style="231" customWidth="1"/>
    <col min="14531" max="14534" width="10.7109375" style="231"/>
    <col min="14535" max="14536" width="10.7109375" style="231" customWidth="1"/>
    <col min="14537" max="14540" width="10.7109375" style="231"/>
    <col min="14541" max="14541" width="10.7109375" style="231" customWidth="1"/>
    <col min="14542" max="14542" width="10.7109375" style="231"/>
    <col min="14543" max="14544" width="10.7109375" style="231" customWidth="1"/>
    <col min="14545" max="14553" width="10.7109375" style="231"/>
    <col min="14554" max="14554" width="10.7109375" style="231" customWidth="1"/>
    <col min="14555" max="14555" width="10.7109375" style="231"/>
    <col min="14556" max="14556" width="10.7109375" style="231" customWidth="1"/>
    <col min="14557" max="14560" width="10.7109375" style="231"/>
    <col min="14561" max="14561" width="10.7109375" style="231" customWidth="1"/>
    <col min="14562" max="14569" width="10.7109375" style="231"/>
    <col min="14570" max="14570" width="10.7109375" style="231" customWidth="1"/>
    <col min="14571" max="14576" width="10.7109375" style="231"/>
    <col min="14577" max="14577" width="10.7109375" style="231" customWidth="1"/>
    <col min="14578" max="14587" width="10.7109375" style="231"/>
    <col min="14588" max="14588" width="10.7109375" style="231" customWidth="1"/>
    <col min="14589" max="14598" width="10.7109375" style="231"/>
    <col min="14599" max="14601" width="10.7109375" style="231" customWidth="1"/>
    <col min="14602" max="14605" width="10.7109375" style="231"/>
    <col min="14606" max="14608" width="10.7109375" style="231" customWidth="1"/>
    <col min="14609" max="14609" width="10.7109375" style="231"/>
    <col min="14610" max="14611" width="10.7109375" style="231" customWidth="1"/>
    <col min="14612" max="14613" width="10.7109375" style="231"/>
    <col min="14614" max="14614" width="10.7109375" style="231" customWidth="1"/>
    <col min="14615" max="14617" width="10.7109375" style="231"/>
    <col min="14618" max="14619" width="10.7109375" style="231" customWidth="1"/>
    <col min="14620" max="14620" width="10.7109375" style="231"/>
    <col min="14621" max="14621" width="10.7109375" style="231" customWidth="1"/>
    <col min="14622" max="14630" width="10.7109375" style="231"/>
    <col min="14631" max="14632" width="10.7109375" style="231" customWidth="1"/>
    <col min="14633" max="14633" width="10.7109375" style="231"/>
    <col min="14634" max="14634" width="10.7109375" style="231" customWidth="1"/>
    <col min="14635" max="14638" width="10.7109375" style="231"/>
    <col min="14639" max="14640" width="10.7109375" style="231" customWidth="1"/>
    <col min="14641" max="14642" width="10.7109375" style="231"/>
    <col min="14643" max="14643" width="10.7109375" style="231" customWidth="1"/>
    <col min="14644" max="14644" width="10.7109375" style="231"/>
    <col min="14645" max="14645" width="10.7109375" style="231" customWidth="1"/>
    <col min="14646" max="14649" width="10.7109375" style="231"/>
    <col min="14650" max="14650" width="10.7109375" style="231" customWidth="1"/>
    <col min="14651" max="14651" width="10.7109375" style="231"/>
    <col min="14652" max="14652" width="10.7109375" style="231" customWidth="1"/>
    <col min="14653" max="14657" width="10.7109375" style="231"/>
    <col min="14658" max="14659" width="10.7109375" style="231" customWidth="1"/>
    <col min="14660" max="14663" width="10.7109375" style="231"/>
    <col min="14664" max="14664" width="10.7109375" style="231" customWidth="1"/>
    <col min="14665" max="14670" width="10.7109375" style="231"/>
    <col min="14671" max="14672" width="10.7109375" style="231" customWidth="1"/>
    <col min="14673" max="14674" width="10.7109375" style="231"/>
    <col min="14675" max="14677" width="10.7109375" style="231" customWidth="1"/>
    <col min="14678" max="14689" width="10.7109375" style="231"/>
    <col min="14690" max="14690" width="10.7109375" style="231" customWidth="1"/>
    <col min="14691" max="14695" width="10.7109375" style="231"/>
    <col min="14696" max="14697" width="10.7109375" style="231" customWidth="1"/>
    <col min="14698" max="14702" width="10.7109375" style="231"/>
    <col min="14703" max="14704" width="10.7109375" style="231" customWidth="1"/>
    <col min="14705" max="14705" width="10.7109375" style="231"/>
    <col min="14706" max="14707" width="10.7109375" style="231" customWidth="1"/>
    <col min="14708" max="14708" width="10.7109375" style="231"/>
    <col min="14709" max="14709" width="10.7109375" style="231" customWidth="1"/>
    <col min="14710" max="14711" width="10.7109375" style="231"/>
    <col min="14712" max="14716" width="10.7109375" style="231" customWidth="1"/>
    <col min="14717" max="14719" width="10.7109375" style="231"/>
    <col min="14720" max="14724" width="10.7109375" style="231" customWidth="1"/>
    <col min="14725" max="14727" width="10.7109375" style="231"/>
    <col min="14728" max="14730" width="10.7109375" style="231" customWidth="1"/>
    <col min="14731" max="14735" width="10.7109375" style="231"/>
    <col min="14736" max="14736" width="10.7109375" style="231" customWidth="1"/>
    <col min="14737" max="14737" width="10.7109375" style="231"/>
    <col min="14738" max="14738" width="10.7109375" style="231" customWidth="1"/>
    <col min="14739" max="14739" width="10.7109375" style="231"/>
    <col min="14740" max="14741" width="10.7109375" style="231" customWidth="1"/>
    <col min="14742" max="14743" width="10.7109375" style="231"/>
    <col min="14744" max="14744" width="10.7109375" style="231" customWidth="1"/>
    <col min="14745" max="14748" width="10.7109375" style="231"/>
    <col min="14749" max="14749" width="10.7109375" style="231" customWidth="1"/>
    <col min="14750" max="14750" width="10.7109375" style="231"/>
    <col min="14751" max="14752" width="10.7109375" style="231" customWidth="1"/>
    <col min="14753" max="14753" width="10.7109375" style="231"/>
    <col min="14754" max="14754" width="10.7109375" style="231" customWidth="1"/>
    <col min="14755" max="14759" width="10.7109375" style="231"/>
    <col min="14760" max="14761" width="10.7109375" style="231" customWidth="1"/>
    <col min="14762" max="14763" width="10.7109375" style="231"/>
    <col min="14764" max="14764" width="10.7109375" style="231" customWidth="1"/>
    <col min="14765" max="14767" width="10.7109375" style="231"/>
    <col min="14768" max="14768" width="10.7109375" style="231" customWidth="1"/>
    <col min="14769" max="14769" width="10.7109375" style="231"/>
    <col min="14770" max="14771" width="10.7109375" style="231" customWidth="1"/>
    <col min="14772" max="14772" width="10.7109375" style="231"/>
    <col min="14773" max="14773" width="10.7109375" style="231" customWidth="1"/>
    <col min="14774" max="14775" width="10.7109375" style="231"/>
    <col min="14776" max="14776" width="10.7109375" style="231" customWidth="1"/>
    <col min="14777" max="14780" width="10.7109375" style="231"/>
    <col min="14781" max="14781" width="10.7109375" style="231" customWidth="1"/>
    <col min="14782" max="14785" width="10.7109375" style="231"/>
    <col min="14786" max="14786" width="10.7109375" style="231" customWidth="1"/>
    <col min="14787" max="14791" width="10.7109375" style="231"/>
    <col min="14792" max="14793" width="10.7109375" style="231" customWidth="1"/>
    <col min="14794" max="14796" width="10.7109375" style="231"/>
    <col min="14797" max="14797" width="10.7109375" style="231" customWidth="1"/>
    <col min="14798" max="14798" width="10.7109375" style="231"/>
    <col min="14799" max="14802" width="10.7109375" style="231" customWidth="1"/>
    <col min="14803" max="14803" width="10.7109375" style="231"/>
    <col min="14804" max="14804" width="10.7109375" style="231" customWidth="1"/>
    <col min="14805" max="14809" width="10.7109375" style="231"/>
    <col min="14810" max="14811" width="10.7109375" style="231" customWidth="1"/>
    <col min="14812" max="14812" width="10.7109375" style="231"/>
    <col min="14813" max="14813" width="10.7109375" style="231" customWidth="1"/>
    <col min="14814" max="14815" width="10.7109375" style="231"/>
    <col min="14816" max="14816" width="10.7109375" style="231" customWidth="1"/>
    <col min="14817" max="14818" width="10.7109375" style="231"/>
    <col min="14819" max="14821" width="10.7109375" style="231" customWidth="1"/>
    <col min="14822" max="14823" width="10.7109375" style="231"/>
    <col min="14824" max="14824" width="10.7109375" style="231" customWidth="1"/>
    <col min="14825" max="14826" width="10.7109375" style="231"/>
    <col min="14827" max="14827" width="10.7109375" style="231" customWidth="1"/>
    <col min="14828" max="14828" width="10.7109375" style="231"/>
    <col min="14829" max="14829" width="10.7109375" style="231" customWidth="1"/>
    <col min="14830" max="14831" width="10.7109375" style="231"/>
    <col min="14832" max="14832" width="10.7109375" style="231" customWidth="1"/>
    <col min="14833" max="14836" width="10.7109375" style="231"/>
    <col min="14837" max="14837" width="10.7109375" style="231" customWidth="1"/>
    <col min="14838" max="14847" width="10.7109375" style="231"/>
    <col min="14848" max="14848" width="10.7109375" style="231" customWidth="1"/>
    <col min="14849" max="14864" width="10.7109375" style="231"/>
    <col min="14865" max="14866" width="10.7109375" style="231" customWidth="1"/>
    <col min="14867" max="14867" width="10.7109375" style="231"/>
    <col min="14868" max="14868" width="10.7109375" style="231" customWidth="1"/>
    <col min="14869" max="14871" width="10.7109375" style="231"/>
    <col min="14872" max="14872" width="10.7109375" style="231" customWidth="1"/>
    <col min="14873" max="14873" width="10.7109375" style="231"/>
    <col min="14874" max="14874" width="10.7109375" style="231" customWidth="1"/>
    <col min="14875" max="14875" width="10.7109375" style="231"/>
    <col min="14876" max="14876" width="10.7109375" style="231" customWidth="1"/>
    <col min="14877" max="14881" width="10.7109375" style="231"/>
    <col min="14882" max="14882" width="10.7109375" style="231" customWidth="1"/>
    <col min="14883" max="14887" width="10.7109375" style="231"/>
    <col min="14888" max="14888" width="10.7109375" style="231" customWidth="1"/>
    <col min="14889" max="14889" width="10.7109375" style="231"/>
    <col min="14890" max="14890" width="10.7109375" style="231" customWidth="1"/>
    <col min="14891" max="14891" width="10.7109375" style="231"/>
    <col min="14892" max="14894" width="10.7109375" style="231" customWidth="1"/>
    <col min="14895" max="14895" width="10.7109375" style="231"/>
    <col min="14896" max="14897" width="10.7109375" style="231" customWidth="1"/>
    <col min="14898" max="14898" width="10.7109375" style="231"/>
    <col min="14899" max="14899" width="10.7109375" style="231" customWidth="1"/>
    <col min="14900" max="14934" width="10.7109375" style="231"/>
    <col min="14935" max="14935" width="10.7109375" style="231" customWidth="1"/>
    <col min="14936" max="14943" width="10.7109375" style="231"/>
    <col min="14944" max="14944" width="10.7109375" style="231" customWidth="1"/>
    <col min="14945" max="14961" width="10.7109375" style="231"/>
    <col min="14962" max="14963" width="10.7109375" style="231" customWidth="1"/>
    <col min="14964" max="14967" width="10.7109375" style="231"/>
    <col min="14968" max="14969" width="10.7109375" style="231" customWidth="1"/>
    <col min="14970" max="14976" width="10.7109375" style="231"/>
    <col min="14977" max="14977" width="10.7109375" style="231" customWidth="1"/>
    <col min="14978" max="14981" width="10.7109375" style="231"/>
    <col min="14982" max="14984" width="10.7109375" style="231" customWidth="1"/>
    <col min="14985" max="14985" width="10.7109375" style="231"/>
    <col min="14986" max="14986" width="10.7109375" style="231" customWidth="1"/>
    <col min="14987" max="14988" width="10.7109375" style="231"/>
    <col min="14989" max="14992" width="10.7109375" style="231" customWidth="1"/>
    <col min="14993" max="14993" width="10.7109375" style="231"/>
    <col min="14994" max="14995" width="10.7109375" style="231" customWidth="1"/>
    <col min="14996" max="15001" width="10.7109375" style="231"/>
    <col min="15002" max="15003" width="10.7109375" style="231" customWidth="1"/>
    <col min="15004" max="15006" width="10.7109375" style="231"/>
    <col min="15007" max="15008" width="10.7109375" style="231" customWidth="1"/>
    <col min="15009" max="15014" width="10.7109375" style="231"/>
    <col min="15015" max="15016" width="10.7109375" style="231" customWidth="1"/>
    <col min="15017" max="15017" width="10.7109375" style="231"/>
    <col min="15018" max="15018" width="10.7109375" style="231" customWidth="1"/>
    <col min="15019" max="15019" width="10.7109375" style="231"/>
    <col min="15020" max="15020" width="10.7109375" style="231" customWidth="1"/>
    <col min="15021" max="15023" width="10.7109375" style="231"/>
    <col min="15024" max="15025" width="10.7109375" style="231" customWidth="1"/>
    <col min="15026" max="15026" width="10.7109375" style="231"/>
    <col min="15027" max="15028" width="10.7109375" style="231" customWidth="1"/>
    <col min="15029" max="15032" width="10.7109375" style="231"/>
    <col min="15033" max="15033" width="10.7109375" style="231" customWidth="1"/>
    <col min="15034" max="15034" width="10.7109375" style="231"/>
    <col min="15035" max="15036" width="10.7109375" style="231" customWidth="1"/>
    <col min="15037" max="15039" width="10.7109375" style="231"/>
    <col min="15040" max="15040" width="10.7109375" style="231" customWidth="1"/>
    <col min="15041" max="15041" width="10.7109375" style="231"/>
    <col min="15042" max="15045" width="10.7109375" style="231" customWidth="1"/>
    <col min="15046" max="15047" width="10.7109375" style="231"/>
    <col min="15048" max="15048" width="10.7109375" style="231" customWidth="1"/>
    <col min="15049" max="15049" width="10.7109375" style="231"/>
    <col min="15050" max="15051" width="10.7109375" style="231" customWidth="1"/>
    <col min="15052" max="15055" width="10.7109375" style="231"/>
    <col min="15056" max="15057" width="10.7109375" style="231" customWidth="1"/>
    <col min="15058" max="15064" width="10.7109375" style="231"/>
    <col min="15065" max="15065" width="10.7109375" style="231" customWidth="1"/>
    <col min="15066" max="15070" width="10.7109375" style="231"/>
    <col min="15071" max="15071" width="10.7109375" style="231" customWidth="1"/>
    <col min="15072" max="15082" width="10.7109375" style="231"/>
    <col min="15083" max="15083" width="10.7109375" style="231" customWidth="1"/>
    <col min="15084" max="15084" width="10.7109375" style="231"/>
    <col min="15085" max="15085" width="10.7109375" style="231" customWidth="1"/>
    <col min="15086" max="15086" width="10.7109375" style="231"/>
    <col min="15087" max="15087" width="10.7109375" style="231" customWidth="1"/>
    <col min="15088" max="15089" width="10.7109375" style="231"/>
    <col min="15090" max="15091" width="10.7109375" style="231" customWidth="1"/>
    <col min="15092" max="15098" width="10.7109375" style="231"/>
    <col min="15099" max="15099" width="10.7109375" style="231" customWidth="1"/>
    <col min="15100" max="15100" width="10.7109375" style="231"/>
    <col min="15101" max="15101" width="10.7109375" style="231" customWidth="1"/>
    <col min="15102" max="15103" width="10.7109375" style="231"/>
    <col min="15104" max="15105" width="10.7109375" style="231" customWidth="1"/>
    <col min="15106" max="15110" width="10.7109375" style="231"/>
    <col min="15111" max="15113" width="10.7109375" style="231" customWidth="1"/>
    <col min="15114" max="15115" width="10.7109375" style="231"/>
    <col min="15116" max="15116" width="10.7109375" style="231" customWidth="1"/>
    <col min="15117" max="15119" width="10.7109375" style="231"/>
    <col min="15120" max="15120" width="10.7109375" style="231" customWidth="1"/>
    <col min="15121" max="15139" width="10.7109375" style="231"/>
    <col min="15140" max="15140" width="10.7109375" style="231" customWidth="1"/>
    <col min="15141" max="15143" width="10.7109375" style="231"/>
    <col min="15144" max="15145" width="10.7109375" style="231" customWidth="1"/>
    <col min="15146" max="15152" width="10.7109375" style="231"/>
    <col min="15153" max="15153" width="10.7109375" style="231" customWidth="1"/>
    <col min="15154" max="15154" width="10.7109375" style="231"/>
    <col min="15155" max="15155" width="10.7109375" style="231" customWidth="1"/>
    <col min="15156" max="15156" width="10.7109375" style="231"/>
    <col min="15157" max="15157" width="10.7109375" style="231" customWidth="1"/>
    <col min="15158" max="15166" width="10.7109375" style="231"/>
    <col min="15167" max="15167" width="10.7109375" style="231" customWidth="1"/>
    <col min="15168" max="15182" width="10.7109375" style="231"/>
    <col min="15183" max="15183" width="10.7109375" style="231" customWidth="1"/>
    <col min="15184" max="15189" width="10.7109375" style="231"/>
    <col min="15190" max="15190" width="10.7109375" style="231" customWidth="1"/>
    <col min="15191" max="15191" width="10.7109375" style="231"/>
    <col min="15192" max="15192" width="10.7109375" style="231" customWidth="1"/>
    <col min="15193" max="15198" width="10.7109375" style="231"/>
    <col min="15199" max="15199" width="10.7109375" style="231" customWidth="1"/>
    <col min="15200" max="15217" width="10.7109375" style="231"/>
    <col min="15218" max="15218" width="10.7109375" style="231" customWidth="1"/>
    <col min="15219" max="15219" width="10.7109375" style="231"/>
    <col min="15220" max="15221" width="10.7109375" style="231" customWidth="1"/>
    <col min="15222" max="15223" width="10.7109375" style="231"/>
    <col min="15224" max="15224" width="10.7109375" style="231" customWidth="1"/>
    <col min="15225" max="15225" width="10.7109375" style="231"/>
    <col min="15226" max="15227" width="10.7109375" style="231" customWidth="1"/>
    <col min="15228" max="15232" width="10.7109375" style="231"/>
    <col min="15233" max="15233" width="10.7109375" style="231" customWidth="1"/>
    <col min="15234" max="15238" width="10.7109375" style="231"/>
    <col min="15239" max="15240" width="10.7109375" style="231" customWidth="1"/>
    <col min="15241" max="15243" width="10.7109375" style="231"/>
    <col min="15244" max="15245" width="10.7109375" style="231" customWidth="1"/>
    <col min="15246" max="15247" width="10.7109375" style="231"/>
    <col min="15248" max="15248" width="10.7109375" style="231" customWidth="1"/>
    <col min="15249" max="15263" width="10.7109375" style="231"/>
    <col min="15264" max="15265" width="10.7109375" style="231" customWidth="1"/>
    <col min="15266" max="15270" width="10.7109375" style="231"/>
    <col min="15271" max="15272" width="10.7109375" style="231" customWidth="1"/>
    <col min="15273" max="15275" width="10.7109375" style="231"/>
    <col min="15276" max="15276" width="10.7109375" style="231" customWidth="1"/>
    <col min="15277" max="15279" width="10.7109375" style="231"/>
    <col min="15280" max="15283" width="10.7109375" style="231" customWidth="1"/>
    <col min="15284" max="15331" width="10.7109375" style="231"/>
    <col min="15332" max="15332" width="10.7109375" style="231" customWidth="1"/>
    <col min="15333" max="15344" width="10.7109375" style="231"/>
    <col min="15345" max="15345" width="10.7109375" style="231" customWidth="1"/>
    <col min="15346" max="15348" width="10.7109375" style="231"/>
    <col min="15349" max="15349" width="10.7109375" style="231" customWidth="1"/>
    <col min="15350" max="15351" width="10.7109375" style="231"/>
    <col min="15352" max="15353" width="10.7109375" style="231" customWidth="1"/>
    <col min="15354" max="15355" width="10.7109375" style="231"/>
    <col min="15356" max="15356" width="10.7109375" style="231" customWidth="1"/>
    <col min="15357" max="15359" width="10.7109375" style="231"/>
    <col min="15360" max="15361" width="10.7109375" style="231" customWidth="1"/>
    <col min="15362" max="15364" width="10.7109375" style="231"/>
    <col min="15365" max="15365" width="10.7109375" style="231" customWidth="1"/>
    <col min="15366" max="15366" width="10.7109375" style="231"/>
    <col min="15367" max="15370" width="10.7109375" style="231" customWidth="1"/>
    <col min="15371" max="15371" width="10.7109375" style="231"/>
    <col min="15372" max="15372" width="10.7109375" style="231" customWidth="1"/>
    <col min="15373" max="15373" width="10.7109375" style="231"/>
    <col min="15374" max="15374" width="10.7109375" style="231" customWidth="1"/>
    <col min="15375" max="15377" width="10.7109375" style="231"/>
    <col min="15378" max="15381" width="10.7109375" style="231" customWidth="1"/>
    <col min="15382" max="15383" width="10.7109375" style="231"/>
    <col min="15384" max="15384" width="10.7109375" style="231" customWidth="1"/>
    <col min="15385" max="15386" width="10.7109375" style="231"/>
    <col min="15387" max="15388" width="10.7109375" style="231" customWidth="1"/>
    <col min="15389" max="15391" width="10.7109375" style="231"/>
    <col min="15392" max="15392" width="10.7109375" style="231" customWidth="1"/>
    <col min="15393" max="15393" width="10.7109375" style="231"/>
    <col min="15394" max="15394" width="10.7109375" style="231" customWidth="1"/>
    <col min="15395" max="15395" width="10.7109375" style="231"/>
    <col min="15396" max="15396" width="10.7109375" style="231" customWidth="1"/>
    <col min="15397" max="15399" width="10.7109375" style="231"/>
    <col min="15400" max="15400" width="10.7109375" style="231" customWidth="1"/>
    <col min="15401" max="15403" width="10.7109375" style="231"/>
    <col min="15404" max="15404" width="10.7109375" style="231" customWidth="1"/>
    <col min="15405" max="15409" width="10.7109375" style="231"/>
    <col min="15410" max="15410" width="10.7109375" style="231" customWidth="1"/>
    <col min="15411" max="15413" width="10.7109375" style="231"/>
    <col min="15414" max="15414" width="10.7109375" style="231" customWidth="1"/>
    <col min="15415" max="15423" width="10.7109375" style="231"/>
    <col min="15424" max="15424" width="10.7109375" style="231" customWidth="1"/>
    <col min="15425" max="15427" width="10.7109375" style="231"/>
    <col min="15428" max="15428" width="10.7109375" style="231" customWidth="1"/>
    <col min="15429" max="15431" width="10.7109375" style="231"/>
    <col min="15432" max="15432" width="10.7109375" style="231" customWidth="1"/>
    <col min="15433" max="15436" width="10.7109375" style="231"/>
    <col min="15437" max="15437" width="10.7109375" style="231" customWidth="1"/>
    <col min="15438" max="15439" width="10.7109375" style="231"/>
    <col min="15440" max="15440" width="10.7109375" style="231" customWidth="1"/>
    <col min="15441" max="15449" width="10.7109375" style="231"/>
    <col min="15450" max="15451" width="10.7109375" style="231" customWidth="1"/>
    <col min="15452" max="15455" width="10.7109375" style="231"/>
    <col min="15456" max="15456" width="10.7109375" style="231" customWidth="1"/>
    <col min="15457" max="15457" width="10.7109375" style="231"/>
    <col min="15458" max="15458" width="10.7109375" style="231" customWidth="1"/>
    <col min="15459" max="15460" width="10.7109375" style="231"/>
    <col min="15461" max="15462" width="10.7109375" style="231" customWidth="1"/>
    <col min="15463" max="15463" width="10.7109375" style="231"/>
    <col min="15464" max="15464" width="10.7109375" style="231" customWidth="1"/>
    <col min="15465" max="15465" width="10.7109375" style="231"/>
    <col min="15466" max="15466" width="10.7109375" style="231" customWidth="1"/>
    <col min="15467" max="15467" width="10.7109375" style="231"/>
    <col min="15468" max="15468" width="10.7109375" style="231" customWidth="1"/>
    <col min="15469" max="15469" width="10.7109375" style="231"/>
    <col min="15470" max="15470" width="10.7109375" style="231" customWidth="1"/>
    <col min="15471" max="15471" width="10.7109375" style="231"/>
    <col min="15472" max="15473" width="10.7109375" style="231" customWidth="1"/>
    <col min="15474" max="15476" width="10.7109375" style="231"/>
    <col min="15477" max="15477" width="10.7109375" style="231" customWidth="1"/>
    <col min="15478" max="15487" width="10.7109375" style="231"/>
    <col min="15488" max="15488" width="10.7109375" style="231" customWidth="1"/>
    <col min="15489" max="15491" width="10.7109375" style="231"/>
    <col min="15492" max="15492" width="10.7109375" style="231" customWidth="1"/>
    <col min="15493" max="15495" width="10.7109375" style="231"/>
    <col min="15496" max="15497" width="10.7109375" style="231" customWidth="1"/>
    <col min="15498" max="15500" width="10.7109375" style="231"/>
    <col min="15501" max="15501" width="10.7109375" style="231" customWidth="1"/>
    <col min="15502" max="15503" width="10.7109375" style="231"/>
    <col min="15504" max="15504" width="10.7109375" style="231" customWidth="1"/>
    <col min="15505" max="15505" width="10.7109375" style="231"/>
    <col min="15506" max="15506" width="10.7109375" style="231" customWidth="1"/>
    <col min="15507" max="15507" width="10.7109375" style="231"/>
    <col min="15508" max="15508" width="10.7109375" style="231" customWidth="1"/>
    <col min="15509" max="15514" width="10.7109375" style="231"/>
    <col min="15515" max="15516" width="10.7109375" style="231" customWidth="1"/>
    <col min="15517" max="15519" width="10.7109375" style="231"/>
    <col min="15520" max="15522" width="10.7109375" style="231" customWidth="1"/>
    <col min="15523" max="15523" width="10.7109375" style="231"/>
    <col min="15524" max="15524" width="10.7109375" style="231" customWidth="1"/>
    <col min="15525" max="15527" width="10.7109375" style="231"/>
    <col min="15528" max="15528" width="10.7109375" style="231" customWidth="1"/>
    <col min="15529" max="15529" width="10.7109375" style="231"/>
    <col min="15530" max="15530" width="10.7109375" style="231" customWidth="1"/>
    <col min="15531" max="15531" width="10.7109375" style="231"/>
    <col min="15532" max="15533" width="10.7109375" style="231" customWidth="1"/>
    <col min="15534" max="15535" width="10.7109375" style="231"/>
    <col min="15536" max="15538" width="10.7109375" style="231" customWidth="1"/>
    <col min="15539" max="15543" width="10.7109375" style="231"/>
    <col min="15544" max="15545" width="10.7109375" style="231" customWidth="1"/>
    <col min="15546" max="15569" width="10.7109375" style="231"/>
    <col min="15570" max="15570" width="10.7109375" style="231" customWidth="1"/>
    <col min="15571" max="15575" width="10.7109375" style="231"/>
    <col min="15576" max="15577" width="10.7109375" style="231" customWidth="1"/>
    <col min="15578" max="15578" width="10.7109375" style="231"/>
    <col min="15579" max="15579" width="10.7109375" style="231" customWidth="1"/>
    <col min="15580" max="15583" width="10.7109375" style="231"/>
    <col min="15584" max="15585" width="10.7109375" style="231" customWidth="1"/>
    <col min="15586" max="15586" width="10.7109375" style="231"/>
    <col min="15587" max="15587" width="10.7109375" style="231" customWidth="1"/>
    <col min="15588" max="15589" width="10.7109375" style="231"/>
    <col min="15590" max="15590" width="10.7109375" style="231" customWidth="1"/>
    <col min="15591" max="15591" width="10.7109375" style="231"/>
    <col min="15592" max="15592" width="10.7109375" style="231" customWidth="1"/>
    <col min="15593" max="15593" width="10.7109375" style="231"/>
    <col min="15594" max="15594" width="10.7109375" style="231" customWidth="1"/>
    <col min="15595" max="15595" width="10.7109375" style="231"/>
    <col min="15596" max="15597" width="10.7109375" style="231" customWidth="1"/>
    <col min="15598" max="15599" width="10.7109375" style="231"/>
    <col min="15600" max="15600" width="10.7109375" style="231" customWidth="1"/>
    <col min="15601" max="15664" width="10.7109375" style="231"/>
    <col min="15665" max="15665" width="10.7109375" style="231" customWidth="1"/>
    <col min="15666" max="15671" width="10.7109375" style="231"/>
    <col min="15672" max="15672" width="10.7109375" style="231" customWidth="1"/>
    <col min="15673" max="15676" width="10.7109375" style="231"/>
    <col min="15677" max="15678" width="10.7109375" style="231" customWidth="1"/>
    <col min="15679" max="15690" width="10.7109375" style="231"/>
    <col min="15691" max="15691" width="10.7109375" style="231" customWidth="1"/>
    <col min="15692" max="15692" width="10.7109375" style="231"/>
    <col min="15693" max="15693" width="10.7109375" style="231" customWidth="1"/>
    <col min="15694" max="15694" width="10.7109375" style="231"/>
    <col min="15695" max="15695" width="10.7109375" style="231" customWidth="1"/>
    <col min="15696" max="15697" width="10.7109375" style="231"/>
    <col min="15698" max="15698" width="10.7109375" style="231" customWidth="1"/>
    <col min="15699" max="15701" width="10.7109375" style="231"/>
    <col min="15702" max="15702" width="10.7109375" style="231" customWidth="1"/>
    <col min="15703" max="15703" width="10.7109375" style="231"/>
    <col min="15704" max="15704" width="10.7109375" style="231" customWidth="1"/>
    <col min="15705" max="15708" width="10.7109375" style="231"/>
    <col min="15709" max="15710" width="10.7109375" style="231" customWidth="1"/>
    <col min="15711" max="15712" width="10.7109375" style="231"/>
    <col min="15713" max="15713" width="10.7109375" style="231" customWidth="1"/>
    <col min="15714" max="15722" width="10.7109375" style="231"/>
    <col min="15723" max="15725" width="10.7109375" style="231" customWidth="1"/>
    <col min="15726" max="15736" width="10.7109375" style="231"/>
    <col min="15737" max="15737" width="10.7109375" style="231" customWidth="1"/>
    <col min="15738" max="15738" width="10.7109375" style="231"/>
    <col min="15739" max="15739" width="10.7109375" style="231" customWidth="1"/>
    <col min="15740" max="15754" width="10.7109375" style="231"/>
    <col min="15755" max="15755" width="10.7109375" style="231" customWidth="1"/>
    <col min="15756" max="15760" width="10.7109375" style="231"/>
    <col min="15761" max="15761" width="10.7109375" style="231" customWidth="1"/>
    <col min="15762" max="15766" width="10.7109375" style="231"/>
    <col min="15767" max="15767" width="10.7109375" style="231" customWidth="1"/>
    <col min="15768" max="15770" width="10.7109375" style="231"/>
    <col min="15771" max="15771" width="10.7109375" style="231" customWidth="1"/>
    <col min="15772" max="15786" width="10.7109375" style="231"/>
    <col min="15787" max="15787" width="10.7109375" style="231" customWidth="1"/>
    <col min="15788" max="15788" width="10.7109375" style="231"/>
    <col min="15789" max="15789" width="10.7109375" style="231" customWidth="1"/>
    <col min="15790" max="15790" width="10.7109375" style="231"/>
    <col min="15791" max="15791" width="10.7109375" style="231" customWidth="1"/>
    <col min="15792" max="15793" width="10.7109375" style="231"/>
    <col min="15794" max="15795" width="10.7109375" style="231" customWidth="1"/>
    <col min="15796" max="15797" width="10.7109375" style="231"/>
    <col min="15798" max="15798" width="10.7109375" style="231" customWidth="1"/>
    <col min="15799" max="15801" width="10.7109375" style="231"/>
    <col min="15802" max="15802" width="10.7109375" style="231" customWidth="1"/>
    <col min="15803" max="15818" width="10.7109375" style="231"/>
    <col min="15819" max="15819" width="10.7109375" style="231" customWidth="1"/>
    <col min="15820" max="15820" width="10.7109375" style="231"/>
    <col min="15821" max="15821" width="10.7109375" style="231" customWidth="1"/>
    <col min="15822" max="15822" width="10.7109375" style="231"/>
    <col min="15823" max="15823" width="10.7109375" style="231" customWidth="1"/>
    <col min="15824" max="15824" width="10.7109375" style="231"/>
    <col min="15825" max="15826" width="10.7109375" style="231" customWidth="1"/>
    <col min="15827" max="15830" width="10.7109375" style="231"/>
    <col min="15831" max="15833" width="10.7109375" style="231" customWidth="1"/>
    <col min="15834" max="15834" width="10.7109375" style="231"/>
    <col min="15835" max="15836" width="10.7109375" style="231" customWidth="1"/>
    <col min="15837" max="15839" width="10.7109375" style="231"/>
    <col min="15840" max="15840" width="10.7109375" style="231" customWidth="1"/>
    <col min="15841" max="15841" width="10.7109375" style="231"/>
    <col min="15842" max="15842" width="10.7109375" style="231" customWidth="1"/>
    <col min="15843" max="15843" width="10.7109375" style="231"/>
    <col min="15844" max="15845" width="10.7109375" style="231" customWidth="1"/>
    <col min="15846" max="15847" width="10.7109375" style="231"/>
    <col min="15848" max="15848" width="10.7109375" style="231" customWidth="1"/>
    <col min="15849" max="15849" width="10.7109375" style="231"/>
    <col min="15850" max="15853" width="10.7109375" style="231" customWidth="1"/>
    <col min="15854" max="15855" width="10.7109375" style="231"/>
    <col min="15856" max="15857" width="10.7109375" style="231" customWidth="1"/>
    <col min="15858" max="15860" width="10.7109375" style="231"/>
    <col min="15861" max="15861" width="10.7109375" style="231" customWidth="1"/>
    <col min="15862" max="15863" width="10.7109375" style="231"/>
    <col min="15864" max="15865" width="10.7109375" style="231" customWidth="1"/>
    <col min="15866" max="15870" width="10.7109375" style="231"/>
    <col min="15871" max="15872" width="10.7109375" style="231" customWidth="1"/>
    <col min="15873" max="15873" width="10.7109375" style="231"/>
    <col min="15874" max="15874" width="10.7109375" style="231" customWidth="1"/>
    <col min="15875" max="15876" width="10.7109375" style="231"/>
    <col min="15877" max="15877" width="10.7109375" style="231" customWidth="1"/>
    <col min="15878" max="15878" width="10.7109375" style="231"/>
    <col min="15879" max="15880" width="10.7109375" style="231" customWidth="1"/>
    <col min="15881" max="15881" width="10.7109375" style="231"/>
    <col min="15882" max="15884" width="10.7109375" style="231" customWidth="1"/>
    <col min="15885" max="15886" width="10.7109375" style="231"/>
    <col min="15887" max="15889" width="10.7109375" style="231" customWidth="1"/>
    <col min="15890" max="15897" width="10.7109375" style="231"/>
    <col min="15898" max="15898" width="10.7109375" style="231" customWidth="1"/>
    <col min="15899" max="15921" width="10.7109375" style="231"/>
    <col min="15922" max="15922" width="10.7109375" style="231" customWidth="1"/>
    <col min="15923" max="15927" width="10.7109375" style="231"/>
    <col min="15928" max="15928" width="10.7109375" style="231" customWidth="1"/>
    <col min="15929" max="15931" width="10.7109375" style="231"/>
    <col min="15932" max="15933" width="10.7109375" style="231" customWidth="1"/>
    <col min="15934" max="15936" width="10.7109375" style="231"/>
    <col min="15937" max="15937" width="10.7109375" style="231" customWidth="1"/>
    <col min="15938" max="15950" width="10.7109375" style="231"/>
    <col min="15951" max="15951" width="10.7109375" style="231" customWidth="1"/>
    <col min="15952" max="15952" width="10.7109375" style="231"/>
    <col min="15953" max="15953" width="10.7109375" style="231" customWidth="1"/>
    <col min="15954" max="15954" width="10.7109375" style="231"/>
    <col min="15955" max="15955" width="10.7109375" style="231" customWidth="1"/>
    <col min="15956" max="15962" width="10.7109375" style="231"/>
    <col min="15963" max="15963" width="10.7109375" style="231" customWidth="1"/>
    <col min="15964" max="15964" width="10.7109375" style="231"/>
    <col min="15965" max="15965" width="10.7109375" style="231" customWidth="1"/>
    <col min="15966" max="15967" width="10.7109375" style="231"/>
    <col min="15968" max="15968" width="10.7109375" style="231" customWidth="1"/>
    <col min="15969" max="15970" width="10.7109375" style="231"/>
    <col min="15971" max="15971" width="10.7109375" style="231" customWidth="1"/>
    <col min="15972" max="15974" width="10.7109375" style="231"/>
    <col min="15975" max="15976" width="10.7109375" style="231" customWidth="1"/>
    <col min="15977" max="15981" width="10.7109375" style="231"/>
    <col min="15982" max="15984" width="10.7109375" style="231" customWidth="1"/>
    <col min="15985" max="15985" width="10.7109375" style="231"/>
    <col min="15986" max="15987" width="10.7109375" style="231" customWidth="1"/>
    <col min="15988" max="15989" width="10.7109375" style="231"/>
    <col min="15990" max="15990" width="10.7109375" style="231" customWidth="1"/>
    <col min="15991" max="15999" width="10.7109375" style="231"/>
    <col min="16000" max="16000" width="10.7109375" style="231" customWidth="1"/>
    <col min="16001" max="16002" width="10.7109375" style="231"/>
    <col min="16003" max="16003" width="10.7109375" style="231" customWidth="1"/>
    <col min="16004" max="16007" width="10.7109375" style="231"/>
    <col min="16008" max="16010" width="10.7109375" style="231" customWidth="1"/>
    <col min="16011" max="16014" width="10.7109375" style="231"/>
    <col min="16015" max="16017" width="10.7109375" style="231" customWidth="1"/>
    <col min="16018" max="16018" width="10.7109375" style="231"/>
    <col min="16019" max="16020" width="10.7109375" style="231" customWidth="1"/>
    <col min="16021" max="16023" width="10.7109375" style="231"/>
    <col min="16024" max="16024" width="10.7109375" style="231" customWidth="1"/>
    <col min="16025" max="16025" width="10.7109375" style="231"/>
    <col min="16026" max="16026" width="10.7109375" style="231" customWidth="1"/>
    <col min="16027" max="16027" width="10.7109375" style="231"/>
    <col min="16028" max="16029" width="10.7109375" style="231" customWidth="1"/>
    <col min="16030" max="16031" width="10.7109375" style="231"/>
    <col min="16032" max="16032" width="10.7109375" style="231" customWidth="1"/>
    <col min="16033" max="16033" width="10.7109375" style="231"/>
    <col min="16034" max="16034" width="10.7109375" style="231" customWidth="1"/>
    <col min="16035" max="16035" width="10.7109375" style="231"/>
    <col min="16036" max="16036" width="10.7109375" style="231" customWidth="1"/>
    <col min="16037" max="16048" width="10.7109375" style="231"/>
    <col min="16049" max="16049" width="10.7109375" style="231" customWidth="1"/>
    <col min="16050" max="16062" width="10.7109375" style="231"/>
    <col min="16063" max="16063" width="10.7109375" style="231" customWidth="1"/>
    <col min="16064" max="16078" width="10.7109375" style="231"/>
    <col min="16079" max="16079" width="10.7109375" style="231" customWidth="1"/>
    <col min="16080" max="16080" width="10.7109375" style="231"/>
    <col min="16081" max="16082" width="10.7109375" style="231" customWidth="1"/>
    <col min="16083" max="16092" width="10.7109375" style="231"/>
    <col min="16093" max="16093" width="10.7109375" style="231" customWidth="1"/>
    <col min="16094" max="16099" width="10.7109375" style="231"/>
    <col min="16100" max="16100" width="10.7109375" style="231" customWidth="1"/>
    <col min="16101" max="16113" width="10.7109375" style="231"/>
    <col min="16114" max="16116" width="10.7109375" style="231" customWidth="1"/>
    <col min="16117" max="16127" width="10.7109375" style="231"/>
    <col min="16128" max="16128" width="10.7109375" style="231" customWidth="1"/>
    <col min="16129" max="16135" width="10.7109375" style="231"/>
    <col min="16136" max="16137" width="10.7109375" style="231" customWidth="1"/>
    <col min="16138" max="16140" width="10.7109375" style="231"/>
    <col min="16141" max="16144" width="10.7109375" style="231" customWidth="1"/>
    <col min="16145" max="16145" width="10.7109375" style="231"/>
    <col min="16146" max="16147" width="10.7109375" style="231" customWidth="1"/>
    <col min="16148" max="16154" width="10.7109375" style="231"/>
    <col min="16155" max="16155" width="10.7109375" style="231" customWidth="1"/>
    <col min="16156" max="16156" width="10.7109375" style="231"/>
    <col min="16157" max="16157" width="10.7109375" style="231" customWidth="1"/>
    <col min="16158" max="16159" width="10.7109375" style="231"/>
    <col min="16160" max="16160" width="10.7109375" style="231" customWidth="1"/>
    <col min="16161" max="16162" width="10.7109375" style="231"/>
    <col min="16163" max="16163" width="10.7109375" style="231" customWidth="1"/>
    <col min="16164" max="16166" width="10.7109375" style="231"/>
    <col min="16167" max="16168" width="10.7109375" style="231" customWidth="1"/>
    <col min="16169" max="16173" width="10.7109375" style="231"/>
    <col min="16174" max="16176" width="10.7109375" style="231" customWidth="1"/>
    <col min="16177" max="16186" width="10.7109375" style="231"/>
    <col min="16187" max="16187" width="10.7109375" style="231" customWidth="1"/>
    <col min="16188" max="16189" width="10.7109375" style="231"/>
    <col min="16190" max="16191" width="10.7109375" style="231" customWidth="1"/>
    <col min="16192" max="16192" width="10.7109375" style="231"/>
    <col min="16193" max="16193" width="10.7109375" style="231" customWidth="1"/>
    <col min="16194" max="16198" width="10.7109375" style="231"/>
    <col min="16199" max="16199" width="10.7109375" style="231" customWidth="1"/>
    <col min="16200" max="16200" width="10.7109375" style="231"/>
    <col min="16201" max="16201" width="10.7109375" style="231" customWidth="1"/>
    <col min="16202" max="16203" width="10.7109375" style="231"/>
    <col min="16204" max="16204" width="10.7109375" style="231" customWidth="1"/>
    <col min="16205" max="16209" width="10.7109375" style="231"/>
    <col min="16210" max="16210" width="10.7109375" style="231" customWidth="1"/>
    <col min="16211" max="16211" width="10.7109375" style="231"/>
    <col min="16212" max="16212" width="10.7109375" style="231" customWidth="1"/>
    <col min="16213" max="16217" width="10.7109375" style="231"/>
    <col min="16218" max="16219" width="10.7109375" style="231" customWidth="1"/>
    <col min="16220" max="16231" width="10.7109375" style="231"/>
    <col min="16232" max="16233" width="10.7109375" style="231" customWidth="1"/>
    <col min="16234" max="16238" width="10.7109375" style="231"/>
    <col min="16239" max="16239" width="10.7109375" style="231" customWidth="1"/>
    <col min="16240" max="16243" width="10.7109375" style="231"/>
    <col min="16244" max="16244" width="10.7109375" style="231" customWidth="1"/>
    <col min="16245" max="16248" width="10.7109375" style="231"/>
    <col min="16249" max="16251" width="10.7109375" style="231" customWidth="1"/>
    <col min="16252" max="16255" width="10.7109375" style="231"/>
    <col min="16256" max="16259" width="10.7109375" style="231" customWidth="1"/>
    <col min="16260" max="16264" width="10.7109375" style="231"/>
    <col min="16265" max="16266" width="10.7109375" style="231" customWidth="1"/>
    <col min="16267" max="16270" width="10.7109375" style="231"/>
    <col min="16271" max="16271" width="10.7109375" style="231" customWidth="1"/>
    <col min="16272" max="16279" width="10.7109375" style="231"/>
    <col min="16280" max="16280" width="10.7109375" style="231" customWidth="1"/>
    <col min="16281" max="16304" width="10.7109375" style="231"/>
    <col min="16305" max="16305" width="10.7109375" style="231" customWidth="1"/>
    <col min="16306" max="16334" width="10.7109375" style="231"/>
    <col min="16335" max="16335" width="10.7109375" style="231" customWidth="1"/>
    <col min="16336" max="16346" width="10.7109375" style="231"/>
    <col min="16347" max="16347" width="10.7109375" style="231" customWidth="1"/>
    <col min="16348" max="16351" width="10.7109375" style="231"/>
    <col min="16352" max="16352" width="10.7109375" style="231" customWidth="1"/>
    <col min="16353" max="16361" width="10.7109375" style="231"/>
    <col min="16362" max="16362" width="10.7109375" style="231" customWidth="1"/>
    <col min="16363" max="16366" width="10.7109375" style="231"/>
    <col min="16367" max="16367" width="10.7109375" style="231" customWidth="1"/>
    <col min="16368" max="16369" width="10.7109375" style="231"/>
    <col min="16370" max="16371" width="10.7109375" style="231" customWidth="1"/>
    <col min="16372" max="16375" width="10.7109375" style="231"/>
    <col min="16376" max="16376" width="10.7109375" style="231" customWidth="1"/>
    <col min="16377" max="16382" width="10.7109375" style="231"/>
    <col min="16383" max="16383" width="10.7109375" style="231" customWidth="1"/>
    <col min="16384" max="16384" width="10.7109375" style="231"/>
  </cols>
  <sheetData>
    <row r="1" spans="1:160">
      <c r="A1" s="17" t="s">
        <v>4116</v>
      </c>
      <c r="B1" s="84"/>
      <c r="C1" s="84"/>
      <c r="D1" s="84"/>
      <c r="E1" s="84"/>
      <c r="F1" s="84"/>
      <c r="G1" s="84"/>
      <c r="H1" s="84"/>
      <c r="I1" s="84"/>
      <c r="J1" s="77"/>
      <c r="L1" s="4" t="s">
        <v>5289</v>
      </c>
      <c r="M1" s="10"/>
      <c r="N1" s="9"/>
      <c r="O1" s="10"/>
      <c r="P1" s="10"/>
      <c r="Q1" s="10"/>
      <c r="R1" s="10"/>
      <c r="S1" s="49"/>
      <c r="T1" s="49"/>
      <c r="U1" s="9"/>
      <c r="V1" s="9"/>
      <c r="W1" s="9"/>
      <c r="X1" s="4" t="s">
        <v>4002</v>
      </c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4" t="s">
        <v>4003</v>
      </c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4" t="s">
        <v>4004</v>
      </c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4" t="s">
        <v>3672</v>
      </c>
      <c r="BI1" s="9"/>
      <c r="BJ1" s="9"/>
      <c r="BK1" s="9"/>
      <c r="BL1" s="9"/>
      <c r="BM1" s="9"/>
      <c r="BN1" s="9"/>
      <c r="BO1" s="9"/>
      <c r="BP1" s="9"/>
      <c r="BQ1" s="9"/>
      <c r="BR1" s="9"/>
      <c r="BT1" s="4" t="s">
        <v>3673</v>
      </c>
      <c r="BU1" s="9"/>
      <c r="BV1" s="9"/>
      <c r="BW1" s="9"/>
      <c r="BX1" s="9"/>
      <c r="BY1" s="9"/>
      <c r="BZ1" s="9"/>
      <c r="CA1" s="9"/>
      <c r="CB1" s="9"/>
      <c r="CC1" s="9"/>
      <c r="CD1" s="9"/>
      <c r="CF1" s="4" t="s">
        <v>5290</v>
      </c>
      <c r="CG1" s="9"/>
      <c r="CH1" s="9"/>
      <c r="CI1" s="9"/>
      <c r="CJ1" s="9"/>
      <c r="CK1" s="9"/>
      <c r="CL1" s="9"/>
      <c r="CM1" s="9"/>
      <c r="CN1" s="9"/>
      <c r="CO1" s="9"/>
      <c r="CP1" s="9"/>
      <c r="CR1" s="4" t="s">
        <v>346</v>
      </c>
      <c r="CS1" s="9"/>
      <c r="CT1" s="9"/>
      <c r="CU1" s="9"/>
      <c r="CV1" s="9"/>
      <c r="CW1" s="9"/>
      <c r="CX1" s="9"/>
      <c r="CY1" s="9"/>
      <c r="CZ1" s="9"/>
      <c r="DA1" s="9"/>
      <c r="DB1" s="9"/>
      <c r="DD1" s="4" t="s">
        <v>461</v>
      </c>
      <c r="DE1" s="9"/>
      <c r="DF1" s="9"/>
      <c r="DG1" s="9"/>
      <c r="DH1" s="9"/>
      <c r="DI1" s="9"/>
      <c r="DJ1" s="9"/>
      <c r="DK1" s="9"/>
      <c r="DL1" s="9"/>
      <c r="DM1" s="9"/>
      <c r="DN1" s="9"/>
      <c r="DP1" s="4" t="s">
        <v>5503</v>
      </c>
      <c r="DQ1" s="9"/>
      <c r="DR1" s="9"/>
      <c r="DS1" s="9"/>
      <c r="DT1" s="9"/>
      <c r="DU1" s="9"/>
      <c r="DV1" s="9"/>
      <c r="DW1" s="9"/>
      <c r="DX1" s="9"/>
      <c r="DY1" s="9"/>
      <c r="DZ1" s="9"/>
      <c r="EB1" s="4" t="s">
        <v>5681</v>
      </c>
      <c r="EC1" s="9"/>
      <c r="ED1" s="9"/>
      <c r="EE1" s="9"/>
      <c r="EF1" s="9"/>
      <c r="EG1" s="9"/>
      <c r="EH1" s="9"/>
      <c r="EI1" s="9"/>
      <c r="EJ1" s="9"/>
      <c r="EK1" s="9"/>
      <c r="EL1" s="9"/>
      <c r="EN1" s="4" t="s">
        <v>5682</v>
      </c>
      <c r="EO1" s="9"/>
      <c r="EP1" s="9"/>
      <c r="EQ1" s="9"/>
      <c r="ER1" s="9"/>
      <c r="ES1" s="9"/>
      <c r="ET1" s="9"/>
      <c r="EU1" s="9"/>
      <c r="EV1" s="9"/>
      <c r="EW1" s="9"/>
      <c r="EX1" s="9"/>
    </row>
    <row r="2" spans="1:160">
      <c r="A2" s="20"/>
      <c r="B2" s="108"/>
      <c r="C2" s="108"/>
      <c r="D2" s="108"/>
      <c r="E2" s="108" t="s">
        <v>3674</v>
      </c>
      <c r="F2" s="108"/>
      <c r="G2" s="108"/>
      <c r="H2" s="109"/>
      <c r="I2" s="108" t="s">
        <v>3865</v>
      </c>
      <c r="J2" s="28"/>
      <c r="L2" s="17" t="s">
        <v>3866</v>
      </c>
      <c r="M2" s="84"/>
      <c r="N2" s="84"/>
      <c r="O2" s="84"/>
      <c r="P2" s="84"/>
      <c r="Q2" s="84"/>
      <c r="R2" s="84"/>
      <c r="S2" s="84"/>
      <c r="T2" s="84"/>
      <c r="U2" s="17" t="s">
        <v>5139</v>
      </c>
      <c r="V2" s="77"/>
      <c r="W2" s="185"/>
      <c r="X2" s="17" t="s">
        <v>5198</v>
      </c>
      <c r="Y2" s="84"/>
      <c r="Z2" s="84"/>
      <c r="AA2" s="84"/>
      <c r="AB2" s="84"/>
      <c r="AC2" s="84"/>
      <c r="AD2" s="84"/>
      <c r="AE2" s="84"/>
      <c r="AF2" s="84"/>
      <c r="AG2" s="17" t="s">
        <v>5139</v>
      </c>
      <c r="AH2" s="77"/>
      <c r="AI2" s="185"/>
      <c r="AJ2" s="17" t="s">
        <v>5198</v>
      </c>
      <c r="AK2" s="84"/>
      <c r="AL2" s="84"/>
      <c r="AM2" s="84"/>
      <c r="AN2" s="84"/>
      <c r="AO2" s="84"/>
      <c r="AP2" s="84"/>
      <c r="AQ2" s="84"/>
      <c r="AR2" s="84"/>
      <c r="AS2" s="17" t="s">
        <v>5139</v>
      </c>
      <c r="AT2" s="77"/>
      <c r="AU2" s="9"/>
      <c r="AV2" s="17" t="s">
        <v>5198</v>
      </c>
      <c r="AW2" s="84"/>
      <c r="AX2" s="84"/>
      <c r="AY2" s="84"/>
      <c r="AZ2" s="84"/>
      <c r="BA2" s="84"/>
      <c r="BB2" s="84"/>
      <c r="BC2" s="84"/>
      <c r="BD2" s="84"/>
      <c r="BE2" s="17" t="s">
        <v>5139</v>
      </c>
      <c r="BF2" s="77"/>
      <c r="BG2" s="185"/>
      <c r="BH2" s="17" t="s">
        <v>5198</v>
      </c>
      <c r="BI2" s="84"/>
      <c r="BJ2" s="84"/>
      <c r="BK2" s="84"/>
      <c r="BL2" s="84"/>
      <c r="BM2" s="84"/>
      <c r="BN2" s="84"/>
      <c r="BO2" s="84"/>
      <c r="BP2" s="84"/>
      <c r="BQ2" s="17" t="s">
        <v>5139</v>
      </c>
      <c r="BR2" s="77"/>
      <c r="BT2" s="17" t="s">
        <v>5198</v>
      </c>
      <c r="BU2" s="84"/>
      <c r="BV2" s="84"/>
      <c r="BW2" s="84" t="str">
        <f>IF(CharGenMain!$E$134&gt;4,"5. Spell Matrix"," ")</f>
        <v>5. Spell Matrix</v>
      </c>
      <c r="BX2" s="84"/>
      <c r="BY2" s="84"/>
      <c r="BZ2" s="84" t="str">
        <f>IF(CharGenMain!$E$134&gt;10,"10. Armored Matrix"," ")</f>
        <v xml:space="preserve"> </v>
      </c>
      <c r="CA2" s="84"/>
      <c r="CB2" s="84"/>
      <c r="CC2" s="17" t="s">
        <v>5139</v>
      </c>
      <c r="CD2" s="77"/>
      <c r="CF2" s="17" t="s">
        <v>5198</v>
      </c>
      <c r="CG2" s="84"/>
      <c r="CH2" s="84"/>
      <c r="CI2" s="84"/>
      <c r="CJ2" s="84"/>
      <c r="CK2" s="84"/>
      <c r="CL2" s="84"/>
      <c r="CM2" s="84"/>
      <c r="CN2" s="84"/>
      <c r="CO2" s="17" t="s">
        <v>5139</v>
      </c>
      <c r="CP2" s="77"/>
      <c r="CR2" s="17" t="s">
        <v>5198</v>
      </c>
      <c r="CS2" s="84"/>
      <c r="CT2" s="84"/>
      <c r="CU2" s="84"/>
      <c r="CV2" s="84"/>
      <c r="CW2" s="84"/>
      <c r="CX2" s="84"/>
      <c r="CY2" s="84"/>
      <c r="CZ2" s="84"/>
      <c r="DA2" s="17" t="s">
        <v>5139</v>
      </c>
      <c r="DB2" s="77"/>
      <c r="DD2" s="17" t="s">
        <v>5198</v>
      </c>
      <c r="DE2" s="84"/>
      <c r="DF2" s="84"/>
      <c r="DG2" s="84"/>
      <c r="DH2" s="84"/>
      <c r="DI2" s="84"/>
      <c r="DJ2" s="84"/>
      <c r="DK2" s="84"/>
      <c r="DL2" s="84"/>
      <c r="DM2" s="17" t="s">
        <v>5139</v>
      </c>
      <c r="DN2" s="77"/>
      <c r="DP2" s="17" t="s">
        <v>5198</v>
      </c>
      <c r="DQ2" s="84"/>
      <c r="DR2" s="84"/>
      <c r="DS2" s="84"/>
      <c r="DT2" s="84"/>
      <c r="DU2" s="84"/>
      <c r="DV2" s="84"/>
      <c r="DW2" s="84"/>
      <c r="DX2" s="84"/>
      <c r="DY2" s="17" t="s">
        <v>5139</v>
      </c>
      <c r="DZ2" s="77"/>
      <c r="EB2" s="17" t="s">
        <v>5198</v>
      </c>
      <c r="EC2" s="84"/>
      <c r="ED2" s="84"/>
      <c r="EE2" s="84"/>
      <c r="EF2" s="84"/>
      <c r="EG2" s="84"/>
      <c r="EH2" s="84"/>
      <c r="EI2" s="84"/>
      <c r="EJ2" s="84"/>
      <c r="EK2" s="17" t="s">
        <v>5139</v>
      </c>
      <c r="EL2" s="77"/>
      <c r="EN2" s="17" t="s">
        <v>5198</v>
      </c>
      <c r="EO2" s="84"/>
      <c r="EP2" s="84"/>
      <c r="EQ2" s="84"/>
      <c r="ER2" s="84"/>
      <c r="ES2" s="84"/>
      <c r="ET2" s="84"/>
      <c r="EU2" s="84"/>
      <c r="EV2" s="84"/>
      <c r="EW2" s="17" t="s">
        <v>5139</v>
      </c>
      <c r="EX2" s="77"/>
    </row>
    <row r="3" spans="1:160">
      <c r="A3" s="27" t="s">
        <v>3867</v>
      </c>
      <c r="B3" s="108" t="s">
        <v>5348</v>
      </c>
      <c r="C3" s="108" t="s">
        <v>5701</v>
      </c>
      <c r="D3" s="108" t="s">
        <v>5019</v>
      </c>
      <c r="E3" s="108" t="s">
        <v>3868</v>
      </c>
      <c r="F3" s="108" t="s">
        <v>5021</v>
      </c>
      <c r="G3" s="108" t="s">
        <v>5022</v>
      </c>
      <c r="H3" s="108" t="s">
        <v>5316</v>
      </c>
      <c r="I3" s="108" t="s">
        <v>3868</v>
      </c>
      <c r="J3" s="195" t="s">
        <v>3869</v>
      </c>
      <c r="L3" s="20" t="str">
        <f>IF(CharGenMain!$E$134&gt;0,"1. Spell Fetish"," ")</f>
        <v>1. Spell Fetish</v>
      </c>
      <c r="M3" s="21"/>
      <c r="N3" s="21"/>
      <c r="O3" s="21" t="str">
        <f>IF(CharGenMain!$E$134&gt;5,"5. Spell Fetish"," ")</f>
        <v>5. Spell Fetish</v>
      </c>
      <c r="P3" s="21"/>
      <c r="Q3" s="21"/>
      <c r="R3" s="21" t="str">
        <f>IF(CharGenMain!$E$134&gt;10,"9. Armored Fetish"," ")</f>
        <v xml:space="preserve"> </v>
      </c>
      <c r="S3" s="21"/>
      <c r="T3" s="21"/>
      <c r="U3" s="20" t="s">
        <v>4955</v>
      </c>
      <c r="V3" s="28" t="s">
        <v>5144</v>
      </c>
      <c r="W3" s="185"/>
      <c r="X3" s="20" t="str">
        <f>IF(CharGenMain!$E$134&gt;0,"1. Spell Matrix"," ")</f>
        <v>1. Spell Matrix</v>
      </c>
      <c r="Y3" s="21"/>
      <c r="Z3" s="21"/>
      <c r="AA3" s="21" t="str">
        <f>IF(CharGenMain!$E$134&gt;6,"5. Enhanced Matrix"," ")</f>
        <v>5. Enhanced Matrix</v>
      </c>
      <c r="AB3" s="21"/>
      <c r="AC3" s="21"/>
      <c r="AD3" s="21" t="str">
        <f>IF(CharGenMain!$E$134&gt;13,"9. Share Matrix"," ")</f>
        <v xml:space="preserve"> </v>
      </c>
      <c r="AE3" s="21"/>
      <c r="AF3" s="21"/>
      <c r="AG3" s="20" t="s">
        <v>4955</v>
      </c>
      <c r="AH3" s="28" t="s">
        <v>5144</v>
      </c>
      <c r="AI3" s="185"/>
      <c r="AJ3" s="20" t="str">
        <f>IF(CharGenMain!$E$134&gt;0,"1. Spell Matrix"," ")</f>
        <v>1. Spell Matrix</v>
      </c>
      <c r="AK3" s="21"/>
      <c r="AL3" s="21"/>
      <c r="AM3" s="21" t="str">
        <f>IF(CharGenMain!$E$134&gt;5,"5. Enhanced Matrix"," ")</f>
        <v>5. Enhanced Matrix</v>
      </c>
      <c r="AN3" s="21"/>
      <c r="AO3" s="21"/>
      <c r="AP3" s="21" t="str">
        <f>IF(CharGenMain!$E$134&gt;12,"9. Share Matrix"," ")</f>
        <v xml:space="preserve"> </v>
      </c>
      <c r="AQ3" s="21"/>
      <c r="AR3" s="21"/>
      <c r="AS3" s="20" t="s">
        <v>4955</v>
      </c>
      <c r="AT3" s="28" t="s">
        <v>5144</v>
      </c>
      <c r="AU3" s="9"/>
      <c r="AV3" s="20" t="str">
        <f>IF(CharGenMain!$E$134&gt;0,"1. Spell Matrix"," ")</f>
        <v>1. Spell Matrix</v>
      </c>
      <c r="AW3" s="21"/>
      <c r="AX3" s="21"/>
      <c r="AY3" s="21" t="str">
        <f>IF(CharGenMain!$E$134&gt;5,"5. Enhanced Matrix"," ")</f>
        <v>5. Enhanced Matrix</v>
      </c>
      <c r="AZ3" s="21"/>
      <c r="BA3" s="21"/>
      <c r="BB3" s="21" t="str">
        <f>IF(CharGenMain!$E$134&gt;12,"9. Share Matrix"," ")</f>
        <v xml:space="preserve"> </v>
      </c>
      <c r="BC3" s="21"/>
      <c r="BD3" s="21"/>
      <c r="BE3" s="20" t="s">
        <v>4955</v>
      </c>
      <c r="BF3" s="28" t="s">
        <v>5144</v>
      </c>
      <c r="BG3" s="185"/>
      <c r="BH3" s="20" t="str">
        <f>IF(CharGenMain!$E$134&gt;0,"1. Spell Matrix"," ")</f>
        <v>1. Spell Matrix</v>
      </c>
      <c r="BI3" s="21"/>
      <c r="BJ3" s="21"/>
      <c r="BK3" s="21" t="str">
        <f>IF(CharGenMain!$E$134&gt;7,"5. Enhanced Matrix"," ")</f>
        <v>5. Enhanced Matrix</v>
      </c>
      <c r="BL3" s="21"/>
      <c r="BM3" s="21"/>
      <c r="BN3" s="21" t="str">
        <f>IF(CharGenMain!$E$134&gt;12,"9. Share Matrix"," ")</f>
        <v xml:space="preserve"> </v>
      </c>
      <c r="BO3" s="21"/>
      <c r="BP3" s="21"/>
      <c r="BQ3" s="20" t="s">
        <v>4955</v>
      </c>
      <c r="BR3" s="28" t="s">
        <v>5144</v>
      </c>
      <c r="BT3" s="20" t="str">
        <f>IF(CharGenMain!$E$134&gt;0,"1. Spell Matrix"," ")</f>
        <v>1. Spell Matrix</v>
      </c>
      <c r="BU3" s="21"/>
      <c r="BV3" s="21"/>
      <c r="BW3" s="21" t="str">
        <f>IF(CharGenMain!$E$134&gt;5,"6. Enhanced Matrix"," ")</f>
        <v>6. Enhanced Matrix</v>
      </c>
      <c r="BX3" s="21"/>
      <c r="BY3" s="21"/>
      <c r="BZ3" s="21" t="str">
        <f>IF(CharGenMain!$E$134&gt;13,"11. Share Matrix"," ")</f>
        <v xml:space="preserve"> </v>
      </c>
      <c r="CA3" s="21"/>
      <c r="CB3" s="21"/>
      <c r="CC3" s="20" t="s">
        <v>4955</v>
      </c>
      <c r="CD3" s="28" t="s">
        <v>5144</v>
      </c>
      <c r="CF3" s="20" t="str">
        <f>IF(CharGenMain!$E$134&gt;0,"1. Spell Matrix"," ")</f>
        <v>1. Spell Matrix</v>
      </c>
      <c r="CG3" s="21"/>
      <c r="CH3" s="21"/>
      <c r="CI3" s="21"/>
      <c r="CJ3" s="21"/>
      <c r="CK3" s="21"/>
      <c r="CL3" s="21"/>
      <c r="CM3" s="21"/>
      <c r="CN3" s="21"/>
      <c r="CO3" s="20" t="s">
        <v>4955</v>
      </c>
      <c r="CP3" s="28" t="s">
        <v>5144</v>
      </c>
      <c r="CR3" s="20" t="str">
        <f>IF(CharGenMain!$E$134&gt;11,"1. Enhanced Matrix"," ")</f>
        <v xml:space="preserve"> </v>
      </c>
      <c r="CS3" s="21"/>
      <c r="CT3" s="21"/>
      <c r="CU3" s="21"/>
      <c r="CV3" s="21"/>
      <c r="CW3" s="21"/>
      <c r="CX3" s="21"/>
      <c r="CY3" s="21"/>
      <c r="CZ3" s="21"/>
      <c r="DA3" s="20" t="s">
        <v>4955</v>
      </c>
      <c r="DB3" s="28" t="s">
        <v>5144</v>
      </c>
      <c r="DD3" s="20" t="str">
        <f>IF(CharGenMain!$E$134&gt;3,"1. Spell Matrix"," ")</f>
        <v>1. Spell Matrix</v>
      </c>
      <c r="DE3" s="21"/>
      <c r="DF3" s="21"/>
      <c r="DG3" s="21"/>
      <c r="DH3" s="21"/>
      <c r="DI3" s="21"/>
      <c r="DJ3" s="21"/>
      <c r="DK3" s="21"/>
      <c r="DL3" s="21"/>
      <c r="DM3" s="20" t="s">
        <v>4955</v>
      </c>
      <c r="DN3" s="28" t="s">
        <v>5144</v>
      </c>
      <c r="DP3" s="20" t="str">
        <f>IF(CharGenMain!$E$134&gt;0,"1. Spell Matrix"," ")</f>
        <v>1. Spell Matrix</v>
      </c>
      <c r="DQ3" s="21"/>
      <c r="DR3" s="21"/>
      <c r="DS3" s="21" t="str">
        <f>IF(CharGenMain!$E$134&gt;6,"5. Enhanced Matrix"," ")</f>
        <v>5. Enhanced Matrix</v>
      </c>
      <c r="DT3" s="21"/>
      <c r="DU3" s="21"/>
      <c r="DV3" s="21" t="str">
        <f>IF(CharGenMain!$E$134&gt;12,"9. Share Matrix"," ")</f>
        <v xml:space="preserve"> </v>
      </c>
      <c r="DW3" s="21"/>
      <c r="DX3" s="21"/>
      <c r="DY3" s="20" t="s">
        <v>4955</v>
      </c>
      <c r="DZ3" s="28" t="s">
        <v>5144</v>
      </c>
      <c r="EB3" s="20" t="str">
        <f>IF(CharGenMain!$E$134&gt;8,"1. Armoured Matrix"," ")</f>
        <v>1. Armoured Matrix</v>
      </c>
      <c r="EC3" s="21"/>
      <c r="ED3" s="21"/>
      <c r="EE3" s="21"/>
      <c r="EF3" s="21"/>
      <c r="EG3" s="21"/>
      <c r="EH3" s="21"/>
      <c r="EI3" s="21"/>
      <c r="EJ3" s="21"/>
      <c r="EK3" s="20" t="s">
        <v>4955</v>
      </c>
      <c r="EL3" s="28" t="s">
        <v>5144</v>
      </c>
      <c r="EN3" s="20" t="str">
        <f>IF(CharGenMain!$E$134&gt;0,"1. Spell Matrix"," ")</f>
        <v>1. Spell Matrix</v>
      </c>
      <c r="EO3" s="21"/>
      <c r="EP3" s="21"/>
      <c r="EQ3" s="21" t="str">
        <f>IF(CharGenMain!$E$134&gt;8,"5. Enhanced Matrix"," ")</f>
        <v>5. Enhanced Matrix</v>
      </c>
      <c r="ER3" s="21"/>
      <c r="ES3" s="21"/>
      <c r="ET3" s="21"/>
      <c r="EU3" s="21"/>
      <c r="EV3" s="21"/>
      <c r="EW3" s="20" t="s">
        <v>4955</v>
      </c>
      <c r="EX3" s="28" t="s">
        <v>5144</v>
      </c>
    </row>
    <row r="4" spans="1:160">
      <c r="A4" s="20" t="s">
        <v>3896</v>
      </c>
      <c r="B4" s="14">
        <v>1</v>
      </c>
      <c r="C4" s="14" t="s">
        <v>3902</v>
      </c>
      <c r="D4" s="14">
        <v>0</v>
      </c>
      <c r="E4" s="14" t="s">
        <v>3897</v>
      </c>
      <c r="F4" s="14" t="s">
        <v>3898</v>
      </c>
      <c r="G4" s="44" t="s">
        <v>3901</v>
      </c>
      <c r="H4" s="107" t="s">
        <v>3899</v>
      </c>
      <c r="I4" s="44" t="s">
        <v>3900</v>
      </c>
      <c r="J4" s="28" t="s">
        <v>5232</v>
      </c>
      <c r="K4" s="111"/>
      <c r="L4" s="20" t="str">
        <f>IF(CharGenMain!$E$134&gt;0,"2. Spell Fetish"," ")</f>
        <v>2. Spell Fetish</v>
      </c>
      <c r="M4" s="21"/>
      <c r="N4" s="21"/>
      <c r="O4" s="21" t="str">
        <f>IF(CharGenMain!$E$134&gt;7,"6. Enhanced Fetish"," ")</f>
        <v>6. Enhanced Fetish</v>
      </c>
      <c r="P4" s="21"/>
      <c r="Q4" s="21"/>
      <c r="R4" s="21" t="str">
        <f>IF(CharGenMain!$E$134&gt;11,"10. Armored Fetish"," ")</f>
        <v xml:space="preserve"> </v>
      </c>
      <c r="S4" s="21"/>
      <c r="T4" s="21"/>
      <c r="U4" s="20" t="s">
        <v>5421</v>
      </c>
      <c r="V4" s="28" t="s">
        <v>5147</v>
      </c>
      <c r="W4" s="185"/>
      <c r="X4" s="20" t="str">
        <f>IF(CharGenMain!$E$134&gt;0,"2. Spell Matrix"," ")</f>
        <v>2. Spell Matrix</v>
      </c>
      <c r="Y4" s="21"/>
      <c r="Z4" s="21"/>
      <c r="AA4" s="21" t="str">
        <f>IF(CharGenMain!$E$134&gt;7,"6. Enhanced Matrix"," ")</f>
        <v>6. Enhanced Matrix</v>
      </c>
      <c r="AB4" s="21"/>
      <c r="AC4" s="21"/>
      <c r="AD4" s="21" t="str">
        <f>IF(CharGenMain!$E$134&gt;14,"10. Share Matrix"," ")</f>
        <v xml:space="preserve"> </v>
      </c>
      <c r="AE4" s="21"/>
      <c r="AF4" s="21"/>
      <c r="AG4" s="20" t="s">
        <v>5421</v>
      </c>
      <c r="AH4" s="28" t="s">
        <v>5147</v>
      </c>
      <c r="AI4" s="185"/>
      <c r="AJ4" s="20" t="str">
        <f>IF(CharGenMain!$E$134&gt;0,"2. Spell Matrix"," ")</f>
        <v>2. Spell Matrix</v>
      </c>
      <c r="AK4" s="21"/>
      <c r="AL4" s="21"/>
      <c r="AM4" s="21" t="str">
        <f>IF(CharGenMain!$E$134&gt;6,"6. Enhanced Matrix"," ")</f>
        <v>6. Enhanced Matrix</v>
      </c>
      <c r="AN4" s="21"/>
      <c r="AO4" s="21"/>
      <c r="AP4" s="21" t="str">
        <f>IF(CharGenMain!$E$134&gt;13,"10. Share Matrix"," ")</f>
        <v xml:space="preserve"> </v>
      </c>
      <c r="AQ4" s="21"/>
      <c r="AR4" s="21"/>
      <c r="AS4" s="20" t="s">
        <v>5421</v>
      </c>
      <c r="AT4" s="28" t="s">
        <v>5147</v>
      </c>
      <c r="AU4" s="9"/>
      <c r="AV4" s="20" t="str">
        <f>IF(CharGenMain!$E$134&gt;0,"2. Spell Matrix"," ")</f>
        <v>2. Spell Matrix</v>
      </c>
      <c r="AW4" s="21"/>
      <c r="AX4" s="21"/>
      <c r="AY4" s="21" t="str">
        <f>IF(CharGenMain!$E$134&gt;7,"6. Enhanced Matrix"," ")</f>
        <v>6. Enhanced Matrix</v>
      </c>
      <c r="AZ4" s="21"/>
      <c r="BA4" s="21"/>
      <c r="BB4" s="21" t="str">
        <f>IF(CharGenMain!$E$134&gt;13,"10. Share Matrix"," ")</f>
        <v xml:space="preserve"> </v>
      </c>
      <c r="BC4" s="21"/>
      <c r="BD4" s="21"/>
      <c r="BE4" s="20" t="s">
        <v>5421</v>
      </c>
      <c r="BF4" s="28" t="s">
        <v>5147</v>
      </c>
      <c r="BG4" s="185"/>
      <c r="BH4" s="20" t="str">
        <f>IF(CharGenMain!$E$134&gt;0,"2. Spell Matrix"," ")</f>
        <v>2. Spell Matrix</v>
      </c>
      <c r="BI4" s="21"/>
      <c r="BJ4" s="21"/>
      <c r="BK4" s="21" t="str">
        <f>IF(CharGenMain!$E$134&gt;8,"6. Armored Matrix"," ")</f>
        <v>6. Armored Matrix</v>
      </c>
      <c r="BL4" s="21"/>
      <c r="BM4" s="21"/>
      <c r="BN4" s="21" t="str">
        <f>IF(CharGenMain!$E$134&gt;13,"10. Share Matrix"," ")</f>
        <v xml:space="preserve"> </v>
      </c>
      <c r="BO4" s="21"/>
      <c r="BP4" s="21"/>
      <c r="BQ4" s="20" t="s">
        <v>5421</v>
      </c>
      <c r="BR4" s="28" t="s">
        <v>5147</v>
      </c>
      <c r="BT4" s="20" t="str">
        <f>IF(CharGenMain!$E$134&gt;0,"2. Spell Matrix"," ")</f>
        <v>2. Spell Matrix</v>
      </c>
      <c r="BU4" s="21"/>
      <c r="BV4" s="21"/>
      <c r="BW4" s="21" t="str">
        <f>IF(CharGenMain!$E$134&gt;7,"7. Enhanced Matrix"," ")</f>
        <v>7. Enhanced Matrix</v>
      </c>
      <c r="BX4" s="21"/>
      <c r="BY4" s="21"/>
      <c r="BZ4" s="21"/>
      <c r="CA4" s="21"/>
      <c r="CB4" s="21"/>
      <c r="CC4" s="20" t="s">
        <v>5421</v>
      </c>
      <c r="CD4" s="28" t="s">
        <v>5147</v>
      </c>
      <c r="CF4" s="20" t="str">
        <f>IF(CharGenMain!$E$134&gt;1,"2. Spell Matrix"," ")</f>
        <v>2. Spell Matrix</v>
      </c>
      <c r="CG4" s="21"/>
      <c r="CH4" s="21"/>
      <c r="CI4" s="21"/>
      <c r="CJ4" s="21"/>
      <c r="CK4" s="21"/>
      <c r="CL4" s="21"/>
      <c r="CM4" s="21"/>
      <c r="CN4" s="21"/>
      <c r="CO4" s="20" t="s">
        <v>5421</v>
      </c>
      <c r="CP4" s="28" t="s">
        <v>5147</v>
      </c>
      <c r="CR4" s="20" t="str">
        <f>IF(CharGenMain!$E$134&gt;13,"2. Armored Matrix"," ")</f>
        <v xml:space="preserve"> </v>
      </c>
      <c r="CS4" s="21"/>
      <c r="CT4" s="21"/>
      <c r="CU4" s="21"/>
      <c r="CV4" s="21"/>
      <c r="CW4" s="21"/>
      <c r="CX4" s="21"/>
      <c r="CY4" s="21"/>
      <c r="CZ4" s="21"/>
      <c r="DA4" s="20" t="s">
        <v>5421</v>
      </c>
      <c r="DB4" s="28" t="s">
        <v>5147</v>
      </c>
      <c r="DD4" s="20"/>
      <c r="DE4" s="21"/>
      <c r="DF4" s="21"/>
      <c r="DG4" s="21"/>
      <c r="DH4" s="21"/>
      <c r="DI4" s="21"/>
      <c r="DJ4" s="21"/>
      <c r="DK4" s="21"/>
      <c r="DL4" s="21"/>
      <c r="DM4" s="20" t="s">
        <v>5421</v>
      </c>
      <c r="DN4" s="28" t="s">
        <v>5147</v>
      </c>
      <c r="DP4" s="20" t="str">
        <f>IF(CharGenMain!$E$134&gt;0,"2. Spell Matrix"," ")</f>
        <v>2. Spell Matrix</v>
      </c>
      <c r="DQ4" s="21"/>
      <c r="DR4" s="21"/>
      <c r="DS4" s="21" t="str">
        <f>IF(CharGenMain!$E$134&gt;7,"6. Enhanced Matrix"," ")</f>
        <v>6. Enhanced Matrix</v>
      </c>
      <c r="DT4" s="21"/>
      <c r="DU4" s="21"/>
      <c r="DV4" s="21" t="str">
        <f>IF(CharGenMain!$E$134&gt;13,"10. Share Matrix"," ")</f>
        <v xml:space="preserve"> </v>
      </c>
      <c r="DW4" s="21"/>
      <c r="DX4" s="21"/>
      <c r="DY4" s="20" t="s">
        <v>5421</v>
      </c>
      <c r="DZ4" s="28" t="s">
        <v>5147</v>
      </c>
      <c r="EB4" s="20"/>
      <c r="EC4" s="21"/>
      <c r="ED4" s="21"/>
      <c r="EE4" s="21"/>
      <c r="EF4" s="21"/>
      <c r="EG4" s="21"/>
      <c r="EH4" s="21"/>
      <c r="EI4" s="21"/>
      <c r="EJ4" s="21"/>
      <c r="EK4" s="20" t="s">
        <v>5421</v>
      </c>
      <c r="EL4" s="28" t="s">
        <v>5147</v>
      </c>
      <c r="EN4" s="20" t="str">
        <f>IF(CharGenMain!$E$134&gt;1,"2. Spell Matrix"," ")</f>
        <v>2. Spell Matrix</v>
      </c>
      <c r="EO4" s="21"/>
      <c r="EP4" s="21"/>
      <c r="EQ4" s="21" t="str">
        <f>IF(CharGenMain!$E$134&gt;10,"6.Armored Matrix"," ")</f>
        <v xml:space="preserve"> </v>
      </c>
      <c r="ER4" s="21"/>
      <c r="ES4" s="21"/>
      <c r="ET4" s="21"/>
      <c r="EU4" s="21"/>
      <c r="EV4" s="21"/>
      <c r="EW4" s="20" t="s">
        <v>5421</v>
      </c>
      <c r="EX4" s="28" t="s">
        <v>5147</v>
      </c>
    </row>
    <row r="5" spans="1:160">
      <c r="A5" s="20" t="s">
        <v>3903</v>
      </c>
      <c r="B5" s="14">
        <v>1</v>
      </c>
      <c r="C5" s="14" t="s">
        <v>3907</v>
      </c>
      <c r="D5" s="14" t="s">
        <v>5036</v>
      </c>
      <c r="E5" s="14" t="s">
        <v>3904</v>
      </c>
      <c r="F5" s="14" t="s">
        <v>3898</v>
      </c>
      <c r="G5" s="44" t="s">
        <v>3906</v>
      </c>
      <c r="H5" s="107" t="s">
        <v>3905</v>
      </c>
      <c r="I5" s="44" t="s">
        <v>3900</v>
      </c>
      <c r="J5" s="28" t="s">
        <v>3908</v>
      </c>
      <c r="K5" s="111"/>
      <c r="L5" s="20" t="str">
        <f>IF(CharGenMain!$E$134&gt;1,"3. Spell Fetish"," ")</f>
        <v>3. Spell Fetish</v>
      </c>
      <c r="M5" s="21"/>
      <c r="N5" s="21"/>
      <c r="O5" s="21" t="str">
        <f>IF(CharGenMain!$E$134&gt;8,"7. Enhanced Fetish"," ")</f>
        <v>7. Enhanced Fetish</v>
      </c>
      <c r="P5" s="21"/>
      <c r="Q5" s="21"/>
      <c r="R5" s="21" t="str">
        <f>IF(CharGenMain!$E$134&gt;12,"11. Shared Fetish"," ")</f>
        <v xml:space="preserve"> </v>
      </c>
      <c r="S5" s="21"/>
      <c r="T5" s="21"/>
      <c r="U5" s="20" t="s">
        <v>4970</v>
      </c>
      <c r="V5" s="28" t="s">
        <v>4971</v>
      </c>
      <c r="W5" s="185"/>
      <c r="X5" s="20" t="str">
        <f>IF(CharGenMain!$E$134&gt;1,"3. Spell Matrix"," ")</f>
        <v>3. Spell Matrix</v>
      </c>
      <c r="Y5" s="21"/>
      <c r="Z5" s="21"/>
      <c r="AA5" s="21" t="str">
        <f>IF(CharGenMain!$E$134&gt;8,"7. Armored Matrix"," ")</f>
        <v>7. Armored Matrix</v>
      </c>
      <c r="AB5" s="21"/>
      <c r="AC5" s="21"/>
      <c r="AD5" s="21"/>
      <c r="AE5" s="21"/>
      <c r="AF5" s="21"/>
      <c r="AG5" s="20" t="s">
        <v>4970</v>
      </c>
      <c r="AH5" s="28" t="s">
        <v>4971</v>
      </c>
      <c r="AI5" s="185"/>
      <c r="AJ5" s="20" t="str">
        <f>IF(CharGenMain!$E$134&gt;1,"3. Spell Matrix"," ")</f>
        <v>3. Spell Matrix</v>
      </c>
      <c r="AK5" s="21"/>
      <c r="AL5" s="21"/>
      <c r="AM5" s="21" t="str">
        <f>IF(CharGenMain!$E$134&gt;8,"7. Armored Matrix"," ")</f>
        <v>7. Armored Matrix</v>
      </c>
      <c r="AN5" s="21"/>
      <c r="AO5" s="21"/>
      <c r="AP5" s="21" t="str">
        <f>IF(CharGenMain!$E$134&gt;14,"11. Share Matrix"," ")</f>
        <v xml:space="preserve"> </v>
      </c>
      <c r="AQ5" s="21"/>
      <c r="AR5" s="21"/>
      <c r="AS5" s="20" t="s">
        <v>4970</v>
      </c>
      <c r="AT5" s="28" t="s">
        <v>4971</v>
      </c>
      <c r="AU5" s="9"/>
      <c r="AV5" s="20" t="str">
        <f>IF(CharGenMain!$E$134&gt;2,"3. Spell Matrix"," ")</f>
        <v>3. Spell Matrix</v>
      </c>
      <c r="AW5" s="21"/>
      <c r="AX5" s="21"/>
      <c r="AY5" s="21" t="str">
        <f>IF(CharGenMain!$E$134&gt;8,"7. Armored Matrix"," ")</f>
        <v>7. Armored Matrix</v>
      </c>
      <c r="AZ5" s="21"/>
      <c r="BA5" s="21"/>
      <c r="BB5" s="21" t="str">
        <f>IF(CharGenMain!$E$134&gt;14,"11. Share Matrix"," ")</f>
        <v xml:space="preserve"> </v>
      </c>
      <c r="BC5" s="21"/>
      <c r="BD5" s="21"/>
      <c r="BE5" s="20" t="s">
        <v>4970</v>
      </c>
      <c r="BF5" s="28" t="s">
        <v>4971</v>
      </c>
      <c r="BG5" s="185"/>
      <c r="BH5" s="20" t="str">
        <f>IF(CharGenMain!$E$134&gt;1,"3. Spell Matrix"," ")</f>
        <v>3. Spell Matrix</v>
      </c>
      <c r="BI5" s="21"/>
      <c r="BJ5" s="21"/>
      <c r="BK5" s="21" t="str">
        <f>IF(CharGenMain!$E$134&gt;10,"7. Armored Matrix"," ")</f>
        <v xml:space="preserve"> </v>
      </c>
      <c r="BL5" s="21"/>
      <c r="BM5" s="21"/>
      <c r="BN5" s="21" t="str">
        <f>IF(CharGenMain!$E$134&gt;14,"11. Share Matrix"," ")</f>
        <v xml:space="preserve"> </v>
      </c>
      <c r="BO5" s="21"/>
      <c r="BP5" s="21"/>
      <c r="BQ5" s="20" t="s">
        <v>4970</v>
      </c>
      <c r="BR5" s="28" t="s">
        <v>4971</v>
      </c>
      <c r="BT5" s="20" t="str">
        <f>IF(CharGenMain!$E$134&gt;1,"3. Spell Matrix"," ")</f>
        <v>3. Spell Matrix</v>
      </c>
      <c r="BU5" s="21"/>
      <c r="BV5" s="21"/>
      <c r="BW5" s="21" t="str">
        <f>IF(CharGenMain!$E$134&gt;8,"8. Armored Matrix"," ")</f>
        <v>8. Armored Matrix</v>
      </c>
      <c r="BX5" s="21"/>
      <c r="BY5" s="21"/>
      <c r="BZ5" s="21"/>
      <c r="CA5" s="21"/>
      <c r="CB5" s="21"/>
      <c r="CC5" s="20" t="s">
        <v>4970</v>
      </c>
      <c r="CD5" s="28" t="s">
        <v>4971</v>
      </c>
      <c r="CF5" s="20" t="str">
        <f>IF(CharGenMain!$E$134&gt;5,"3. Enhanced Matrix"," ")</f>
        <v>3. Enhanced Matrix</v>
      </c>
      <c r="CG5" s="21"/>
      <c r="CH5" s="21"/>
      <c r="CI5" s="21"/>
      <c r="CJ5" s="21"/>
      <c r="CK5" s="21"/>
      <c r="CL5" s="21"/>
      <c r="CM5" s="21"/>
      <c r="CN5" s="21"/>
      <c r="CO5" s="20" t="s">
        <v>4970</v>
      </c>
      <c r="CP5" s="28" t="s">
        <v>4971</v>
      </c>
      <c r="CR5" s="20" t="str">
        <f>IF(CharGenMain!$E$134&gt;14,"3. Share Matrix"," ")</f>
        <v xml:space="preserve"> </v>
      </c>
      <c r="CS5" s="21"/>
      <c r="CT5" s="21"/>
      <c r="CU5" s="21"/>
      <c r="CV5" s="21"/>
      <c r="CW5" s="21"/>
      <c r="CX5" s="21"/>
      <c r="CY5" s="21"/>
      <c r="CZ5" s="21"/>
      <c r="DA5" s="20" t="s">
        <v>4970</v>
      </c>
      <c r="DB5" s="28" t="s">
        <v>4971</v>
      </c>
      <c r="DD5" s="20"/>
      <c r="DE5" s="21"/>
      <c r="DF5" s="21"/>
      <c r="DG5" s="21"/>
      <c r="DH5" s="21"/>
      <c r="DI5" s="21"/>
      <c r="DJ5" s="21"/>
      <c r="DK5" s="21"/>
      <c r="DL5" s="21"/>
      <c r="DM5" s="20" t="s">
        <v>4970</v>
      </c>
      <c r="DN5" s="28" t="s">
        <v>4971</v>
      </c>
      <c r="DP5" s="20" t="str">
        <f>IF(CharGenMain!$E$134&gt;3,"3. Spell Matrix"," ")</f>
        <v>3. Spell Matrix</v>
      </c>
      <c r="DQ5" s="21"/>
      <c r="DR5" s="21"/>
      <c r="DS5" s="21" t="str">
        <f>IF(CharGenMain!$E$134&gt;8,"7. Armored Matrix"," ")</f>
        <v>7. Armored Matrix</v>
      </c>
      <c r="DT5" s="21"/>
      <c r="DU5" s="21"/>
      <c r="DV5" s="21"/>
      <c r="DW5" s="21"/>
      <c r="DX5" s="21"/>
      <c r="DY5" s="20" t="s">
        <v>4970</v>
      </c>
      <c r="DZ5" s="28" t="s">
        <v>4971</v>
      </c>
      <c r="EB5" s="20"/>
      <c r="EC5" s="21"/>
      <c r="ED5" s="21"/>
      <c r="EE5" s="21"/>
      <c r="EF5" s="21"/>
      <c r="EG5" s="21"/>
      <c r="EH5" s="21"/>
      <c r="EI5" s="21"/>
      <c r="EJ5" s="21"/>
      <c r="EK5" s="20" t="s">
        <v>4970</v>
      </c>
      <c r="EL5" s="28" t="s">
        <v>4971</v>
      </c>
      <c r="EN5" s="20" t="str">
        <f>IF(CharGenMain!$E$134&gt;5,"3. Spell Matrix"," ")</f>
        <v>3. Spell Matrix</v>
      </c>
      <c r="EO5" s="21"/>
      <c r="EP5" s="21"/>
      <c r="EQ5" s="21" t="str">
        <f>IF(CharGenMain!$E$134&gt;13,"7. Share Matrix"," ")</f>
        <v xml:space="preserve"> </v>
      </c>
      <c r="ER5" s="21"/>
      <c r="ES5" s="21"/>
      <c r="ET5" s="21"/>
      <c r="EU5" s="21"/>
      <c r="EV5" s="21"/>
      <c r="EW5" s="20" t="s">
        <v>4970</v>
      </c>
      <c r="EX5" s="28" t="s">
        <v>4971</v>
      </c>
    </row>
    <row r="6" spans="1:160">
      <c r="A6" s="20" t="s">
        <v>3909</v>
      </c>
      <c r="B6" s="14">
        <v>1</v>
      </c>
      <c r="C6" s="14" t="s">
        <v>3731</v>
      </c>
      <c r="D6" s="14">
        <v>2</v>
      </c>
      <c r="E6" s="110" t="s">
        <v>3715</v>
      </c>
      <c r="F6" s="14" t="s">
        <v>3716</v>
      </c>
      <c r="G6" s="44" t="s">
        <v>3730</v>
      </c>
      <c r="H6" s="44" t="s">
        <v>3728</v>
      </c>
      <c r="I6" s="44" t="s">
        <v>3729</v>
      </c>
      <c r="J6" s="28" t="s">
        <v>3732</v>
      </c>
      <c r="K6" s="111"/>
      <c r="L6" s="22" t="str">
        <f>IF(CharGenMain!$E$134&gt;3,"4. Spell Fetish"," ")</f>
        <v>4. Spell Fetish</v>
      </c>
      <c r="M6" s="29"/>
      <c r="N6" s="29"/>
      <c r="O6" s="29" t="str">
        <f>IF(CharGenMain!$E$134&gt;9,"8. Enhanced Fetish"," ")</f>
        <v>8. Enhanced Fetish</v>
      </c>
      <c r="P6" s="29"/>
      <c r="Q6" s="29"/>
      <c r="R6" s="29" t="str">
        <f>IF(CharGenMain!$E$134&gt;14,"12. Shared Fetish"," ")</f>
        <v xml:space="preserve"> </v>
      </c>
      <c r="S6" s="29"/>
      <c r="T6" s="29"/>
      <c r="U6" s="22" t="s">
        <v>4973</v>
      </c>
      <c r="V6" s="61" t="s">
        <v>4974</v>
      </c>
      <c r="W6" s="185"/>
      <c r="X6" s="22" t="str">
        <f>IF(CharGenMain!$E$134&gt;3,"4. Spell Matrix"," ")</f>
        <v>4. Spell Matrix</v>
      </c>
      <c r="Y6" s="29"/>
      <c r="Z6" s="29"/>
      <c r="AA6" s="29" t="str">
        <f>IF(CharGenMain!$E$134&gt;11,"8. Armored Matrix"," ")</f>
        <v xml:space="preserve"> </v>
      </c>
      <c r="AB6" s="29"/>
      <c r="AC6" s="29"/>
      <c r="AD6" s="29"/>
      <c r="AE6" s="29"/>
      <c r="AF6" s="29"/>
      <c r="AG6" s="22" t="s">
        <v>4973</v>
      </c>
      <c r="AH6" s="61" t="s">
        <v>4974</v>
      </c>
      <c r="AI6" s="185"/>
      <c r="AJ6" s="22" t="str">
        <f>IF(CharGenMain!$E$134&gt;3,"4. Spell Matrix"," ")</f>
        <v>4. Spell Matrix</v>
      </c>
      <c r="AK6" s="29"/>
      <c r="AL6" s="29"/>
      <c r="AM6" s="29" t="str">
        <f>IF(CharGenMain!$E$134&gt;10,"8. Armored Matrix"," ")</f>
        <v xml:space="preserve"> </v>
      </c>
      <c r="AN6" s="29"/>
      <c r="AO6" s="29"/>
      <c r="AP6" s="29"/>
      <c r="AQ6" s="29"/>
      <c r="AR6" s="29"/>
      <c r="AS6" s="22" t="s">
        <v>4973</v>
      </c>
      <c r="AT6" s="61" t="s">
        <v>4974</v>
      </c>
      <c r="AU6" s="9"/>
      <c r="AV6" s="22" t="str">
        <f>IF(CharGenMain!$E$134&gt;3,"4. Spell Matrix"," ")</f>
        <v>4. Spell Matrix</v>
      </c>
      <c r="AW6" s="29"/>
      <c r="AX6" s="29"/>
      <c r="AY6" s="29" t="str">
        <f>IF(CharGenMain!$E$134&gt;10,"8. Armored Matrix"," ")</f>
        <v xml:space="preserve"> </v>
      </c>
      <c r="AZ6" s="29"/>
      <c r="BA6" s="29"/>
      <c r="BB6" s="29"/>
      <c r="BC6" s="29"/>
      <c r="BD6" s="29"/>
      <c r="BE6" s="22" t="s">
        <v>4973</v>
      </c>
      <c r="BF6" s="61" t="s">
        <v>4974</v>
      </c>
      <c r="BG6" s="185"/>
      <c r="BH6" s="22" t="str">
        <f>IF(CharGenMain!$E$134&gt;5,"4. Enhanced Matrix"," ")</f>
        <v>4. Enhanced Matrix</v>
      </c>
      <c r="BI6" s="29"/>
      <c r="BJ6" s="29"/>
      <c r="BK6" s="29" t="str">
        <f>IF(CharGenMain!$E$134&gt;11,"8. Armored Matrix"," ")</f>
        <v xml:space="preserve"> </v>
      </c>
      <c r="BL6" s="29"/>
      <c r="BM6" s="29"/>
      <c r="BN6" s="29"/>
      <c r="BO6" s="29"/>
      <c r="BP6" s="29"/>
      <c r="BQ6" s="22" t="s">
        <v>4973</v>
      </c>
      <c r="BR6" s="61" t="s">
        <v>4974</v>
      </c>
      <c r="BT6" s="22" t="str">
        <f>IF(CharGenMain!$E$134&gt;3,"4. Spell Matrix"," ")</f>
        <v>4. Spell Matrix</v>
      </c>
      <c r="BU6" s="29"/>
      <c r="BV6" s="29"/>
      <c r="BW6" s="29" t="str">
        <f>IF(CharGenMain!$E$134&gt;9,"9. Armored Matrix"," ")</f>
        <v>9. Armored Matrix</v>
      </c>
      <c r="BX6" s="29"/>
      <c r="BY6" s="29"/>
      <c r="BZ6" s="21"/>
      <c r="CA6" s="29"/>
      <c r="CB6" s="29"/>
      <c r="CC6" s="22" t="s">
        <v>4973</v>
      </c>
      <c r="CD6" s="61" t="s">
        <v>4974</v>
      </c>
      <c r="CF6" s="22" t="str">
        <f>IF(CharGenMain!$E$134&gt;8,"4. Armoured Matrix"," ")</f>
        <v>4. Armoured Matrix</v>
      </c>
      <c r="CG6" s="29"/>
      <c r="CH6" s="29"/>
      <c r="CI6" s="29"/>
      <c r="CJ6" s="29"/>
      <c r="CK6" s="29"/>
      <c r="CL6" s="29"/>
      <c r="CM6" s="29"/>
      <c r="CN6" s="29"/>
      <c r="CO6" s="22" t="s">
        <v>4973</v>
      </c>
      <c r="CP6" s="61" t="s">
        <v>4974</v>
      </c>
      <c r="CR6" s="22"/>
      <c r="CS6" s="29"/>
      <c r="CT6" s="29"/>
      <c r="CU6" s="29"/>
      <c r="CV6" s="29"/>
      <c r="CW6" s="29"/>
      <c r="CX6" s="29"/>
      <c r="CY6" s="29"/>
      <c r="CZ6" s="29"/>
      <c r="DA6" s="22" t="s">
        <v>4973</v>
      </c>
      <c r="DB6" s="61" t="s">
        <v>4974</v>
      </c>
      <c r="DD6" s="22"/>
      <c r="DE6" s="29"/>
      <c r="DF6" s="29"/>
      <c r="DG6" s="29"/>
      <c r="DH6" s="29"/>
      <c r="DI6" s="29"/>
      <c r="DJ6" s="29"/>
      <c r="DK6" s="29"/>
      <c r="DL6" s="29"/>
      <c r="DM6" s="22" t="s">
        <v>4973</v>
      </c>
      <c r="DN6" s="61" t="s">
        <v>4974</v>
      </c>
      <c r="DP6" s="22" t="str">
        <f>IF(CharGenMain!$E$134&gt;5,"4. Spell Matrix"," ")</f>
        <v>4. Spell Matrix</v>
      </c>
      <c r="DQ6" s="29"/>
      <c r="DR6" s="29"/>
      <c r="DS6" s="29" t="str">
        <f>IF(CharGenMain!$E$134&gt;9,"8. Armored Matrix"," ")</f>
        <v>8. Armored Matrix</v>
      </c>
      <c r="DT6" s="29"/>
      <c r="DU6" s="29"/>
      <c r="DV6" s="29"/>
      <c r="DW6" s="29"/>
      <c r="DX6" s="29"/>
      <c r="DY6" s="22" t="s">
        <v>4973</v>
      </c>
      <c r="DZ6" s="61" t="s">
        <v>4974</v>
      </c>
      <c r="EB6" s="22"/>
      <c r="EC6" s="29"/>
      <c r="ED6" s="29"/>
      <c r="EE6" s="29"/>
      <c r="EF6" s="29"/>
      <c r="EG6" s="29"/>
      <c r="EH6" s="29"/>
      <c r="EI6" s="29"/>
      <c r="EJ6" s="29"/>
      <c r="EK6" s="22" t="s">
        <v>4973</v>
      </c>
      <c r="EL6" s="61" t="s">
        <v>4974</v>
      </c>
      <c r="EN6" s="22" t="str">
        <f>IF(CharGenMain!$E$134&gt;7,"4. Enhanced Matrix"," ")</f>
        <v>4. Enhanced Matrix</v>
      </c>
      <c r="EO6" s="29"/>
      <c r="EP6" s="29"/>
      <c r="EQ6" s="29"/>
      <c r="ER6" s="29"/>
      <c r="ES6" s="29"/>
      <c r="ET6" s="29"/>
      <c r="EU6" s="29"/>
      <c r="EV6" s="29"/>
      <c r="EW6" s="22" t="s">
        <v>4973</v>
      </c>
      <c r="EX6" s="61" t="s">
        <v>4974</v>
      </c>
    </row>
    <row r="7" spans="1:160">
      <c r="A7" s="20" t="s">
        <v>3733</v>
      </c>
      <c r="B7" s="14">
        <v>1</v>
      </c>
      <c r="C7" s="14" t="s">
        <v>3737</v>
      </c>
      <c r="D7" s="14">
        <v>1</v>
      </c>
      <c r="E7" s="110" t="s">
        <v>3734</v>
      </c>
      <c r="F7" s="14" t="s">
        <v>3735</v>
      </c>
      <c r="G7" s="44" t="s">
        <v>3736</v>
      </c>
      <c r="H7" s="44" t="s">
        <v>3728</v>
      </c>
      <c r="I7" s="44" t="s">
        <v>3900</v>
      </c>
      <c r="J7" s="28" t="s">
        <v>4447</v>
      </c>
      <c r="K7" s="111"/>
      <c r="L7" s="17" t="s">
        <v>3866</v>
      </c>
      <c r="M7" s="84"/>
      <c r="N7" s="84"/>
      <c r="O7" s="84"/>
      <c r="P7" s="84"/>
      <c r="Q7" s="84"/>
      <c r="R7" s="84"/>
      <c r="S7" s="84"/>
      <c r="T7" s="84"/>
      <c r="U7" s="17" t="s">
        <v>5139</v>
      </c>
      <c r="V7" s="77"/>
      <c r="W7" s="185"/>
      <c r="X7" s="17" t="s">
        <v>5198</v>
      </c>
      <c r="Y7" s="84"/>
      <c r="Z7" s="84"/>
      <c r="AA7" s="84"/>
      <c r="AB7" s="84"/>
      <c r="AC7" s="84"/>
      <c r="AD7" s="84"/>
      <c r="AE7" s="84"/>
      <c r="AF7" s="84"/>
      <c r="AG7" s="17" t="s">
        <v>5139</v>
      </c>
      <c r="AH7" s="77"/>
      <c r="AI7" s="185"/>
      <c r="AJ7" s="17" t="s">
        <v>5198</v>
      </c>
      <c r="AK7" s="84"/>
      <c r="AL7" s="84"/>
      <c r="AM7" s="84"/>
      <c r="AN7" s="84"/>
      <c r="AO7" s="84"/>
      <c r="AP7" s="84"/>
      <c r="AQ7" s="84"/>
      <c r="AR7" s="84"/>
      <c r="AS7" s="17" t="s">
        <v>5139</v>
      </c>
      <c r="AT7" s="77"/>
      <c r="AU7" s="9"/>
      <c r="AV7" s="17" t="s">
        <v>5198</v>
      </c>
      <c r="AW7" s="84"/>
      <c r="AX7" s="84"/>
      <c r="AY7" s="84"/>
      <c r="AZ7" s="84"/>
      <c r="BA7" s="84"/>
      <c r="BB7" s="84"/>
      <c r="BC7" s="84"/>
      <c r="BD7" s="84"/>
      <c r="BE7" s="17" t="s">
        <v>5139</v>
      </c>
      <c r="BF7" s="77"/>
      <c r="BG7" s="185"/>
      <c r="BH7" s="17" t="s">
        <v>5198</v>
      </c>
      <c r="BI7" s="84"/>
      <c r="BJ7" s="84"/>
      <c r="BK7" s="84"/>
      <c r="BL7" s="84"/>
      <c r="BM7" s="84"/>
      <c r="BN7" s="84"/>
      <c r="BO7" s="84"/>
      <c r="BP7" s="84"/>
      <c r="BQ7" s="17" t="s">
        <v>5139</v>
      </c>
      <c r="BR7" s="77"/>
      <c r="BT7" s="17" t="s">
        <v>5198</v>
      </c>
      <c r="BU7" s="84"/>
      <c r="BV7" s="84"/>
      <c r="BW7" s="84" t="str">
        <f>IF(CharGenMain!$D$2&gt;4,"5. Spell Matrix"," ")</f>
        <v>5. Spell Matrix</v>
      </c>
      <c r="BX7" s="84"/>
      <c r="BY7" s="84"/>
      <c r="BZ7" s="84" t="str">
        <f>IF(CharGenMain!$D$2&gt;10,"10. Armored Matrix"," ")</f>
        <v xml:space="preserve"> </v>
      </c>
      <c r="CA7" s="84"/>
      <c r="CB7" s="84"/>
      <c r="CC7" s="17" t="s">
        <v>5139</v>
      </c>
      <c r="CD7" s="77"/>
      <c r="CF7" s="17" t="s">
        <v>5198</v>
      </c>
      <c r="CG7" s="84"/>
      <c r="CH7" s="84"/>
      <c r="CI7" s="84"/>
      <c r="CJ7" s="84"/>
      <c r="CK7" s="84"/>
      <c r="CL7" s="84"/>
      <c r="CM7" s="84"/>
      <c r="CN7" s="84"/>
      <c r="CO7" s="17" t="s">
        <v>5139</v>
      </c>
      <c r="CP7" s="77"/>
      <c r="CR7" s="17" t="s">
        <v>5198</v>
      </c>
      <c r="CS7" s="84"/>
      <c r="CT7" s="84"/>
      <c r="CU7" s="84"/>
      <c r="CV7" s="84"/>
      <c r="CW7" s="84"/>
      <c r="CX7" s="84"/>
      <c r="CY7" s="84"/>
      <c r="CZ7" s="84"/>
      <c r="DA7" s="17" t="s">
        <v>5139</v>
      </c>
      <c r="DB7" s="77"/>
      <c r="DD7" s="17" t="s">
        <v>5198</v>
      </c>
      <c r="DE7" s="84"/>
      <c r="DF7" s="84"/>
      <c r="DG7" s="84"/>
      <c r="DH7" s="84"/>
      <c r="DI7" s="84"/>
      <c r="DJ7" s="84"/>
      <c r="DK7" s="84"/>
      <c r="DL7" s="84"/>
      <c r="DM7" s="17" t="s">
        <v>5139</v>
      </c>
      <c r="DN7" s="77"/>
      <c r="DP7" s="17" t="s">
        <v>5198</v>
      </c>
      <c r="DQ7" s="84"/>
      <c r="DR7" s="84"/>
      <c r="DS7" s="84"/>
      <c r="DT7" s="84"/>
      <c r="DU7" s="84"/>
      <c r="DV7" s="84"/>
      <c r="DW7" s="84"/>
      <c r="DX7" s="84"/>
      <c r="DY7" s="17" t="s">
        <v>5139</v>
      </c>
      <c r="DZ7" s="77"/>
      <c r="EB7" s="17" t="s">
        <v>5198</v>
      </c>
      <c r="EC7" s="84"/>
      <c r="ED7" s="84"/>
      <c r="EE7" s="84"/>
      <c r="EF7" s="84"/>
      <c r="EG7" s="84"/>
      <c r="EH7" s="84"/>
      <c r="EI7" s="84"/>
      <c r="EJ7" s="84"/>
      <c r="EK7" s="17" t="s">
        <v>5139</v>
      </c>
      <c r="EL7" s="77"/>
      <c r="EN7" s="17" t="s">
        <v>5198</v>
      </c>
      <c r="EO7" s="84"/>
      <c r="EP7" s="84"/>
      <c r="EQ7" s="84"/>
      <c r="ER7" s="84"/>
      <c r="ES7" s="84"/>
      <c r="ET7" s="84"/>
      <c r="EU7" s="84"/>
      <c r="EV7" s="84"/>
      <c r="EW7" s="17" t="s">
        <v>5139</v>
      </c>
      <c r="EX7" s="77"/>
    </row>
    <row r="8" spans="1:160">
      <c r="A8" s="20" t="s">
        <v>3547</v>
      </c>
      <c r="B8" s="14">
        <v>1</v>
      </c>
      <c r="C8" s="14" t="s">
        <v>3551</v>
      </c>
      <c r="D8" s="14">
        <v>0</v>
      </c>
      <c r="E8" s="14" t="s">
        <v>3904</v>
      </c>
      <c r="F8" s="14" t="s">
        <v>3548</v>
      </c>
      <c r="G8" s="44" t="s">
        <v>3550</v>
      </c>
      <c r="H8" s="44" t="s">
        <v>3549</v>
      </c>
      <c r="I8" s="44" t="s">
        <v>3900</v>
      </c>
      <c r="J8" s="28" t="s">
        <v>4555</v>
      </c>
      <c r="K8" s="111"/>
      <c r="L8" s="20" t="str">
        <f>IF(CharGenMain!$D$2&gt;0,"1. Spell Fetish"," ")</f>
        <v>1. Spell Fetish</v>
      </c>
      <c r="M8" s="21"/>
      <c r="N8" s="21"/>
      <c r="O8" s="21" t="str">
        <f>IF(CharGenMain!$D$2&gt;5,"5. Spell Fetish"," ")</f>
        <v>5. Spell Fetish</v>
      </c>
      <c r="P8" s="21"/>
      <c r="Q8" s="21"/>
      <c r="R8" s="21" t="str">
        <f>IF(CharGenMain!$D$2&gt;10,"9. Armored Fetish"," ")</f>
        <v xml:space="preserve"> </v>
      </c>
      <c r="S8" s="21"/>
      <c r="T8" s="21"/>
      <c r="U8" s="20" t="s">
        <v>4955</v>
      </c>
      <c r="V8" s="28" t="s">
        <v>5144</v>
      </c>
      <c r="W8" s="185"/>
      <c r="X8" s="20" t="str">
        <f>IF(CharGenMain!$D$2&gt;0,"1. Spell Matrix"," ")</f>
        <v>1. Spell Matrix</v>
      </c>
      <c r="Y8" s="21"/>
      <c r="Z8" s="21"/>
      <c r="AA8" s="21" t="str">
        <f>IF(CharGenMain!$D$2&gt;6,"5. Enhanced Matrix"," ")</f>
        <v>5. Enhanced Matrix</v>
      </c>
      <c r="AB8" s="21"/>
      <c r="AC8" s="21"/>
      <c r="AD8" s="21" t="str">
        <f>IF(CharGenMain!$D$2&gt;13,"9. Share Matrix"," ")</f>
        <v xml:space="preserve"> </v>
      </c>
      <c r="AE8" s="21"/>
      <c r="AF8" s="21"/>
      <c r="AG8" s="20" t="s">
        <v>4955</v>
      </c>
      <c r="AH8" s="28" t="s">
        <v>5144</v>
      </c>
      <c r="AI8" s="185"/>
      <c r="AJ8" s="20" t="str">
        <f>IF(CharGenMain!$D$2&gt;0,"1. Spell Matrix"," ")</f>
        <v>1. Spell Matrix</v>
      </c>
      <c r="AK8" s="21"/>
      <c r="AL8" s="21"/>
      <c r="AM8" s="21" t="str">
        <f>IF(CharGenMain!$D$2&gt;5,"5. Enhanced Matrix"," ")</f>
        <v>5. Enhanced Matrix</v>
      </c>
      <c r="AN8" s="21"/>
      <c r="AO8" s="21"/>
      <c r="AP8" s="21" t="str">
        <f>IF(CharGenMain!$D$2&gt;12,"9. Share Matrix"," ")</f>
        <v xml:space="preserve"> </v>
      </c>
      <c r="AQ8" s="21"/>
      <c r="AR8" s="21"/>
      <c r="AS8" s="20" t="s">
        <v>4955</v>
      </c>
      <c r="AT8" s="28" t="s">
        <v>5144</v>
      </c>
      <c r="AU8" s="9"/>
      <c r="AV8" s="20" t="str">
        <f>IF(CharGenMain!$D$2&gt;0,"1. Spell Matrix"," ")</f>
        <v>1. Spell Matrix</v>
      </c>
      <c r="AW8" s="21"/>
      <c r="AX8" s="21"/>
      <c r="AY8" s="21" t="str">
        <f>IF(CharGenMain!$D$2&gt;5,"5. Enhanced Matrix"," ")</f>
        <v>5. Enhanced Matrix</v>
      </c>
      <c r="AZ8" s="21"/>
      <c r="BA8" s="21"/>
      <c r="BB8" s="21" t="str">
        <f>IF(CharGenMain!$D$2&gt;12,"9. Share Matrix"," ")</f>
        <v xml:space="preserve"> </v>
      </c>
      <c r="BC8" s="21"/>
      <c r="BD8" s="21"/>
      <c r="BE8" s="20" t="s">
        <v>4955</v>
      </c>
      <c r="BF8" s="28" t="s">
        <v>5144</v>
      </c>
      <c r="BG8" s="185"/>
      <c r="BH8" s="20" t="str">
        <f>IF(CharGenMain!$D$2&gt;0,"1. Spell Matrix"," ")</f>
        <v>1. Spell Matrix</v>
      </c>
      <c r="BI8" s="21"/>
      <c r="BJ8" s="21"/>
      <c r="BK8" s="21" t="str">
        <f>IF(CharGenMain!$D$2&gt;7,"5. Enhanced Matrix"," ")</f>
        <v>5. Enhanced Matrix</v>
      </c>
      <c r="BL8" s="21"/>
      <c r="BM8" s="21"/>
      <c r="BN8" s="21" t="str">
        <f>IF(CharGenMain!$D$2&gt;12,"9. Share Matrix"," ")</f>
        <v xml:space="preserve"> </v>
      </c>
      <c r="BO8" s="21"/>
      <c r="BP8" s="21"/>
      <c r="BQ8" s="20" t="s">
        <v>4955</v>
      </c>
      <c r="BR8" s="28" t="s">
        <v>5144</v>
      </c>
      <c r="BT8" s="20" t="str">
        <f>IF(CharGenMain!$D$2&gt;0,"1. Spell Matrix"," ")</f>
        <v>1. Spell Matrix</v>
      </c>
      <c r="BU8" s="21"/>
      <c r="BV8" s="21"/>
      <c r="BW8" s="21" t="str">
        <f>IF(CharGenMain!$D$2&gt;5,"6. Enhanced Matrix"," ")</f>
        <v>6. Enhanced Matrix</v>
      </c>
      <c r="BX8" s="21"/>
      <c r="BY8" s="21"/>
      <c r="BZ8" s="21" t="str">
        <f>IF(CharGenMain!$D$2&gt;13,"11. Share Matrix"," ")</f>
        <v xml:space="preserve"> </v>
      </c>
      <c r="CA8" s="21"/>
      <c r="CB8" s="21"/>
      <c r="CC8" s="20" t="s">
        <v>4955</v>
      </c>
      <c r="CD8" s="28" t="s">
        <v>5144</v>
      </c>
      <c r="CF8" s="20" t="str">
        <f>IF(CharGenMain!$D$2&gt;0,"1. Spell Matrix"," ")</f>
        <v>1. Spell Matrix</v>
      </c>
      <c r="CG8" s="21"/>
      <c r="CH8" s="21"/>
      <c r="CI8" s="21"/>
      <c r="CJ8" s="21"/>
      <c r="CK8" s="21"/>
      <c r="CL8" s="21"/>
      <c r="CM8" s="21"/>
      <c r="CN8" s="21"/>
      <c r="CO8" s="20" t="s">
        <v>4955</v>
      </c>
      <c r="CP8" s="28" t="s">
        <v>5144</v>
      </c>
      <c r="CR8" s="20" t="str">
        <f>IF(CharGenMain!$D$2&gt;11,"1. Enhanced Matrix"," ")</f>
        <v xml:space="preserve"> </v>
      </c>
      <c r="CS8" s="21"/>
      <c r="CT8" s="21"/>
      <c r="CU8" s="21"/>
      <c r="CV8" s="21"/>
      <c r="CW8" s="21"/>
      <c r="CX8" s="21"/>
      <c r="CY8" s="21"/>
      <c r="CZ8" s="21"/>
      <c r="DA8" s="20" t="s">
        <v>4955</v>
      </c>
      <c r="DB8" s="28" t="s">
        <v>5144</v>
      </c>
      <c r="DD8" s="20" t="str">
        <f>IF(CharGenMain!$D$2&gt;3,"1. Spell Matrix"," ")</f>
        <v>1. Spell Matrix</v>
      </c>
      <c r="DE8" s="21"/>
      <c r="DF8" s="21"/>
      <c r="DG8" s="21"/>
      <c r="DH8" s="21"/>
      <c r="DI8" s="21"/>
      <c r="DJ8" s="21"/>
      <c r="DK8" s="21"/>
      <c r="DL8" s="21"/>
      <c r="DM8" s="20" t="s">
        <v>4955</v>
      </c>
      <c r="DN8" s="28" t="s">
        <v>5144</v>
      </c>
      <c r="DP8" s="20" t="str">
        <f>IF(CharGenMain!$D$2&gt;0,"1. Spell Matrix"," ")</f>
        <v>1. Spell Matrix</v>
      </c>
      <c r="DQ8" s="21"/>
      <c r="DR8" s="21"/>
      <c r="DS8" s="21" t="str">
        <f>IF(CharGenMain!$D$2&gt;6,"5. Enhanced Matrix"," ")</f>
        <v>5. Enhanced Matrix</v>
      </c>
      <c r="DT8" s="21"/>
      <c r="DU8" s="21"/>
      <c r="DV8" s="21" t="str">
        <f>IF(CharGenMain!$D$2&gt;12,"9. Share Matrix"," ")</f>
        <v xml:space="preserve"> </v>
      </c>
      <c r="DW8" s="21"/>
      <c r="DX8" s="21"/>
      <c r="DY8" s="20" t="s">
        <v>4955</v>
      </c>
      <c r="DZ8" s="28" t="s">
        <v>5144</v>
      </c>
      <c r="EB8" s="20" t="str">
        <f>IF(CharGenMain!$D$2&gt;8,"1. Armored Matrix"," ")</f>
        <v>1. Armored Matrix</v>
      </c>
      <c r="EC8" s="21"/>
      <c r="ED8" s="21"/>
      <c r="EE8" s="21"/>
      <c r="EF8" s="21"/>
      <c r="EG8" s="21"/>
      <c r="EH8" s="21"/>
      <c r="EI8" s="21"/>
      <c r="EJ8" s="21"/>
      <c r="EK8" s="20" t="s">
        <v>4955</v>
      </c>
      <c r="EL8" s="28" t="s">
        <v>5144</v>
      </c>
      <c r="EN8" s="20" t="str">
        <f>IF(CharGenMain!$D$2&gt;0,"1. Spell Matrix"," ")</f>
        <v>1. Spell Matrix</v>
      </c>
      <c r="EO8" s="21"/>
      <c r="EP8" s="21"/>
      <c r="EQ8" s="21" t="str">
        <f>IF(CharGenMain!$D$2&gt;8,"5. Enhanced Matrix"," ")</f>
        <v>5. Enhanced Matrix</v>
      </c>
      <c r="ER8" s="21"/>
      <c r="ES8" s="21"/>
      <c r="ET8" s="21"/>
      <c r="EU8" s="21"/>
      <c r="EV8" s="21"/>
      <c r="EW8" s="20" t="s">
        <v>4955</v>
      </c>
      <c r="EX8" s="28" t="s">
        <v>5144</v>
      </c>
    </row>
    <row r="9" spans="1:160">
      <c r="A9" s="20" t="s">
        <v>3552</v>
      </c>
      <c r="B9" s="14">
        <v>1</v>
      </c>
      <c r="C9" s="14" t="s">
        <v>3555</v>
      </c>
      <c r="D9" s="14">
        <v>0</v>
      </c>
      <c r="E9" s="14" t="s">
        <v>3553</v>
      </c>
      <c r="F9" s="14" t="s">
        <v>3716</v>
      </c>
      <c r="G9" s="44" t="s">
        <v>3901</v>
      </c>
      <c r="H9" s="44" t="s">
        <v>3554</v>
      </c>
      <c r="I9" s="44" t="s">
        <v>3900</v>
      </c>
      <c r="J9" s="28" t="s">
        <v>4369</v>
      </c>
      <c r="K9" s="111"/>
      <c r="L9" s="20" t="str">
        <f>IF(CharGenMain!$D$2&gt;0,"2. Spell Fetish"," ")</f>
        <v>2. Spell Fetish</v>
      </c>
      <c r="M9" s="21"/>
      <c r="N9" s="21"/>
      <c r="O9" s="21" t="str">
        <f>IF(CharGenMain!$D$2&gt;7,"6. Enhanced Fetish"," ")</f>
        <v>6. Enhanced Fetish</v>
      </c>
      <c r="P9" s="21"/>
      <c r="Q9" s="21"/>
      <c r="R9" s="21" t="str">
        <f>IF(CharGenMain!$D$2&gt;11,"10. Armored Fetish"," ")</f>
        <v xml:space="preserve"> </v>
      </c>
      <c r="S9" s="21"/>
      <c r="T9" s="21"/>
      <c r="U9" s="20" t="s">
        <v>5421</v>
      </c>
      <c r="V9" s="28" t="s">
        <v>5147</v>
      </c>
      <c r="W9" s="185"/>
      <c r="X9" s="20" t="str">
        <f>IF(CharGenMain!$D$2&gt;0,"2. Spell Matrix"," ")</f>
        <v>2. Spell Matrix</v>
      </c>
      <c r="Y9" s="21"/>
      <c r="Z9" s="21"/>
      <c r="AA9" s="21" t="str">
        <f>IF(CharGenMain!$D$2&gt;7,"6. Enhanced Matrix"," ")</f>
        <v>6. Enhanced Matrix</v>
      </c>
      <c r="AB9" s="21"/>
      <c r="AC9" s="21"/>
      <c r="AD9" s="21" t="str">
        <f>IF(CharGenMain!$D$2&gt;14,"10. Share Matrix"," ")</f>
        <v xml:space="preserve"> </v>
      </c>
      <c r="AE9" s="21"/>
      <c r="AF9" s="21"/>
      <c r="AG9" s="20" t="s">
        <v>5421</v>
      </c>
      <c r="AH9" s="28" t="s">
        <v>5147</v>
      </c>
      <c r="AI9" s="185"/>
      <c r="AJ9" s="20" t="str">
        <f>IF(CharGenMain!$D$2&gt;0,"2. Spell Matrix"," ")</f>
        <v>2. Spell Matrix</v>
      </c>
      <c r="AK9" s="21"/>
      <c r="AL9" s="21"/>
      <c r="AM9" s="21" t="str">
        <f>IF(CharGenMain!$D$2&gt;6,"6. Enhanced Matrix"," ")</f>
        <v>6. Enhanced Matrix</v>
      </c>
      <c r="AN9" s="21"/>
      <c r="AO9" s="21"/>
      <c r="AP9" s="21" t="str">
        <f>IF(CharGenMain!$D$2&gt;13,"10. Share Matrix"," ")</f>
        <v xml:space="preserve"> </v>
      </c>
      <c r="AQ9" s="21"/>
      <c r="AR9" s="21"/>
      <c r="AS9" s="20" t="s">
        <v>5421</v>
      </c>
      <c r="AT9" s="28" t="s">
        <v>5147</v>
      </c>
      <c r="AU9" s="9"/>
      <c r="AV9" s="20" t="str">
        <f>IF(CharGenMain!$D$2&gt;0,"2. Spell Matrix"," ")</f>
        <v>2. Spell Matrix</v>
      </c>
      <c r="AW9" s="21"/>
      <c r="AX9" s="21"/>
      <c r="AY9" s="21" t="str">
        <f>IF(CharGenMain!$D$2&gt;7,"6. Enhanced Matrix"," ")</f>
        <v>6. Enhanced Matrix</v>
      </c>
      <c r="AZ9" s="21"/>
      <c r="BA9" s="21"/>
      <c r="BB9" s="21" t="str">
        <f>IF(CharGenMain!$D$2&gt;13,"10. Share Matrix"," ")</f>
        <v xml:space="preserve"> </v>
      </c>
      <c r="BC9" s="21"/>
      <c r="BD9" s="21"/>
      <c r="BE9" s="20" t="s">
        <v>5421</v>
      </c>
      <c r="BF9" s="28" t="s">
        <v>5147</v>
      </c>
      <c r="BG9" s="185"/>
      <c r="BH9" s="20" t="str">
        <f>IF(CharGenMain!$D$2&gt;0,"2. Spell Matrix"," ")</f>
        <v>2. Spell Matrix</v>
      </c>
      <c r="BI9" s="21"/>
      <c r="BJ9" s="21"/>
      <c r="BK9" s="21" t="str">
        <f>IF(CharGenMain!$D$2&gt;8,"6. Armored Matrix"," ")</f>
        <v>6. Armored Matrix</v>
      </c>
      <c r="BL9" s="21"/>
      <c r="BM9" s="21"/>
      <c r="BN9" s="21" t="str">
        <f>IF(CharGenMain!$D$2&gt;13,"10. Share Matrix"," ")</f>
        <v xml:space="preserve"> </v>
      </c>
      <c r="BO9" s="21"/>
      <c r="BP9" s="21"/>
      <c r="BQ9" s="20" t="s">
        <v>5421</v>
      </c>
      <c r="BR9" s="28" t="s">
        <v>5147</v>
      </c>
      <c r="BT9" s="20" t="str">
        <f>IF(CharGenMain!$D$2&gt;0,"2. Spell Matrix"," ")</f>
        <v>2. Spell Matrix</v>
      </c>
      <c r="BU9" s="21"/>
      <c r="BV9" s="21"/>
      <c r="BW9" s="21" t="str">
        <f>IF(CharGenMain!$D$2&gt;7,"7. Enhanced Matrix"," ")</f>
        <v>7. Enhanced Matrix</v>
      </c>
      <c r="BX9" s="21"/>
      <c r="BY9" s="21"/>
      <c r="BZ9" s="21"/>
      <c r="CA9" s="21"/>
      <c r="CB9" s="21"/>
      <c r="CC9" s="20" t="s">
        <v>5421</v>
      </c>
      <c r="CD9" s="28" t="s">
        <v>5147</v>
      </c>
      <c r="CF9" s="20" t="str">
        <f>IF(CharGenMain!$D$2&gt;1,"2. Spell Matrix"," ")</f>
        <v>2. Spell Matrix</v>
      </c>
      <c r="CG9" s="21"/>
      <c r="CH9" s="21"/>
      <c r="CI9" s="21"/>
      <c r="CJ9" s="21"/>
      <c r="CK9" s="21"/>
      <c r="CL9" s="21"/>
      <c r="CM9" s="21"/>
      <c r="CN9" s="21"/>
      <c r="CO9" s="20" t="s">
        <v>5421</v>
      </c>
      <c r="CP9" s="28" t="s">
        <v>5147</v>
      </c>
      <c r="CR9" s="20" t="str">
        <f>IF(CharGenMain!$D$2&gt;13,"2. Armored Matrix"," ")</f>
        <v xml:space="preserve"> </v>
      </c>
      <c r="CS9" s="21"/>
      <c r="CT9" s="21"/>
      <c r="CU9" s="21"/>
      <c r="CV9" s="21"/>
      <c r="CW9" s="21"/>
      <c r="CX9" s="21"/>
      <c r="CY9" s="21"/>
      <c r="CZ9" s="21"/>
      <c r="DA9" s="20" t="s">
        <v>5421</v>
      </c>
      <c r="DB9" s="28" t="s">
        <v>5147</v>
      </c>
      <c r="DD9" s="20"/>
      <c r="DE9" s="21"/>
      <c r="DF9" s="21"/>
      <c r="DG9" s="21"/>
      <c r="DH9" s="21"/>
      <c r="DI9" s="21"/>
      <c r="DJ9" s="21"/>
      <c r="DK9" s="21"/>
      <c r="DL9" s="21"/>
      <c r="DM9" s="20" t="s">
        <v>5421</v>
      </c>
      <c r="DN9" s="28" t="s">
        <v>5147</v>
      </c>
      <c r="DP9" s="20" t="str">
        <f>IF(CharGenMain!$D$2&gt;0,"2. Spell Matrix"," ")</f>
        <v>2. Spell Matrix</v>
      </c>
      <c r="DQ9" s="21"/>
      <c r="DR9" s="21"/>
      <c r="DS9" s="21" t="str">
        <f>IF(CharGenMain!$D$2&gt;7,"6. Enhanced Matrix"," ")</f>
        <v>6. Enhanced Matrix</v>
      </c>
      <c r="DT9" s="21"/>
      <c r="DU9" s="21"/>
      <c r="DV9" s="21" t="str">
        <f>IF(CharGenMain!$D$2&gt;13,"10. Share Matrix"," ")</f>
        <v xml:space="preserve"> </v>
      </c>
      <c r="DW9" s="21"/>
      <c r="DX9" s="21"/>
      <c r="DY9" s="20" t="s">
        <v>5421</v>
      </c>
      <c r="DZ9" s="28" t="s">
        <v>5147</v>
      </c>
      <c r="EB9" s="20"/>
      <c r="EC9" s="21"/>
      <c r="ED9" s="21"/>
      <c r="EE9" s="21"/>
      <c r="EF9" s="21"/>
      <c r="EG9" s="21"/>
      <c r="EH9" s="21"/>
      <c r="EI9" s="21"/>
      <c r="EJ9" s="21"/>
      <c r="EK9" s="20" t="s">
        <v>5421</v>
      </c>
      <c r="EL9" s="28" t="s">
        <v>5147</v>
      </c>
      <c r="EN9" s="20" t="str">
        <f>IF(CharGenMain!$D$2&gt;1,"2. Spell Matrix"," ")</f>
        <v>2. Spell Matrix</v>
      </c>
      <c r="EO9" s="21"/>
      <c r="EP9" s="21"/>
      <c r="EQ9" s="21" t="str">
        <f>IF(CharGenMain!$D$2&gt;10,"6. Armored Matrix"," ")</f>
        <v xml:space="preserve"> </v>
      </c>
      <c r="ER9" s="21"/>
      <c r="ES9" s="21"/>
      <c r="ET9" s="21"/>
      <c r="EU9" s="21"/>
      <c r="EV9" s="21"/>
      <c r="EW9" s="20" t="s">
        <v>5421</v>
      </c>
      <c r="EX9" s="28" t="s">
        <v>5147</v>
      </c>
    </row>
    <row r="10" spans="1:160">
      <c r="A10" s="20" t="s">
        <v>3556</v>
      </c>
      <c r="B10" s="14">
        <v>1</v>
      </c>
      <c r="C10" s="14" t="s">
        <v>3907</v>
      </c>
      <c r="D10" s="14">
        <v>2</v>
      </c>
      <c r="E10" s="110" t="s">
        <v>3557</v>
      </c>
      <c r="F10" s="14" t="s">
        <v>3898</v>
      </c>
      <c r="G10" s="44" t="s">
        <v>3743</v>
      </c>
      <c r="H10" s="44" t="s">
        <v>3558</v>
      </c>
      <c r="I10" s="44" t="s">
        <v>3900</v>
      </c>
      <c r="J10" s="28" t="s">
        <v>4369</v>
      </c>
      <c r="K10" s="111"/>
      <c r="L10" s="20" t="str">
        <f>IF(CharGenMain!$D$2&gt;1,"3. Spell Fetish"," ")</f>
        <v>3. Spell Fetish</v>
      </c>
      <c r="M10" s="21"/>
      <c r="N10" s="21"/>
      <c r="O10" s="21" t="str">
        <f>IF(CharGenMain!$D$2&gt;8,"7. Enhanced Fetish"," ")</f>
        <v>7. Enhanced Fetish</v>
      </c>
      <c r="P10" s="21"/>
      <c r="Q10" s="21"/>
      <c r="R10" s="21" t="str">
        <f>IF(CharGenMain!$D$2&gt;12,"11. Shared Fetish"," ")</f>
        <v xml:space="preserve"> </v>
      </c>
      <c r="S10" s="21"/>
      <c r="T10" s="21"/>
      <c r="U10" s="20" t="s">
        <v>4970</v>
      </c>
      <c r="V10" s="28" t="s">
        <v>4971</v>
      </c>
      <c r="W10" s="185"/>
      <c r="X10" s="20" t="str">
        <f>IF(CharGenMain!$D$2&gt;1,"3. Spell Matrix"," ")</f>
        <v>3. Spell Matrix</v>
      </c>
      <c r="Y10" s="21"/>
      <c r="Z10" s="21"/>
      <c r="AA10" s="21" t="str">
        <f>IF(CharGenMain!$D$2&gt;8,"7. Armored Matrix"," ")</f>
        <v>7. Armored Matrix</v>
      </c>
      <c r="AB10" s="21"/>
      <c r="AC10" s="21"/>
      <c r="AD10" s="21"/>
      <c r="AE10" s="21"/>
      <c r="AF10" s="21"/>
      <c r="AG10" s="20" t="s">
        <v>4970</v>
      </c>
      <c r="AH10" s="28" t="s">
        <v>4971</v>
      </c>
      <c r="AI10" s="185"/>
      <c r="AJ10" s="20" t="str">
        <f>IF(CharGenMain!$D$2&gt;1,"3. Spell Matrix"," ")</f>
        <v>3. Spell Matrix</v>
      </c>
      <c r="AK10" s="21"/>
      <c r="AL10" s="21"/>
      <c r="AM10" s="21" t="str">
        <f>IF(CharGenMain!$D$2&gt;8,"7. Armored Matrix"," ")</f>
        <v>7. Armored Matrix</v>
      </c>
      <c r="AN10" s="21"/>
      <c r="AO10" s="21"/>
      <c r="AP10" s="21" t="str">
        <f>IF(CharGenMain!$D$2&gt;14,"11. Share Matrix"," ")</f>
        <v xml:space="preserve"> </v>
      </c>
      <c r="AQ10" s="21"/>
      <c r="AR10" s="21"/>
      <c r="AS10" s="20" t="s">
        <v>4970</v>
      </c>
      <c r="AT10" s="28" t="s">
        <v>4971</v>
      </c>
      <c r="AU10" s="9"/>
      <c r="AV10" s="20" t="str">
        <f>IF(CharGenMain!$D$2&gt;2,"3. Spell Matrix"," ")</f>
        <v>3. Spell Matrix</v>
      </c>
      <c r="AW10" s="21"/>
      <c r="AX10" s="21"/>
      <c r="AY10" s="21" t="str">
        <f>IF(CharGenMain!$D$2&gt;8,"7. Armored Matrix"," ")</f>
        <v>7. Armored Matrix</v>
      </c>
      <c r="AZ10" s="21"/>
      <c r="BA10" s="21"/>
      <c r="BB10" s="21" t="str">
        <f>IF(CharGenMain!$D$2&gt;14,"11. Share Matrix"," ")</f>
        <v xml:space="preserve"> </v>
      </c>
      <c r="BC10" s="21"/>
      <c r="BD10" s="21"/>
      <c r="BE10" s="20" t="s">
        <v>4970</v>
      </c>
      <c r="BF10" s="28" t="s">
        <v>4971</v>
      </c>
      <c r="BG10" s="185"/>
      <c r="BH10" s="20" t="str">
        <f>IF(CharGenMain!$D$2&gt;1,"3. Spell Matrix"," ")</f>
        <v>3. Spell Matrix</v>
      </c>
      <c r="BI10" s="21"/>
      <c r="BJ10" s="21"/>
      <c r="BK10" s="21" t="str">
        <f>IF(CharGenMain!$D$2&gt;10,"7. Armored Matrix"," ")</f>
        <v xml:space="preserve"> </v>
      </c>
      <c r="BL10" s="21"/>
      <c r="BM10" s="21"/>
      <c r="BN10" s="21" t="str">
        <f>IF(CharGenMain!$D$2&gt;14,"11. Share Matrix"," ")</f>
        <v xml:space="preserve"> </v>
      </c>
      <c r="BO10" s="21"/>
      <c r="BP10" s="21"/>
      <c r="BQ10" s="20" t="s">
        <v>4970</v>
      </c>
      <c r="BR10" s="28" t="s">
        <v>4971</v>
      </c>
      <c r="BT10" s="20" t="str">
        <f>IF(CharGenMain!$D$2&gt;1,"3. Spell Matrix"," ")</f>
        <v>3. Spell Matrix</v>
      </c>
      <c r="BU10" s="21"/>
      <c r="BV10" s="21"/>
      <c r="BW10" s="21" t="str">
        <f>IF(CharGenMain!$D$2&gt;8,"8. Armored Matrix"," ")</f>
        <v>8. Armored Matrix</v>
      </c>
      <c r="BX10" s="21"/>
      <c r="BY10" s="21"/>
      <c r="BZ10" s="21"/>
      <c r="CA10" s="21"/>
      <c r="CB10" s="21"/>
      <c r="CC10" s="20" t="s">
        <v>4970</v>
      </c>
      <c r="CD10" s="28" t="s">
        <v>4971</v>
      </c>
      <c r="CF10" s="20" t="str">
        <f>IF(CharGenMain!$D$2&gt;5,"3. Enhanced Matrix"," ")</f>
        <v>3. Enhanced Matrix</v>
      </c>
      <c r="CG10" s="21"/>
      <c r="CH10" s="21"/>
      <c r="CI10" s="21"/>
      <c r="CJ10" s="21"/>
      <c r="CK10" s="21"/>
      <c r="CL10" s="21"/>
      <c r="CM10" s="21"/>
      <c r="CN10" s="21"/>
      <c r="CO10" s="20" t="s">
        <v>4970</v>
      </c>
      <c r="CP10" s="28" t="s">
        <v>4971</v>
      </c>
      <c r="CR10" s="20" t="str">
        <f>IF(CharGenMain!$D$2&gt;14,"3. Share Matrix"," ")</f>
        <v xml:space="preserve"> </v>
      </c>
      <c r="CS10" s="21"/>
      <c r="CT10" s="21"/>
      <c r="CU10" s="21"/>
      <c r="CV10" s="21"/>
      <c r="CW10" s="21"/>
      <c r="CX10" s="21"/>
      <c r="CY10" s="21"/>
      <c r="CZ10" s="21"/>
      <c r="DA10" s="20" t="s">
        <v>4970</v>
      </c>
      <c r="DB10" s="28" t="s">
        <v>4971</v>
      </c>
      <c r="DD10" s="20"/>
      <c r="DE10" s="21"/>
      <c r="DF10" s="21"/>
      <c r="DG10" s="21"/>
      <c r="DH10" s="21"/>
      <c r="DI10" s="21"/>
      <c r="DJ10" s="21"/>
      <c r="DK10" s="21"/>
      <c r="DL10" s="21"/>
      <c r="DM10" s="20" t="s">
        <v>4970</v>
      </c>
      <c r="DN10" s="28" t="s">
        <v>4971</v>
      </c>
      <c r="DP10" s="20" t="str">
        <f>IF(CharGenMain!$D$2&gt;3,"3. Spell Matrix"," ")</f>
        <v>3. Spell Matrix</v>
      </c>
      <c r="DQ10" s="21"/>
      <c r="DR10" s="21"/>
      <c r="DS10" s="21" t="str">
        <f>IF(CharGenMain!$D$2&gt;8,"7. Armored Matrix"," ")</f>
        <v>7. Armored Matrix</v>
      </c>
      <c r="DT10" s="21"/>
      <c r="DU10" s="21"/>
      <c r="DV10" s="21"/>
      <c r="DW10" s="21"/>
      <c r="DX10" s="21"/>
      <c r="DY10" s="20" t="s">
        <v>4970</v>
      </c>
      <c r="DZ10" s="28" t="s">
        <v>4971</v>
      </c>
      <c r="EB10" s="20"/>
      <c r="EC10" s="21"/>
      <c r="ED10" s="21"/>
      <c r="EE10" s="21"/>
      <c r="EF10" s="21"/>
      <c r="EG10" s="21"/>
      <c r="EH10" s="21"/>
      <c r="EI10" s="21"/>
      <c r="EJ10" s="21"/>
      <c r="EK10" s="20" t="s">
        <v>4970</v>
      </c>
      <c r="EL10" s="28" t="s">
        <v>4971</v>
      </c>
      <c r="EN10" s="20" t="str">
        <f>IF(CharGenMain!$D$2&gt;5,"3. Spell Matrix"," ")</f>
        <v>3. Spell Matrix</v>
      </c>
      <c r="EO10" s="21"/>
      <c r="EP10" s="21"/>
      <c r="EQ10" s="21" t="str">
        <f>IF(CharGenMain!$D$2&gt;13,"7. Share Matrix"," ")</f>
        <v xml:space="preserve"> </v>
      </c>
      <c r="ER10" s="21"/>
      <c r="ES10" s="21"/>
      <c r="ET10" s="21"/>
      <c r="EU10" s="21"/>
      <c r="EV10" s="21"/>
      <c r="EW10" s="20" t="s">
        <v>4970</v>
      </c>
      <c r="EX10" s="28" t="s">
        <v>4971</v>
      </c>
    </row>
    <row r="11" spans="1:160">
      <c r="A11" s="20" t="s">
        <v>3744</v>
      </c>
      <c r="B11" s="14">
        <v>1</v>
      </c>
      <c r="C11" s="14" t="s">
        <v>3555</v>
      </c>
      <c r="D11" s="14">
        <v>0</v>
      </c>
      <c r="E11" s="14" t="s">
        <v>3745</v>
      </c>
      <c r="F11" s="14" t="s">
        <v>3898</v>
      </c>
      <c r="G11" s="44" t="s">
        <v>3747</v>
      </c>
      <c r="H11" s="44" t="s">
        <v>3746</v>
      </c>
      <c r="I11" s="44" t="s">
        <v>3900</v>
      </c>
      <c r="J11" s="28" t="s">
        <v>4369</v>
      </c>
      <c r="K11" s="111"/>
      <c r="L11" s="22" t="str">
        <f>IF(CharGenMain!$D$2&gt;3,"4. Spell Fetish"," ")</f>
        <v>4. Spell Fetish</v>
      </c>
      <c r="M11" s="29"/>
      <c r="N11" s="29"/>
      <c r="O11" s="29" t="str">
        <f>IF(CharGenMain!$D$2&gt;9,"8. Enhanced Fetish"," ")</f>
        <v xml:space="preserve"> </v>
      </c>
      <c r="P11" s="29"/>
      <c r="Q11" s="29"/>
      <c r="R11" s="29" t="str">
        <f>IF(CharGenMain!$D$2&gt;14,"12. Shared Fetish"," ")</f>
        <v xml:space="preserve"> </v>
      </c>
      <c r="S11" s="29"/>
      <c r="T11" s="29"/>
      <c r="U11" s="22" t="s">
        <v>4973</v>
      </c>
      <c r="V11" s="61" t="s">
        <v>4974</v>
      </c>
      <c r="W11" s="185"/>
      <c r="X11" s="22" t="str">
        <f>IF(CharGenMain!$D$2&gt;3,"4. Spell Matrix"," ")</f>
        <v>4. Spell Matrix</v>
      </c>
      <c r="Y11" s="29"/>
      <c r="Z11" s="29"/>
      <c r="AA11" s="29" t="str">
        <f>IF(CharGenMain!$D$2&gt;11,"8. Armored Matrix"," ")</f>
        <v xml:space="preserve"> </v>
      </c>
      <c r="AB11" s="29"/>
      <c r="AC11" s="29"/>
      <c r="AD11" s="29"/>
      <c r="AE11" s="29"/>
      <c r="AF11" s="29"/>
      <c r="AG11" s="22" t="s">
        <v>4973</v>
      </c>
      <c r="AH11" s="61" t="s">
        <v>4974</v>
      </c>
      <c r="AI11" s="185"/>
      <c r="AJ11" s="22" t="str">
        <f>IF(CharGenMain!$D$2&gt;3,"4. Spell Matrix"," ")</f>
        <v>4. Spell Matrix</v>
      </c>
      <c r="AK11" s="29"/>
      <c r="AL11" s="29"/>
      <c r="AM11" s="29" t="str">
        <f>IF(CharGenMain!$D$2&gt;10,"8. Armored Matrix"," ")</f>
        <v xml:space="preserve"> </v>
      </c>
      <c r="AN11" s="29"/>
      <c r="AO11" s="29"/>
      <c r="AP11" s="29"/>
      <c r="AQ11" s="29"/>
      <c r="AR11" s="29"/>
      <c r="AS11" s="22" t="s">
        <v>4973</v>
      </c>
      <c r="AT11" s="61" t="s">
        <v>4974</v>
      </c>
      <c r="AU11" s="9"/>
      <c r="AV11" s="22" t="str">
        <f>IF(CharGenMain!$D$2&gt;3,"4. Spell Matrix"," ")</f>
        <v>4. Spell Matrix</v>
      </c>
      <c r="AW11" s="29"/>
      <c r="AX11" s="29"/>
      <c r="AY11" s="29" t="str">
        <f>IF(CharGenMain!$D$2&gt;10,"8. Armored Matrix"," ")</f>
        <v xml:space="preserve"> </v>
      </c>
      <c r="AZ11" s="29"/>
      <c r="BA11" s="29"/>
      <c r="BB11" s="29"/>
      <c r="BC11" s="29"/>
      <c r="BD11" s="29"/>
      <c r="BE11" s="22" t="s">
        <v>4973</v>
      </c>
      <c r="BF11" s="61" t="s">
        <v>4974</v>
      </c>
      <c r="BG11" s="185"/>
      <c r="BH11" s="22" t="str">
        <f>IF(CharGenMain!$D$2&gt;5,"4. Enhanced Matrix"," ")</f>
        <v>4. Enhanced Matrix</v>
      </c>
      <c r="BI11" s="29"/>
      <c r="BJ11" s="29"/>
      <c r="BK11" s="29" t="str">
        <f>IF(CharGenMain!$D$2&gt;11,"8. Armored Matrix"," ")</f>
        <v xml:space="preserve"> </v>
      </c>
      <c r="BL11" s="29"/>
      <c r="BM11" s="29"/>
      <c r="BN11" s="29"/>
      <c r="BO11" s="29"/>
      <c r="BP11" s="29"/>
      <c r="BQ11" s="22" t="s">
        <v>4973</v>
      </c>
      <c r="BR11" s="61" t="s">
        <v>4974</v>
      </c>
      <c r="BT11" s="22" t="str">
        <f>IF(CharGenMain!$D$2&gt;3,"4. Spell Matrix"," ")</f>
        <v>4. Spell Matrix</v>
      </c>
      <c r="BU11" s="29"/>
      <c r="BV11" s="29"/>
      <c r="BW11" s="29" t="str">
        <f>IF(CharGenMain!$D$2&gt;9,"9. Armored Matrix"," ")</f>
        <v xml:space="preserve"> </v>
      </c>
      <c r="BX11" s="29"/>
      <c r="BY11" s="29"/>
      <c r="BZ11" s="29"/>
      <c r="CA11" s="29"/>
      <c r="CB11" s="29"/>
      <c r="CC11" s="22" t="s">
        <v>4973</v>
      </c>
      <c r="CD11" s="61" t="s">
        <v>4974</v>
      </c>
      <c r="CF11" s="22" t="str">
        <f>IF(CharGenMain!$D$2&gt;8,"4. Armoured Matrix"," ")</f>
        <v>4. Armoured Matrix</v>
      </c>
      <c r="CG11" s="29"/>
      <c r="CH11" s="29"/>
      <c r="CI11" s="29"/>
      <c r="CJ11" s="29"/>
      <c r="CK11" s="29"/>
      <c r="CL11" s="29"/>
      <c r="CM11" s="29"/>
      <c r="CN11" s="29"/>
      <c r="CO11" s="22" t="s">
        <v>4973</v>
      </c>
      <c r="CP11" s="61" t="s">
        <v>4974</v>
      </c>
      <c r="CR11" s="22"/>
      <c r="CS11" s="29"/>
      <c r="CT11" s="29"/>
      <c r="CU11" s="29"/>
      <c r="CV11" s="29"/>
      <c r="CW11" s="29"/>
      <c r="CX11" s="29"/>
      <c r="CY11" s="29"/>
      <c r="CZ11" s="29"/>
      <c r="DA11" s="22" t="s">
        <v>4973</v>
      </c>
      <c r="DB11" s="61" t="s">
        <v>4974</v>
      </c>
      <c r="DD11" s="22"/>
      <c r="DE11" s="29"/>
      <c r="DF11" s="29"/>
      <c r="DG11" s="29"/>
      <c r="DH11" s="29"/>
      <c r="DI11" s="29"/>
      <c r="DJ11" s="29"/>
      <c r="DK11" s="29"/>
      <c r="DL11" s="29"/>
      <c r="DM11" s="22" t="s">
        <v>4973</v>
      </c>
      <c r="DN11" s="61" t="s">
        <v>4974</v>
      </c>
      <c r="DP11" s="22" t="str">
        <f>IF(CharGenMain!$D$2&gt;5,"4. Spell Matrix"," ")</f>
        <v>4. Spell Matrix</v>
      </c>
      <c r="DQ11" s="29"/>
      <c r="DR11" s="29"/>
      <c r="DS11" s="29" t="str">
        <f>IF(CharGenMain!$D$2&gt;9,"8. Armored Matrix"," ")</f>
        <v xml:space="preserve"> </v>
      </c>
      <c r="DT11" s="29"/>
      <c r="DU11" s="29"/>
      <c r="DV11" s="29"/>
      <c r="DW11" s="29"/>
      <c r="DX11" s="29"/>
      <c r="DY11" s="22" t="s">
        <v>4973</v>
      </c>
      <c r="DZ11" s="61" t="s">
        <v>4974</v>
      </c>
      <c r="EB11" s="22"/>
      <c r="EC11" s="29"/>
      <c r="ED11" s="29"/>
      <c r="EE11" s="29"/>
      <c r="EF11" s="29"/>
      <c r="EG11" s="29"/>
      <c r="EH11" s="29"/>
      <c r="EI11" s="29"/>
      <c r="EJ11" s="29"/>
      <c r="EK11" s="22" t="s">
        <v>4973</v>
      </c>
      <c r="EL11" s="61" t="s">
        <v>4974</v>
      </c>
      <c r="EN11" s="22" t="str">
        <f>IF(CharGenMain!$D$2&gt;7,"4. Enhanced Matrix"," ")</f>
        <v>4. Enhanced Matrix</v>
      </c>
      <c r="EO11" s="29"/>
      <c r="EP11" s="29"/>
      <c r="EQ11" s="29"/>
      <c r="ER11" s="29"/>
      <c r="ES11" s="29"/>
      <c r="ET11" s="29"/>
      <c r="EU11" s="29"/>
      <c r="EV11" s="29"/>
      <c r="EW11" s="22" t="s">
        <v>4973</v>
      </c>
      <c r="EX11" s="61" t="s">
        <v>4974</v>
      </c>
    </row>
    <row r="12" spans="1:160">
      <c r="A12" s="20" t="s">
        <v>3748</v>
      </c>
      <c r="B12" s="14">
        <v>1</v>
      </c>
      <c r="C12" s="5" t="s">
        <v>3912</v>
      </c>
      <c r="D12" s="14">
        <v>1</v>
      </c>
      <c r="E12" s="106" t="s">
        <v>3749</v>
      </c>
      <c r="F12" s="14" t="s">
        <v>4066</v>
      </c>
      <c r="G12" s="44" t="s">
        <v>3911</v>
      </c>
      <c r="H12" s="44" t="s">
        <v>3910</v>
      </c>
      <c r="I12" s="44" t="s">
        <v>3900</v>
      </c>
      <c r="J12" s="28" t="s">
        <v>4773</v>
      </c>
      <c r="K12" s="111"/>
      <c r="L12" s="4" t="s">
        <v>5199</v>
      </c>
      <c r="M12" s="9"/>
      <c r="N12" s="1" t="s">
        <v>5018</v>
      </c>
      <c r="O12" s="1" t="s">
        <v>5701</v>
      </c>
      <c r="P12" s="1" t="s">
        <v>5019</v>
      </c>
      <c r="Q12" s="1" t="s">
        <v>5020</v>
      </c>
      <c r="R12" s="1" t="s">
        <v>5021</v>
      </c>
      <c r="S12" s="1" t="s">
        <v>5022</v>
      </c>
      <c r="T12" s="59" t="s">
        <v>5316</v>
      </c>
      <c r="U12" s="4"/>
      <c r="V12" s="9"/>
      <c r="W12" s="9"/>
      <c r="X12" s="4" t="s">
        <v>5199</v>
      </c>
      <c r="Y12" s="9"/>
      <c r="Z12" s="1" t="s">
        <v>5018</v>
      </c>
      <c r="AA12" s="1" t="s">
        <v>5701</v>
      </c>
      <c r="AB12" s="1" t="s">
        <v>5019</v>
      </c>
      <c r="AC12" s="1" t="s">
        <v>5020</v>
      </c>
      <c r="AD12" s="1" t="s">
        <v>5021</v>
      </c>
      <c r="AE12" s="1" t="s">
        <v>5022</v>
      </c>
      <c r="AF12" s="59" t="s">
        <v>5316</v>
      </c>
      <c r="AG12" s="4"/>
      <c r="AH12" s="9"/>
      <c r="AI12" s="9"/>
      <c r="AJ12" s="4" t="s">
        <v>5199</v>
      </c>
      <c r="AK12" s="9"/>
      <c r="AL12" s="1" t="s">
        <v>5018</v>
      </c>
      <c r="AM12" s="1" t="s">
        <v>5701</v>
      </c>
      <c r="AN12" s="1" t="s">
        <v>5019</v>
      </c>
      <c r="AO12" s="1" t="s">
        <v>5020</v>
      </c>
      <c r="AP12" s="1" t="s">
        <v>5021</v>
      </c>
      <c r="AQ12" s="1" t="s">
        <v>5022</v>
      </c>
      <c r="AR12" s="59" t="s">
        <v>5316</v>
      </c>
      <c r="AS12" s="4"/>
      <c r="AT12" s="9"/>
      <c r="AU12" s="9"/>
      <c r="AV12" s="4" t="s">
        <v>5199</v>
      </c>
      <c r="AW12" s="9"/>
      <c r="AX12" s="1" t="s">
        <v>5018</v>
      </c>
      <c r="AY12" s="1" t="s">
        <v>5701</v>
      </c>
      <c r="AZ12" s="1" t="s">
        <v>5019</v>
      </c>
      <c r="BA12" s="1" t="s">
        <v>5020</v>
      </c>
      <c r="BB12" s="1" t="s">
        <v>5021</v>
      </c>
      <c r="BC12" s="1" t="s">
        <v>5022</v>
      </c>
      <c r="BD12" s="59" t="s">
        <v>5316</v>
      </c>
      <c r="BE12" s="4"/>
      <c r="BF12" s="9"/>
      <c r="BG12" s="9"/>
      <c r="BH12" s="4" t="s">
        <v>5199</v>
      </c>
      <c r="BI12" s="9"/>
      <c r="BJ12" s="1" t="s">
        <v>5018</v>
      </c>
      <c r="BK12" s="1" t="s">
        <v>5701</v>
      </c>
      <c r="BL12" s="1" t="s">
        <v>5019</v>
      </c>
      <c r="BM12" s="1" t="s">
        <v>5020</v>
      </c>
      <c r="BN12" s="1" t="s">
        <v>5021</v>
      </c>
      <c r="BO12" s="1" t="s">
        <v>5022</v>
      </c>
      <c r="BP12" s="59" t="s">
        <v>5316</v>
      </c>
      <c r="BQ12" s="4"/>
      <c r="BR12" s="9"/>
      <c r="BT12" s="4" t="s">
        <v>5199</v>
      </c>
      <c r="BU12" s="9"/>
      <c r="BV12" s="1" t="s">
        <v>5018</v>
      </c>
      <c r="BW12" s="1" t="s">
        <v>5701</v>
      </c>
      <c r="BX12" s="1" t="s">
        <v>5019</v>
      </c>
      <c r="BY12" s="1" t="s">
        <v>5020</v>
      </c>
      <c r="BZ12" s="1" t="s">
        <v>5021</v>
      </c>
      <c r="CA12" s="1" t="s">
        <v>5022</v>
      </c>
      <c r="CB12" s="59" t="s">
        <v>5316</v>
      </c>
      <c r="CF12" s="4" t="s">
        <v>5199</v>
      </c>
      <c r="CG12" s="9"/>
      <c r="CH12" s="1" t="s">
        <v>5018</v>
      </c>
      <c r="CI12" s="1" t="s">
        <v>5701</v>
      </c>
      <c r="CJ12" s="1" t="s">
        <v>5019</v>
      </c>
      <c r="CK12" s="1" t="s">
        <v>5020</v>
      </c>
      <c r="CL12" s="1" t="s">
        <v>5021</v>
      </c>
      <c r="CM12" s="1" t="s">
        <v>5022</v>
      </c>
      <c r="CN12" s="59" t="s">
        <v>5316</v>
      </c>
      <c r="CR12" s="4" t="s">
        <v>5199</v>
      </c>
      <c r="CS12" s="9"/>
      <c r="CT12" s="1" t="s">
        <v>5018</v>
      </c>
      <c r="CU12" s="1" t="s">
        <v>5701</v>
      </c>
      <c r="CV12" s="1" t="s">
        <v>5019</v>
      </c>
      <c r="CW12" s="1" t="s">
        <v>5020</v>
      </c>
      <c r="CX12" s="1" t="s">
        <v>5021</v>
      </c>
      <c r="CY12" s="1" t="s">
        <v>5022</v>
      </c>
      <c r="CZ12" s="59" t="s">
        <v>5316</v>
      </c>
      <c r="DA12" s="4"/>
      <c r="DB12" s="9"/>
      <c r="DD12" s="4" t="s">
        <v>5199</v>
      </c>
      <c r="DE12" s="9"/>
      <c r="DF12" s="1" t="s">
        <v>5018</v>
      </c>
      <c r="DG12" s="1" t="s">
        <v>5701</v>
      </c>
      <c r="DH12" s="1" t="s">
        <v>5019</v>
      </c>
      <c r="DI12" s="1" t="s">
        <v>5020</v>
      </c>
      <c r="DJ12" s="1" t="s">
        <v>5021</v>
      </c>
      <c r="DK12" s="1" t="s">
        <v>5022</v>
      </c>
      <c r="DL12" s="59" t="s">
        <v>5316</v>
      </c>
      <c r="DM12" s="4"/>
      <c r="DN12" s="9"/>
      <c r="DP12" s="4" t="s">
        <v>5199</v>
      </c>
      <c r="DQ12" s="9"/>
      <c r="DR12" s="1" t="s">
        <v>5018</v>
      </c>
      <c r="DS12" s="1" t="s">
        <v>5701</v>
      </c>
      <c r="DT12" s="1" t="s">
        <v>5019</v>
      </c>
      <c r="DU12" s="1" t="s">
        <v>5020</v>
      </c>
      <c r="DV12" s="1" t="s">
        <v>5021</v>
      </c>
      <c r="DW12" s="1" t="s">
        <v>5022</v>
      </c>
      <c r="DX12" s="59" t="s">
        <v>5316</v>
      </c>
      <c r="DY12" s="4"/>
      <c r="EB12" s="4" t="s">
        <v>5199</v>
      </c>
      <c r="EC12" s="9"/>
      <c r="ED12" s="1" t="s">
        <v>5018</v>
      </c>
      <c r="EE12" s="1" t="s">
        <v>5701</v>
      </c>
      <c r="EF12" s="1" t="s">
        <v>5019</v>
      </c>
      <c r="EG12" s="1" t="s">
        <v>5020</v>
      </c>
      <c r="EH12" s="1" t="s">
        <v>5021</v>
      </c>
      <c r="EI12" s="1" t="s">
        <v>5022</v>
      </c>
      <c r="EJ12" s="59" t="s">
        <v>5316</v>
      </c>
      <c r="EK12" s="4"/>
      <c r="EN12" s="4" t="s">
        <v>5199</v>
      </c>
      <c r="EO12" s="9"/>
      <c r="EP12" s="1" t="s">
        <v>5018</v>
      </c>
      <c r="EQ12" s="1" t="s">
        <v>5701</v>
      </c>
      <c r="ER12" s="1" t="s">
        <v>5019</v>
      </c>
      <c r="ES12" s="1" t="s">
        <v>5020</v>
      </c>
      <c r="ET12" s="1" t="s">
        <v>5021</v>
      </c>
      <c r="EU12" s="1" t="s">
        <v>5022</v>
      </c>
      <c r="EV12" s="59" t="s">
        <v>5316</v>
      </c>
      <c r="EW12" s="4"/>
      <c r="EX12" s="9"/>
    </row>
    <row r="13" spans="1:160">
      <c r="A13" s="20" t="s">
        <v>3913</v>
      </c>
      <c r="B13" s="14">
        <v>1</v>
      </c>
      <c r="C13" s="14" t="s">
        <v>4036</v>
      </c>
      <c r="D13" s="14">
        <v>1</v>
      </c>
      <c r="E13" s="110" t="s">
        <v>3749</v>
      </c>
      <c r="F13" s="14" t="s">
        <v>3914</v>
      </c>
      <c r="G13" s="44" t="s">
        <v>3759</v>
      </c>
      <c r="H13" s="44" t="s">
        <v>3915</v>
      </c>
      <c r="I13" s="44" t="s">
        <v>3916</v>
      </c>
      <c r="J13" s="28" t="s">
        <v>4037</v>
      </c>
      <c r="K13" s="111"/>
      <c r="L13" s="21" t="s">
        <v>3896</v>
      </c>
      <c r="M13" s="21"/>
      <c r="N13" s="21"/>
      <c r="O13" s="14" t="s">
        <v>3902</v>
      </c>
      <c r="P13" s="14">
        <v>0</v>
      </c>
      <c r="Q13" s="14" t="s">
        <v>3897</v>
      </c>
      <c r="R13" s="14" t="s">
        <v>3898</v>
      </c>
      <c r="S13" s="14" t="s">
        <v>3901</v>
      </c>
      <c r="T13" s="206" t="s">
        <v>3899</v>
      </c>
      <c r="U13" s="21"/>
      <c r="V13" s="21"/>
      <c r="W13" s="21"/>
      <c r="X13" s="21" t="s">
        <v>3896</v>
      </c>
      <c r="Y13" s="21"/>
      <c r="Z13" s="21"/>
      <c r="AA13" s="14" t="s">
        <v>3902</v>
      </c>
      <c r="AB13" s="14">
        <v>0</v>
      </c>
      <c r="AC13" s="14" t="s">
        <v>3897</v>
      </c>
      <c r="AD13" s="14" t="s">
        <v>3898</v>
      </c>
      <c r="AE13" s="87" t="s">
        <v>3901</v>
      </c>
      <c r="AF13" s="206" t="s">
        <v>3899</v>
      </c>
      <c r="AG13" s="21"/>
      <c r="AH13" s="21"/>
      <c r="AI13" s="21"/>
      <c r="AJ13" s="21" t="s">
        <v>3903</v>
      </c>
      <c r="AK13" s="21"/>
      <c r="AL13" s="14"/>
      <c r="AM13" s="14" t="s">
        <v>3907</v>
      </c>
      <c r="AN13" s="14" t="s">
        <v>5036</v>
      </c>
      <c r="AO13" s="14" t="s">
        <v>3904</v>
      </c>
      <c r="AP13" s="14" t="s">
        <v>3898</v>
      </c>
      <c r="AQ13" s="87" t="s">
        <v>3906</v>
      </c>
      <c r="AR13" s="206" t="s">
        <v>3905</v>
      </c>
      <c r="AS13" s="14"/>
      <c r="AT13" s="21"/>
      <c r="AU13" s="21"/>
      <c r="AV13" s="21" t="s">
        <v>3733</v>
      </c>
      <c r="AW13" s="21"/>
      <c r="AX13" s="14"/>
      <c r="AY13" s="14" t="s">
        <v>3737</v>
      </c>
      <c r="AZ13" s="14">
        <v>1</v>
      </c>
      <c r="BA13" s="14" t="s">
        <v>3734</v>
      </c>
      <c r="BB13" s="14" t="s">
        <v>3735</v>
      </c>
      <c r="BC13" s="87" t="s">
        <v>3736</v>
      </c>
      <c r="BD13" s="206" t="s">
        <v>3728</v>
      </c>
      <c r="BE13" s="14"/>
      <c r="BF13" s="21"/>
      <c r="BG13" s="21"/>
      <c r="BH13" s="21" t="s">
        <v>3909</v>
      </c>
      <c r="BI13" s="21"/>
      <c r="BJ13" s="14"/>
      <c r="BK13" s="14" t="s">
        <v>3731</v>
      </c>
      <c r="BL13" s="14">
        <v>2</v>
      </c>
      <c r="BM13" s="14" t="s">
        <v>3715</v>
      </c>
      <c r="BN13" s="14" t="s">
        <v>3716</v>
      </c>
      <c r="BO13" s="87" t="s">
        <v>3730</v>
      </c>
      <c r="BP13" s="206" t="s">
        <v>3728</v>
      </c>
      <c r="BQ13" s="14"/>
      <c r="BR13" s="21"/>
      <c r="BS13" s="233"/>
      <c r="BT13" s="21" t="s">
        <v>3903</v>
      </c>
      <c r="BU13" s="21"/>
      <c r="BV13" s="14"/>
      <c r="BW13" s="14" t="s">
        <v>3907</v>
      </c>
      <c r="BX13" s="14" t="s">
        <v>5036</v>
      </c>
      <c r="BY13" s="14" t="s">
        <v>3904</v>
      </c>
      <c r="BZ13" s="14" t="s">
        <v>3898</v>
      </c>
      <c r="CA13" s="87" t="s">
        <v>3906</v>
      </c>
      <c r="CB13" s="206" t="s">
        <v>3905</v>
      </c>
      <c r="CC13" s="233"/>
      <c r="CD13" s="233"/>
      <c r="CE13" s="233"/>
      <c r="CF13" s="21" t="s">
        <v>3909</v>
      </c>
      <c r="CG13" s="21"/>
      <c r="CH13" s="14"/>
      <c r="CI13" s="14" t="s">
        <v>3731</v>
      </c>
      <c r="CJ13" s="14">
        <v>2</v>
      </c>
      <c r="CK13" s="14" t="s">
        <v>3715</v>
      </c>
      <c r="CL13" s="14" t="s">
        <v>3716</v>
      </c>
      <c r="CM13" s="87" t="s">
        <v>3730</v>
      </c>
      <c r="CN13" s="206" t="s">
        <v>3728</v>
      </c>
      <c r="CO13" s="233"/>
      <c r="CP13" s="233"/>
      <c r="CQ13" s="233"/>
      <c r="CR13" s="21" t="s">
        <v>3896</v>
      </c>
      <c r="CS13" s="21"/>
      <c r="CT13" s="21"/>
      <c r="CU13" s="14" t="s">
        <v>3902</v>
      </c>
      <c r="CV13" s="14">
        <v>0</v>
      </c>
      <c r="CW13" s="14" t="s">
        <v>3897</v>
      </c>
      <c r="CX13" s="14" t="s">
        <v>3898</v>
      </c>
      <c r="CY13" s="87" t="s">
        <v>3901</v>
      </c>
      <c r="CZ13" s="206" t="s">
        <v>3899</v>
      </c>
      <c r="DA13" s="21"/>
      <c r="DB13" s="21"/>
      <c r="DC13" s="233"/>
      <c r="DD13" s="21" t="s">
        <v>3896</v>
      </c>
      <c r="DE13" s="21"/>
      <c r="DF13" s="21"/>
      <c r="DG13" s="14" t="s">
        <v>3902</v>
      </c>
      <c r="DH13" s="14">
        <v>0</v>
      </c>
      <c r="DI13" s="14" t="s">
        <v>3897</v>
      </c>
      <c r="DJ13" s="14" t="s">
        <v>3898</v>
      </c>
      <c r="DK13" s="87" t="s">
        <v>3901</v>
      </c>
      <c r="DL13" s="206" t="s">
        <v>3899</v>
      </c>
      <c r="DM13" s="21"/>
      <c r="DN13" s="21"/>
      <c r="DO13" s="233"/>
      <c r="DP13" s="21" t="s">
        <v>3380</v>
      </c>
      <c r="DQ13" s="21"/>
      <c r="DR13" s="14"/>
      <c r="DS13" s="14" t="s">
        <v>3902</v>
      </c>
      <c r="DT13" s="14">
        <v>1</v>
      </c>
      <c r="DU13" s="110" t="s">
        <v>3381</v>
      </c>
      <c r="DV13" s="14" t="s">
        <v>3898</v>
      </c>
      <c r="DW13" s="87" t="s">
        <v>3382</v>
      </c>
      <c r="DX13" s="87" t="s">
        <v>3383</v>
      </c>
      <c r="DY13" s="14"/>
      <c r="DZ13" s="233"/>
      <c r="EA13" s="233"/>
      <c r="EB13" s="21" t="s">
        <v>3903</v>
      </c>
      <c r="EC13" s="21"/>
      <c r="ED13" s="14"/>
      <c r="EE13" s="14" t="s">
        <v>3907</v>
      </c>
      <c r="EF13" s="14" t="s">
        <v>5036</v>
      </c>
      <c r="EG13" s="14" t="s">
        <v>3904</v>
      </c>
      <c r="EH13" s="14" t="s">
        <v>3898</v>
      </c>
      <c r="EI13" s="87" t="s">
        <v>3906</v>
      </c>
      <c r="EJ13" s="206" t="s">
        <v>3905</v>
      </c>
      <c r="EK13" s="14"/>
      <c r="EL13" s="233"/>
      <c r="EM13" s="233"/>
      <c r="EN13" s="21" t="s">
        <v>3896</v>
      </c>
      <c r="EO13" s="21"/>
      <c r="EP13" s="21"/>
      <c r="EQ13" s="14" t="s">
        <v>3902</v>
      </c>
      <c r="ER13" s="14">
        <v>0</v>
      </c>
      <c r="ES13" s="14" t="s">
        <v>3897</v>
      </c>
      <c r="ET13" s="14" t="s">
        <v>3898</v>
      </c>
      <c r="EU13" s="87" t="s">
        <v>3901</v>
      </c>
      <c r="EV13" s="206" t="s">
        <v>3899</v>
      </c>
      <c r="EW13" s="21"/>
      <c r="EX13" s="21"/>
      <c r="EY13" s="233"/>
      <c r="EZ13" s="233"/>
      <c r="FA13" s="233"/>
      <c r="FB13" s="233"/>
      <c r="FC13" s="233"/>
      <c r="FD13" s="233"/>
    </row>
    <row r="14" spans="1:160">
      <c r="A14" s="20" t="s">
        <v>4038</v>
      </c>
      <c r="B14" s="14">
        <v>1</v>
      </c>
      <c r="C14" s="14" t="s">
        <v>3555</v>
      </c>
      <c r="D14" s="14">
        <v>1</v>
      </c>
      <c r="E14" s="110" t="s">
        <v>4039</v>
      </c>
      <c r="F14" s="14" t="s">
        <v>3898</v>
      </c>
      <c r="G14" s="44" t="s">
        <v>3765</v>
      </c>
      <c r="H14" s="44" t="s">
        <v>4040</v>
      </c>
      <c r="I14" s="44" t="s">
        <v>3900</v>
      </c>
      <c r="J14" s="28" t="s">
        <v>462</v>
      </c>
      <c r="K14" s="111"/>
      <c r="L14" s="21" t="s">
        <v>3909</v>
      </c>
      <c r="M14" s="14"/>
      <c r="N14" s="21"/>
      <c r="O14" s="14" t="s">
        <v>3731</v>
      </c>
      <c r="P14" s="14">
        <v>2</v>
      </c>
      <c r="Q14" s="110" t="s">
        <v>3715</v>
      </c>
      <c r="R14" s="14" t="s">
        <v>3716</v>
      </c>
      <c r="S14" s="44" t="s">
        <v>3730</v>
      </c>
      <c r="T14" s="44" t="s">
        <v>3728</v>
      </c>
      <c r="U14" s="44"/>
      <c r="V14" s="21"/>
      <c r="W14" s="21"/>
      <c r="X14" s="21" t="s">
        <v>3766</v>
      </c>
      <c r="Y14" s="21"/>
      <c r="Z14" s="21"/>
      <c r="AA14" s="14" t="s">
        <v>3767</v>
      </c>
      <c r="AB14" s="14">
        <v>1</v>
      </c>
      <c r="AC14" s="110" t="s">
        <v>3569</v>
      </c>
      <c r="AD14" s="14" t="s">
        <v>3898</v>
      </c>
      <c r="AE14" s="87" t="s">
        <v>3901</v>
      </c>
      <c r="AF14" s="206" t="s">
        <v>3923</v>
      </c>
      <c r="AG14" s="21"/>
      <c r="AH14" s="21"/>
      <c r="AI14" s="21"/>
      <c r="AJ14" s="21" t="s">
        <v>3552</v>
      </c>
      <c r="AK14" s="21"/>
      <c r="AL14" s="14"/>
      <c r="AM14" s="14" t="s">
        <v>3555</v>
      </c>
      <c r="AN14" s="14">
        <v>0</v>
      </c>
      <c r="AO14" s="110" t="s">
        <v>3553</v>
      </c>
      <c r="AP14" s="14" t="s">
        <v>3716</v>
      </c>
      <c r="AQ14" s="87" t="s">
        <v>3901</v>
      </c>
      <c r="AR14" s="206" t="s">
        <v>3554</v>
      </c>
      <c r="AS14" s="14"/>
      <c r="AT14" s="21"/>
      <c r="AU14" s="21"/>
      <c r="AV14" s="21" t="s">
        <v>3913</v>
      </c>
      <c r="AW14" s="21"/>
      <c r="AX14" s="14"/>
      <c r="AY14" s="14" t="s">
        <v>4036</v>
      </c>
      <c r="AZ14" s="14">
        <v>1</v>
      </c>
      <c r="BA14" s="110" t="s">
        <v>3749</v>
      </c>
      <c r="BB14" s="14" t="s">
        <v>3914</v>
      </c>
      <c r="BC14" s="87" t="s">
        <v>3759</v>
      </c>
      <c r="BD14" s="206" t="s">
        <v>3915</v>
      </c>
      <c r="BE14" s="14"/>
      <c r="BF14" s="21"/>
      <c r="BG14" s="21"/>
      <c r="BH14" s="21" t="s">
        <v>3547</v>
      </c>
      <c r="BI14" s="21"/>
      <c r="BJ14" s="14"/>
      <c r="BK14" s="14" t="s">
        <v>3551</v>
      </c>
      <c r="BL14" s="14">
        <v>0</v>
      </c>
      <c r="BM14" s="110" t="s">
        <v>3904</v>
      </c>
      <c r="BN14" s="14" t="s">
        <v>3548</v>
      </c>
      <c r="BO14" s="87" t="s">
        <v>3550</v>
      </c>
      <c r="BP14" s="206" t="s">
        <v>3549</v>
      </c>
      <c r="BQ14" s="14"/>
      <c r="BR14" s="21"/>
      <c r="BS14" s="233"/>
      <c r="BT14" s="21" t="s">
        <v>3909</v>
      </c>
      <c r="BU14" s="21"/>
      <c r="BV14" s="14"/>
      <c r="BW14" s="14" t="s">
        <v>3731</v>
      </c>
      <c r="BX14" s="14">
        <v>2</v>
      </c>
      <c r="BY14" s="14" t="s">
        <v>3715</v>
      </c>
      <c r="BZ14" s="14" t="s">
        <v>3716</v>
      </c>
      <c r="CA14" s="87" t="s">
        <v>3730</v>
      </c>
      <c r="CB14" s="206" t="s">
        <v>3728</v>
      </c>
      <c r="CC14" s="233"/>
      <c r="CD14" s="233"/>
      <c r="CE14" s="233"/>
      <c r="CF14" s="21" t="s">
        <v>3547</v>
      </c>
      <c r="CG14" s="21"/>
      <c r="CH14" s="14"/>
      <c r="CI14" s="14" t="s">
        <v>3551</v>
      </c>
      <c r="CJ14" s="14">
        <v>0</v>
      </c>
      <c r="CK14" s="110" t="s">
        <v>3904</v>
      </c>
      <c r="CL14" s="14" t="s">
        <v>3548</v>
      </c>
      <c r="CM14" s="87" t="s">
        <v>3550</v>
      </c>
      <c r="CN14" s="206" t="s">
        <v>3549</v>
      </c>
      <c r="CO14" s="233"/>
      <c r="CP14" s="233"/>
      <c r="CQ14" s="233"/>
      <c r="CR14" s="21" t="s">
        <v>3766</v>
      </c>
      <c r="CS14" s="21"/>
      <c r="CT14" s="21"/>
      <c r="CU14" s="14" t="s">
        <v>3767</v>
      </c>
      <c r="CV14" s="14">
        <v>1</v>
      </c>
      <c r="CW14" s="110" t="s">
        <v>3569</v>
      </c>
      <c r="CX14" s="14" t="s">
        <v>3898</v>
      </c>
      <c r="CY14" s="87" t="s">
        <v>3901</v>
      </c>
      <c r="CZ14" s="206" t="s">
        <v>3923</v>
      </c>
      <c r="DA14" s="21"/>
      <c r="DB14" s="21"/>
      <c r="DC14" s="233"/>
      <c r="DD14" s="21" t="s">
        <v>3766</v>
      </c>
      <c r="DE14" s="21"/>
      <c r="DF14" s="21"/>
      <c r="DG14" s="14" t="s">
        <v>3767</v>
      </c>
      <c r="DH14" s="14">
        <v>1</v>
      </c>
      <c r="DI14" s="110" t="s">
        <v>3569</v>
      </c>
      <c r="DJ14" s="14" t="s">
        <v>3898</v>
      </c>
      <c r="DK14" s="87" t="s">
        <v>3901</v>
      </c>
      <c r="DL14" s="206" t="s">
        <v>3923</v>
      </c>
      <c r="DM14" s="21"/>
      <c r="DN14" s="21"/>
      <c r="DO14" s="233"/>
      <c r="DP14" s="21" t="s">
        <v>3903</v>
      </c>
      <c r="DQ14" s="21"/>
      <c r="DR14" s="14"/>
      <c r="DS14" s="14" t="s">
        <v>3907</v>
      </c>
      <c r="DT14" s="14" t="s">
        <v>5036</v>
      </c>
      <c r="DU14" s="14" t="s">
        <v>3904</v>
      </c>
      <c r="DV14" s="14" t="s">
        <v>3898</v>
      </c>
      <c r="DW14" s="87" t="s">
        <v>3906</v>
      </c>
      <c r="DX14" s="206" t="s">
        <v>3905</v>
      </c>
      <c r="DY14" s="14"/>
      <c r="DZ14" s="233"/>
      <c r="EA14" s="233"/>
      <c r="EB14" s="21" t="s">
        <v>3552</v>
      </c>
      <c r="EC14" s="21"/>
      <c r="ED14" s="14"/>
      <c r="EE14" s="14" t="s">
        <v>3555</v>
      </c>
      <c r="EF14" s="14">
        <v>0</v>
      </c>
      <c r="EG14" s="110" t="s">
        <v>3553</v>
      </c>
      <c r="EH14" s="14" t="s">
        <v>3716</v>
      </c>
      <c r="EI14" s="87" t="s">
        <v>3901</v>
      </c>
      <c r="EJ14" s="206" t="s">
        <v>3554</v>
      </c>
      <c r="EK14" s="14"/>
      <c r="EL14" s="233"/>
      <c r="EM14" s="233"/>
      <c r="EN14" s="21" t="s">
        <v>3766</v>
      </c>
      <c r="EO14" s="21"/>
      <c r="EP14" s="21"/>
      <c r="EQ14" s="14" t="s">
        <v>3767</v>
      </c>
      <c r="ER14" s="14">
        <v>1</v>
      </c>
      <c r="ES14" s="110" t="s">
        <v>3569</v>
      </c>
      <c r="ET14" s="14" t="s">
        <v>3898</v>
      </c>
      <c r="EU14" s="87" t="s">
        <v>3901</v>
      </c>
      <c r="EV14" s="206" t="s">
        <v>3923</v>
      </c>
      <c r="EW14" s="21"/>
      <c r="EX14" s="21"/>
      <c r="EY14" s="233"/>
      <c r="EZ14" s="233"/>
      <c r="FA14" s="233"/>
      <c r="FB14" s="233"/>
      <c r="FC14" s="233"/>
      <c r="FD14" s="233"/>
    </row>
    <row r="15" spans="1:160">
      <c r="A15" s="20" t="s">
        <v>3924</v>
      </c>
      <c r="B15" s="14">
        <v>1</v>
      </c>
      <c r="C15" s="14" t="s">
        <v>4036</v>
      </c>
      <c r="D15" s="14">
        <v>2</v>
      </c>
      <c r="E15" s="110" t="s">
        <v>3925</v>
      </c>
      <c r="F15" s="14" t="s">
        <v>3898</v>
      </c>
      <c r="G15" s="44" t="s">
        <v>3927</v>
      </c>
      <c r="H15" s="44" t="s">
        <v>3926</v>
      </c>
      <c r="I15" s="44" t="s">
        <v>3916</v>
      </c>
      <c r="J15" s="28" t="s">
        <v>4447</v>
      </c>
      <c r="K15" s="111"/>
      <c r="L15" s="21" t="s">
        <v>3733</v>
      </c>
      <c r="M15" s="14"/>
      <c r="N15" s="21"/>
      <c r="O15" s="14" t="s">
        <v>3737</v>
      </c>
      <c r="P15" s="14">
        <v>1</v>
      </c>
      <c r="Q15" s="110" t="s">
        <v>3734</v>
      </c>
      <c r="R15" s="14" t="s">
        <v>3735</v>
      </c>
      <c r="S15" s="44" t="s">
        <v>3736</v>
      </c>
      <c r="T15" s="44" t="s">
        <v>3728</v>
      </c>
      <c r="U15" s="21"/>
      <c r="V15" s="21"/>
      <c r="W15" s="21"/>
      <c r="X15" s="21" t="s">
        <v>3928</v>
      </c>
      <c r="Y15" s="21"/>
      <c r="Z15" s="21"/>
      <c r="AA15" s="14" t="s">
        <v>3929</v>
      </c>
      <c r="AB15" s="14" t="s">
        <v>5036</v>
      </c>
      <c r="AC15" s="197" t="s">
        <v>3930</v>
      </c>
      <c r="AD15" s="14" t="s">
        <v>3931</v>
      </c>
      <c r="AE15" s="87" t="s">
        <v>3736</v>
      </c>
      <c r="AF15" s="44" t="s">
        <v>3932</v>
      </c>
      <c r="AG15" s="21"/>
      <c r="AH15" s="21"/>
      <c r="AI15" s="21"/>
      <c r="AJ15" s="21" t="s">
        <v>3556</v>
      </c>
      <c r="AK15" s="21"/>
      <c r="AL15" s="14"/>
      <c r="AM15" s="14" t="s">
        <v>3907</v>
      </c>
      <c r="AN15" s="14">
        <v>2</v>
      </c>
      <c r="AO15" s="14" t="s">
        <v>3557</v>
      </c>
      <c r="AP15" s="14" t="s">
        <v>3898</v>
      </c>
      <c r="AQ15" s="87" t="s">
        <v>3743</v>
      </c>
      <c r="AR15" s="87" t="s">
        <v>3558</v>
      </c>
      <c r="AS15" s="14"/>
      <c r="AT15" s="21"/>
      <c r="AU15" s="21"/>
      <c r="AV15" s="21" t="s">
        <v>3924</v>
      </c>
      <c r="AW15" s="21"/>
      <c r="AX15" s="14"/>
      <c r="AY15" s="14" t="s">
        <v>4036</v>
      </c>
      <c r="AZ15" s="14">
        <v>2</v>
      </c>
      <c r="BA15" s="14" t="s">
        <v>3925</v>
      </c>
      <c r="BB15" s="14" t="s">
        <v>3898</v>
      </c>
      <c r="BC15" s="87" t="s">
        <v>3927</v>
      </c>
      <c r="BD15" s="87" t="s">
        <v>3926</v>
      </c>
      <c r="BE15" s="14"/>
      <c r="BF15" s="21"/>
      <c r="BG15" s="21"/>
      <c r="BH15" s="21" t="s">
        <v>4038</v>
      </c>
      <c r="BI15" s="21"/>
      <c r="BJ15" s="14"/>
      <c r="BK15" s="14" t="s">
        <v>3555</v>
      </c>
      <c r="BL15" s="14">
        <v>1</v>
      </c>
      <c r="BM15" s="110" t="s">
        <v>4039</v>
      </c>
      <c r="BN15" s="14" t="s">
        <v>3898</v>
      </c>
      <c r="BO15" s="44" t="s">
        <v>3765</v>
      </c>
      <c r="BP15" s="44" t="s">
        <v>4040</v>
      </c>
      <c r="BQ15" s="14"/>
      <c r="BR15" s="21"/>
      <c r="BS15" s="233"/>
      <c r="BT15" s="101" t="s">
        <v>3748</v>
      </c>
      <c r="BU15" s="21"/>
      <c r="BV15" s="14"/>
      <c r="BW15" s="112" t="s">
        <v>3912</v>
      </c>
      <c r="BX15" s="14">
        <v>1</v>
      </c>
      <c r="BY15" s="106" t="s">
        <v>3749</v>
      </c>
      <c r="BZ15" s="14" t="s">
        <v>4066</v>
      </c>
      <c r="CA15" s="87" t="s">
        <v>3911</v>
      </c>
      <c r="CB15" s="44" t="s">
        <v>3910</v>
      </c>
      <c r="CC15" s="233"/>
      <c r="CD15" s="233"/>
      <c r="CE15" s="233"/>
      <c r="CF15" s="21" t="s">
        <v>4038</v>
      </c>
      <c r="CG15" s="21"/>
      <c r="CH15" s="14"/>
      <c r="CI15" s="14" t="s">
        <v>3555</v>
      </c>
      <c r="CJ15" s="14">
        <v>1</v>
      </c>
      <c r="CK15" s="110" t="s">
        <v>4039</v>
      </c>
      <c r="CL15" s="14" t="s">
        <v>3898</v>
      </c>
      <c r="CM15" s="44" t="s">
        <v>3765</v>
      </c>
      <c r="CN15" s="44" t="s">
        <v>4040</v>
      </c>
      <c r="CO15" s="233"/>
      <c r="CP15" s="233"/>
      <c r="CQ15" s="233"/>
      <c r="CR15" s="21" t="s">
        <v>3928</v>
      </c>
      <c r="CS15" s="21"/>
      <c r="CT15" s="21"/>
      <c r="CU15" s="14" t="s">
        <v>3929</v>
      </c>
      <c r="CV15" s="14" t="s">
        <v>5036</v>
      </c>
      <c r="CW15" s="197" t="s">
        <v>3930</v>
      </c>
      <c r="CX15" s="14" t="s">
        <v>3931</v>
      </c>
      <c r="CY15" s="87" t="s">
        <v>3736</v>
      </c>
      <c r="CZ15" s="44" t="s">
        <v>3932</v>
      </c>
      <c r="DA15" s="21"/>
      <c r="DB15" s="21"/>
      <c r="DC15" s="233"/>
      <c r="DD15" s="21" t="s">
        <v>3928</v>
      </c>
      <c r="DE15" s="21"/>
      <c r="DF15" s="21"/>
      <c r="DG15" s="14" t="s">
        <v>3929</v>
      </c>
      <c r="DH15" s="14" t="s">
        <v>5036</v>
      </c>
      <c r="DI15" s="197" t="s">
        <v>3930</v>
      </c>
      <c r="DJ15" s="14" t="s">
        <v>3931</v>
      </c>
      <c r="DK15" s="87" t="s">
        <v>3736</v>
      </c>
      <c r="DL15" s="44" t="s">
        <v>3932</v>
      </c>
      <c r="DM15" s="21"/>
      <c r="DN15" s="21"/>
      <c r="DO15" s="233"/>
      <c r="DP15" s="21" t="s">
        <v>3909</v>
      </c>
      <c r="DQ15" s="21"/>
      <c r="DR15" s="14"/>
      <c r="DS15" s="14" t="s">
        <v>3731</v>
      </c>
      <c r="DT15" s="14">
        <v>2</v>
      </c>
      <c r="DU15" s="14" t="s">
        <v>3715</v>
      </c>
      <c r="DV15" s="14" t="s">
        <v>3716</v>
      </c>
      <c r="DW15" s="87" t="s">
        <v>3730</v>
      </c>
      <c r="DX15" s="206" t="s">
        <v>3728</v>
      </c>
      <c r="DY15" s="14"/>
      <c r="DZ15" s="233"/>
      <c r="EA15" s="233"/>
      <c r="EB15" s="21" t="s">
        <v>3556</v>
      </c>
      <c r="EC15" s="21"/>
      <c r="ED15" s="14"/>
      <c r="EE15" s="14" t="s">
        <v>3907</v>
      </c>
      <c r="EF15" s="14">
        <v>2</v>
      </c>
      <c r="EG15" s="14" t="s">
        <v>3557</v>
      </c>
      <c r="EH15" s="14" t="s">
        <v>3898</v>
      </c>
      <c r="EI15" s="87" t="s">
        <v>3743</v>
      </c>
      <c r="EJ15" s="87" t="s">
        <v>3558</v>
      </c>
      <c r="EK15" s="14"/>
      <c r="EL15" s="233"/>
      <c r="EM15" s="233"/>
      <c r="EN15" s="21" t="s">
        <v>3928</v>
      </c>
      <c r="EO15" s="21"/>
      <c r="EP15" s="21"/>
      <c r="EQ15" s="14" t="s">
        <v>3929</v>
      </c>
      <c r="ER15" s="14" t="s">
        <v>5036</v>
      </c>
      <c r="ES15" s="197" t="s">
        <v>3930</v>
      </c>
      <c r="ET15" s="14" t="s">
        <v>3931</v>
      </c>
      <c r="EU15" s="87" t="s">
        <v>3736</v>
      </c>
      <c r="EV15" s="44" t="s">
        <v>3932</v>
      </c>
      <c r="EW15" s="21"/>
      <c r="EX15" s="21"/>
      <c r="EY15" s="233"/>
      <c r="EZ15" s="233"/>
      <c r="FA15" s="233"/>
      <c r="FB15" s="233"/>
      <c r="FC15" s="233"/>
      <c r="FD15" s="233"/>
    </row>
    <row r="16" spans="1:160">
      <c r="A16" s="20" t="s">
        <v>3935</v>
      </c>
      <c r="B16" s="14">
        <v>1</v>
      </c>
      <c r="C16" s="14" t="s">
        <v>3912</v>
      </c>
      <c r="D16" s="14">
        <v>1</v>
      </c>
      <c r="E16" s="106" t="s">
        <v>3749</v>
      </c>
      <c r="F16" s="14" t="s">
        <v>3936</v>
      </c>
      <c r="G16" s="44" t="s">
        <v>3937</v>
      </c>
      <c r="H16" s="44" t="s">
        <v>3746</v>
      </c>
      <c r="I16" s="44" t="s">
        <v>3900</v>
      </c>
      <c r="J16" s="28" t="s">
        <v>4773</v>
      </c>
      <c r="K16" s="111"/>
      <c r="L16" s="21" t="s">
        <v>3913</v>
      </c>
      <c r="M16" s="14"/>
      <c r="N16" s="21"/>
      <c r="O16" s="14" t="s">
        <v>4036</v>
      </c>
      <c r="P16" s="14">
        <v>1</v>
      </c>
      <c r="Q16" s="110" t="s">
        <v>3749</v>
      </c>
      <c r="R16" s="14" t="s">
        <v>3914</v>
      </c>
      <c r="S16" s="44" t="s">
        <v>3759</v>
      </c>
      <c r="T16" s="44" t="s">
        <v>3915</v>
      </c>
      <c r="U16" s="21"/>
      <c r="V16" s="21"/>
      <c r="W16" s="21"/>
      <c r="X16" s="21" t="s">
        <v>3938</v>
      </c>
      <c r="Y16" s="21"/>
      <c r="Z16" s="21"/>
      <c r="AA16" s="14" t="s">
        <v>3767</v>
      </c>
      <c r="AB16" s="14" t="s">
        <v>5036</v>
      </c>
      <c r="AC16" s="14" t="s">
        <v>3904</v>
      </c>
      <c r="AD16" s="14" t="s">
        <v>3898</v>
      </c>
      <c r="AE16" s="87" t="s">
        <v>3937</v>
      </c>
      <c r="AF16" s="87" t="s">
        <v>4209</v>
      </c>
      <c r="AG16" s="21"/>
      <c r="AH16" s="21"/>
      <c r="AI16" s="21"/>
      <c r="AJ16" s="21" t="s">
        <v>3744</v>
      </c>
      <c r="AK16" s="21"/>
      <c r="AL16" s="14"/>
      <c r="AM16" s="14" t="s">
        <v>3555</v>
      </c>
      <c r="AN16" s="14">
        <v>0</v>
      </c>
      <c r="AO16" s="110" t="s">
        <v>3745</v>
      </c>
      <c r="AP16" s="14" t="s">
        <v>3898</v>
      </c>
      <c r="AQ16" s="87" t="s">
        <v>3747</v>
      </c>
      <c r="AR16" s="87" t="s">
        <v>3746</v>
      </c>
      <c r="AS16" s="14"/>
      <c r="AT16" s="21"/>
      <c r="AU16" s="21"/>
      <c r="AV16" s="21" t="s">
        <v>4210</v>
      </c>
      <c r="AW16" s="21"/>
      <c r="AX16" s="14"/>
      <c r="AY16" s="14" t="s">
        <v>4036</v>
      </c>
      <c r="AZ16" s="14">
        <v>1</v>
      </c>
      <c r="BA16" s="110" t="s">
        <v>4211</v>
      </c>
      <c r="BB16" s="14" t="s">
        <v>3735</v>
      </c>
      <c r="BC16" s="87" t="s">
        <v>3765</v>
      </c>
      <c r="BD16" s="87" t="s">
        <v>4212</v>
      </c>
      <c r="BE16" s="14"/>
      <c r="BF16" s="21"/>
      <c r="BG16" s="21"/>
      <c r="BH16" s="21" t="s">
        <v>3933</v>
      </c>
      <c r="BI16" s="21"/>
      <c r="BJ16" s="14"/>
      <c r="BK16" s="14" t="s">
        <v>3731</v>
      </c>
      <c r="BL16" s="14">
        <v>1</v>
      </c>
      <c r="BM16" s="14" t="s">
        <v>3934</v>
      </c>
      <c r="BN16" s="14" t="s">
        <v>3735</v>
      </c>
      <c r="BO16" s="87" t="s">
        <v>3736</v>
      </c>
      <c r="BP16" s="87" t="s">
        <v>3746</v>
      </c>
      <c r="BQ16" s="14"/>
      <c r="BR16" s="21"/>
      <c r="BS16" s="233"/>
      <c r="BT16" s="101" t="s">
        <v>3935</v>
      </c>
      <c r="BU16" s="21"/>
      <c r="BV16" s="14"/>
      <c r="BW16" s="14" t="s">
        <v>3912</v>
      </c>
      <c r="BX16" s="14">
        <v>1</v>
      </c>
      <c r="BY16" s="106" t="s">
        <v>3749</v>
      </c>
      <c r="BZ16" s="14" t="s">
        <v>3936</v>
      </c>
      <c r="CA16" s="87" t="s">
        <v>3937</v>
      </c>
      <c r="CB16" s="44" t="s">
        <v>3746</v>
      </c>
      <c r="CC16" s="233"/>
      <c r="CD16" s="233"/>
      <c r="CE16" s="233"/>
      <c r="CF16" s="21" t="s">
        <v>3933</v>
      </c>
      <c r="CG16" s="21"/>
      <c r="CH16" s="14"/>
      <c r="CI16" s="14" t="s">
        <v>3731</v>
      </c>
      <c r="CJ16" s="14">
        <v>1</v>
      </c>
      <c r="CK16" s="14" t="s">
        <v>3934</v>
      </c>
      <c r="CL16" s="14" t="s">
        <v>3735</v>
      </c>
      <c r="CM16" s="87" t="s">
        <v>3736</v>
      </c>
      <c r="CN16" s="87" t="s">
        <v>3746</v>
      </c>
      <c r="CO16" s="233"/>
      <c r="CP16" s="233"/>
      <c r="CQ16" s="233"/>
      <c r="CR16" s="21" t="s">
        <v>3938</v>
      </c>
      <c r="CS16" s="21"/>
      <c r="CT16" s="21"/>
      <c r="CU16" s="14" t="s">
        <v>3767</v>
      </c>
      <c r="CV16" s="14" t="s">
        <v>5036</v>
      </c>
      <c r="CW16" s="14" t="s">
        <v>3904</v>
      </c>
      <c r="CX16" s="14" t="s">
        <v>3898</v>
      </c>
      <c r="CY16" s="87" t="s">
        <v>3937</v>
      </c>
      <c r="CZ16" s="87" t="s">
        <v>4209</v>
      </c>
      <c r="DA16" s="21"/>
      <c r="DB16" s="21"/>
      <c r="DC16" s="233"/>
      <c r="DD16" s="21" t="s">
        <v>3938</v>
      </c>
      <c r="DE16" s="21"/>
      <c r="DF16" s="21"/>
      <c r="DG16" s="14" t="s">
        <v>3767</v>
      </c>
      <c r="DH16" s="14" t="s">
        <v>5036</v>
      </c>
      <c r="DI16" s="14" t="s">
        <v>3904</v>
      </c>
      <c r="DJ16" s="14" t="s">
        <v>3898</v>
      </c>
      <c r="DK16" s="87" t="s">
        <v>3937</v>
      </c>
      <c r="DL16" s="87" t="s">
        <v>4209</v>
      </c>
      <c r="DM16" s="21"/>
      <c r="DN16" s="21"/>
      <c r="DO16" s="233"/>
      <c r="DP16" s="21" t="s">
        <v>4038</v>
      </c>
      <c r="DQ16" s="21"/>
      <c r="DR16" s="14"/>
      <c r="DS16" s="14" t="s">
        <v>3555</v>
      </c>
      <c r="DT16" s="14">
        <v>1</v>
      </c>
      <c r="DU16" s="110" t="s">
        <v>4039</v>
      </c>
      <c r="DV16" s="14" t="s">
        <v>3898</v>
      </c>
      <c r="DW16" s="87" t="s">
        <v>3765</v>
      </c>
      <c r="DX16" s="206" t="s">
        <v>4040</v>
      </c>
      <c r="DY16" s="14"/>
      <c r="DZ16" s="233"/>
      <c r="EA16" s="233"/>
      <c r="EB16" s="21" t="s">
        <v>3744</v>
      </c>
      <c r="EC16" s="21"/>
      <c r="ED16" s="14"/>
      <c r="EE16" s="14" t="s">
        <v>3555</v>
      </c>
      <c r="EF16" s="14">
        <v>0</v>
      </c>
      <c r="EG16" s="110" t="s">
        <v>3745</v>
      </c>
      <c r="EH16" s="14" t="s">
        <v>3898</v>
      </c>
      <c r="EI16" s="87" t="s">
        <v>3747</v>
      </c>
      <c r="EJ16" s="87" t="s">
        <v>3746</v>
      </c>
      <c r="EK16" s="14"/>
      <c r="EL16" s="233"/>
      <c r="EM16" s="233"/>
      <c r="EN16" s="21" t="s">
        <v>3938</v>
      </c>
      <c r="EO16" s="21"/>
      <c r="EP16" s="21"/>
      <c r="EQ16" s="14" t="s">
        <v>3767</v>
      </c>
      <c r="ER16" s="14" t="s">
        <v>5036</v>
      </c>
      <c r="ES16" s="14" t="s">
        <v>3904</v>
      </c>
      <c r="ET16" s="14" t="s">
        <v>3898</v>
      </c>
      <c r="EU16" s="87" t="s">
        <v>3937</v>
      </c>
      <c r="EV16" s="87" t="s">
        <v>4209</v>
      </c>
      <c r="EW16" s="21"/>
      <c r="EX16" s="21"/>
      <c r="EY16" s="233"/>
      <c r="EZ16" s="233"/>
      <c r="FA16" s="233"/>
      <c r="FB16" s="233"/>
      <c r="FC16" s="233"/>
      <c r="FD16" s="233"/>
    </row>
    <row r="17" spans="1:160">
      <c r="A17" s="20" t="s">
        <v>4210</v>
      </c>
      <c r="B17" s="14">
        <v>1</v>
      </c>
      <c r="C17" s="14" t="s">
        <v>4036</v>
      </c>
      <c r="D17" s="14">
        <v>1</v>
      </c>
      <c r="E17" s="110" t="s">
        <v>4211</v>
      </c>
      <c r="F17" s="14" t="s">
        <v>3735</v>
      </c>
      <c r="G17" s="44" t="s">
        <v>3765</v>
      </c>
      <c r="H17" s="44" t="s">
        <v>4212</v>
      </c>
      <c r="I17" s="44" t="s">
        <v>3916</v>
      </c>
      <c r="J17" s="28" t="s">
        <v>4447</v>
      </c>
      <c r="K17" s="111"/>
      <c r="L17" s="21" t="s">
        <v>3975</v>
      </c>
      <c r="M17" s="14"/>
      <c r="N17" s="21"/>
      <c r="O17" s="14" t="s">
        <v>3976</v>
      </c>
      <c r="P17" s="14" t="s">
        <v>5036</v>
      </c>
      <c r="Q17" s="14" t="s">
        <v>3904</v>
      </c>
      <c r="R17" s="14" t="s">
        <v>3914</v>
      </c>
      <c r="S17" s="44" t="s">
        <v>3765</v>
      </c>
      <c r="T17" s="44" t="s">
        <v>3746</v>
      </c>
      <c r="U17" s="21"/>
      <c r="V17" s="21"/>
      <c r="W17" s="21"/>
      <c r="X17" s="21" t="s">
        <v>3977</v>
      </c>
      <c r="Y17" s="21"/>
      <c r="Z17" s="21"/>
      <c r="AA17" s="14" t="s">
        <v>3767</v>
      </c>
      <c r="AB17" s="14">
        <v>1</v>
      </c>
      <c r="AC17" s="110" t="s">
        <v>3978</v>
      </c>
      <c r="AD17" s="14" t="s">
        <v>3979</v>
      </c>
      <c r="AE17" s="87" t="s">
        <v>3736</v>
      </c>
      <c r="AF17" s="87" t="s">
        <v>3728</v>
      </c>
      <c r="AG17" s="21"/>
      <c r="AH17" s="21"/>
      <c r="AI17" s="21"/>
      <c r="AJ17" s="21" t="s">
        <v>4038</v>
      </c>
      <c r="AK17" s="21"/>
      <c r="AL17" s="14"/>
      <c r="AM17" s="14" t="s">
        <v>3555</v>
      </c>
      <c r="AN17" s="14">
        <v>1</v>
      </c>
      <c r="AO17" s="110" t="s">
        <v>4039</v>
      </c>
      <c r="AP17" s="14" t="s">
        <v>3898</v>
      </c>
      <c r="AQ17" s="87" t="s">
        <v>3765</v>
      </c>
      <c r="AR17" s="206" t="s">
        <v>4040</v>
      </c>
      <c r="AS17" s="14"/>
      <c r="AT17" s="21"/>
      <c r="AU17" s="21"/>
      <c r="AV17" s="21" t="s">
        <v>3975</v>
      </c>
      <c r="AW17" s="21"/>
      <c r="AX17" s="14"/>
      <c r="AY17" s="14" t="s">
        <v>3976</v>
      </c>
      <c r="AZ17" s="14" t="s">
        <v>5036</v>
      </c>
      <c r="BA17" s="110" t="s">
        <v>3904</v>
      </c>
      <c r="BB17" s="14" t="s">
        <v>3914</v>
      </c>
      <c r="BC17" s="87" t="s">
        <v>3765</v>
      </c>
      <c r="BD17" s="206" t="s">
        <v>3746</v>
      </c>
      <c r="BE17" s="14"/>
      <c r="BF17" s="21"/>
      <c r="BG17" s="21"/>
      <c r="BH17" s="21" t="s">
        <v>4213</v>
      </c>
      <c r="BI17" s="21"/>
      <c r="BJ17" s="14"/>
      <c r="BK17" s="14" t="s">
        <v>4214</v>
      </c>
      <c r="BL17" s="14">
        <v>0</v>
      </c>
      <c r="BM17" s="197" t="s">
        <v>3946</v>
      </c>
      <c r="BN17" s="14" t="s">
        <v>3947</v>
      </c>
      <c r="BO17" s="87" t="s">
        <v>3948</v>
      </c>
      <c r="BP17" s="87" t="s">
        <v>3789</v>
      </c>
      <c r="BQ17" s="14"/>
      <c r="BR17" s="21"/>
      <c r="BS17" s="233"/>
      <c r="BT17" s="21" t="s">
        <v>3980</v>
      </c>
      <c r="BU17" s="21"/>
      <c r="BV17" s="14"/>
      <c r="BW17" s="14" t="s">
        <v>3731</v>
      </c>
      <c r="BX17" s="14">
        <v>1</v>
      </c>
      <c r="BY17" s="110" t="s">
        <v>3807</v>
      </c>
      <c r="BZ17" s="14" t="s">
        <v>3716</v>
      </c>
      <c r="CA17" s="87" t="s">
        <v>3736</v>
      </c>
      <c r="CB17" s="87" t="s">
        <v>5483</v>
      </c>
      <c r="CC17" s="233"/>
      <c r="CD17" s="233"/>
      <c r="CE17" s="233"/>
      <c r="CF17" s="21" t="s">
        <v>4213</v>
      </c>
      <c r="CG17" s="21"/>
      <c r="CH17" s="14"/>
      <c r="CI17" s="14" t="s">
        <v>4214</v>
      </c>
      <c r="CJ17" s="14">
        <v>0</v>
      </c>
      <c r="CK17" s="197" t="s">
        <v>3946</v>
      </c>
      <c r="CL17" s="14" t="s">
        <v>3947</v>
      </c>
      <c r="CM17" s="87" t="s">
        <v>3948</v>
      </c>
      <c r="CN17" s="87" t="s">
        <v>3789</v>
      </c>
      <c r="CO17" s="233"/>
      <c r="CP17" s="233"/>
      <c r="CQ17" s="233"/>
      <c r="CR17" s="21" t="s">
        <v>3977</v>
      </c>
      <c r="CS17" s="21"/>
      <c r="CT17" s="21"/>
      <c r="CU17" s="14" t="s">
        <v>3767</v>
      </c>
      <c r="CV17" s="14">
        <v>1</v>
      </c>
      <c r="CW17" s="110" t="s">
        <v>3978</v>
      </c>
      <c r="CX17" s="14" t="s">
        <v>3979</v>
      </c>
      <c r="CY17" s="87" t="s">
        <v>3736</v>
      </c>
      <c r="CZ17" s="87" t="s">
        <v>3728</v>
      </c>
      <c r="DA17" s="21"/>
      <c r="DB17" s="21"/>
      <c r="DC17" s="233"/>
      <c r="DD17" s="21" t="s">
        <v>3977</v>
      </c>
      <c r="DE17" s="21"/>
      <c r="DF17" s="21"/>
      <c r="DG17" s="14" t="s">
        <v>3767</v>
      </c>
      <c r="DH17" s="14">
        <v>1</v>
      </c>
      <c r="DI17" s="110" t="s">
        <v>3978</v>
      </c>
      <c r="DJ17" s="14" t="s">
        <v>3979</v>
      </c>
      <c r="DK17" s="87" t="s">
        <v>3736</v>
      </c>
      <c r="DL17" s="87" t="s">
        <v>3728</v>
      </c>
      <c r="DM17" s="21"/>
      <c r="DN17" s="21"/>
      <c r="DO17" s="233"/>
      <c r="DP17" s="21" t="s">
        <v>3815</v>
      </c>
      <c r="DQ17" s="21"/>
      <c r="DR17" s="14"/>
      <c r="DS17" s="14" t="s">
        <v>3976</v>
      </c>
      <c r="DT17" s="14">
        <v>1</v>
      </c>
      <c r="DU17" s="110" t="s">
        <v>3617</v>
      </c>
      <c r="DV17" s="14" t="s">
        <v>3618</v>
      </c>
      <c r="DW17" s="87" t="s">
        <v>3736</v>
      </c>
      <c r="DX17" s="87" t="s">
        <v>3915</v>
      </c>
      <c r="DY17" s="14"/>
      <c r="DZ17" s="233"/>
      <c r="EA17" s="233"/>
      <c r="EB17" s="21" t="s">
        <v>4038</v>
      </c>
      <c r="EC17" s="21"/>
      <c r="ED17" s="14"/>
      <c r="EE17" s="14" t="s">
        <v>3555</v>
      </c>
      <c r="EF17" s="14">
        <v>1</v>
      </c>
      <c r="EG17" s="110" t="s">
        <v>4039</v>
      </c>
      <c r="EH17" s="14" t="s">
        <v>3898</v>
      </c>
      <c r="EI17" s="87" t="s">
        <v>3765</v>
      </c>
      <c r="EJ17" s="206" t="s">
        <v>4040</v>
      </c>
      <c r="EK17" s="14"/>
      <c r="EL17" s="233"/>
      <c r="EM17" s="233"/>
      <c r="EN17" s="21" t="s">
        <v>3977</v>
      </c>
      <c r="EO17" s="21"/>
      <c r="EP17" s="21"/>
      <c r="EQ17" s="14" t="s">
        <v>3767</v>
      </c>
      <c r="ER17" s="14">
        <v>1</v>
      </c>
      <c r="ES17" s="110" t="s">
        <v>3978</v>
      </c>
      <c r="ET17" s="14" t="s">
        <v>3979</v>
      </c>
      <c r="EU17" s="87" t="s">
        <v>3736</v>
      </c>
      <c r="EV17" s="87" t="s">
        <v>3728</v>
      </c>
      <c r="EW17" s="21"/>
      <c r="EX17" s="21"/>
      <c r="EY17" s="233"/>
      <c r="EZ17" s="233"/>
      <c r="FA17" s="233"/>
      <c r="FB17" s="233"/>
      <c r="FC17" s="233"/>
      <c r="FD17" s="233"/>
    </row>
    <row r="18" spans="1:160">
      <c r="A18" s="20" t="s">
        <v>3766</v>
      </c>
      <c r="B18" s="14">
        <v>1</v>
      </c>
      <c r="C18" s="14" t="s">
        <v>3767</v>
      </c>
      <c r="D18" s="14">
        <v>1</v>
      </c>
      <c r="E18" s="110" t="s">
        <v>3569</v>
      </c>
      <c r="F18" s="14" t="s">
        <v>3898</v>
      </c>
      <c r="G18" s="44" t="s">
        <v>3901</v>
      </c>
      <c r="H18" s="107" t="s">
        <v>3923</v>
      </c>
      <c r="I18" s="44" t="s">
        <v>3916</v>
      </c>
      <c r="J18" s="28" t="s">
        <v>5232</v>
      </c>
      <c r="K18" s="111"/>
      <c r="L18" s="21" t="s">
        <v>3980</v>
      </c>
      <c r="M18" s="14"/>
      <c r="N18" s="21"/>
      <c r="O18" s="14" t="s">
        <v>3731</v>
      </c>
      <c r="P18" s="14">
        <v>1</v>
      </c>
      <c r="Q18" s="110" t="s">
        <v>3807</v>
      </c>
      <c r="R18" s="14" t="s">
        <v>3716</v>
      </c>
      <c r="S18" s="44" t="s">
        <v>3736</v>
      </c>
      <c r="T18" s="44" t="s">
        <v>5483</v>
      </c>
      <c r="U18" s="14"/>
      <c r="V18" s="21"/>
      <c r="W18" s="21"/>
      <c r="X18" s="21" t="s">
        <v>3808</v>
      </c>
      <c r="Y18" s="21"/>
      <c r="Z18" s="21"/>
      <c r="AA18" s="14" t="s">
        <v>3767</v>
      </c>
      <c r="AB18" s="14">
        <v>2</v>
      </c>
      <c r="AC18" s="110" t="s">
        <v>3557</v>
      </c>
      <c r="AD18" s="14" t="s">
        <v>3947</v>
      </c>
      <c r="AE18" s="87" t="s">
        <v>3809</v>
      </c>
      <c r="AF18" s="206" t="s">
        <v>3810</v>
      </c>
      <c r="AG18" s="21"/>
      <c r="AH18" s="21"/>
      <c r="AI18" s="14"/>
      <c r="AJ18" s="21" t="s">
        <v>3811</v>
      </c>
      <c r="AK18" s="21"/>
      <c r="AL18" s="14"/>
      <c r="AM18" s="14" t="s">
        <v>3907</v>
      </c>
      <c r="AN18" s="14">
        <v>1</v>
      </c>
      <c r="AO18" s="110" t="s">
        <v>3812</v>
      </c>
      <c r="AP18" s="14" t="s">
        <v>3898</v>
      </c>
      <c r="AQ18" s="87" t="s">
        <v>3813</v>
      </c>
      <c r="AR18" s="87" t="s">
        <v>3814</v>
      </c>
      <c r="AS18" s="14"/>
      <c r="AT18" s="21"/>
      <c r="AU18" s="21"/>
      <c r="AV18" s="21" t="s">
        <v>3815</v>
      </c>
      <c r="AW18" s="21"/>
      <c r="AX18" s="14"/>
      <c r="AY18" s="14" t="s">
        <v>3976</v>
      </c>
      <c r="AZ18" s="14">
        <v>1</v>
      </c>
      <c r="BA18" s="110" t="s">
        <v>3617</v>
      </c>
      <c r="BB18" s="14" t="s">
        <v>3618</v>
      </c>
      <c r="BC18" s="87" t="s">
        <v>3736</v>
      </c>
      <c r="BD18" s="87" t="s">
        <v>3915</v>
      </c>
      <c r="BE18" s="14"/>
      <c r="BF18" s="21"/>
      <c r="BG18" s="21"/>
      <c r="BH18" s="21" t="s">
        <v>3980</v>
      </c>
      <c r="BI18" s="21"/>
      <c r="BJ18" s="14"/>
      <c r="BK18" s="14" t="s">
        <v>3731</v>
      </c>
      <c r="BL18" s="14">
        <v>1</v>
      </c>
      <c r="BM18" s="110" t="s">
        <v>3807</v>
      </c>
      <c r="BN18" s="14" t="s">
        <v>3716</v>
      </c>
      <c r="BO18" s="87" t="s">
        <v>3736</v>
      </c>
      <c r="BP18" s="87" t="s">
        <v>5483</v>
      </c>
      <c r="BQ18" s="14"/>
      <c r="BR18" s="21"/>
      <c r="BS18" s="233"/>
      <c r="BT18" s="21" t="s">
        <v>3815</v>
      </c>
      <c r="BU18" s="21"/>
      <c r="BV18" s="14"/>
      <c r="BW18" s="14" t="s">
        <v>3976</v>
      </c>
      <c r="BX18" s="14">
        <v>1</v>
      </c>
      <c r="BY18" s="110" t="s">
        <v>3617</v>
      </c>
      <c r="BZ18" s="14" t="s">
        <v>3618</v>
      </c>
      <c r="CA18" s="87" t="s">
        <v>3736</v>
      </c>
      <c r="CB18" s="87" t="s">
        <v>3915</v>
      </c>
      <c r="CC18" s="233"/>
      <c r="CD18" s="233"/>
      <c r="CE18" s="233"/>
      <c r="CF18" s="21" t="s">
        <v>3980</v>
      </c>
      <c r="CG18" s="21"/>
      <c r="CH18" s="14"/>
      <c r="CI18" s="14" t="s">
        <v>3731</v>
      </c>
      <c r="CJ18" s="14">
        <v>1</v>
      </c>
      <c r="CK18" s="110" t="s">
        <v>3807</v>
      </c>
      <c r="CL18" s="14" t="s">
        <v>3716</v>
      </c>
      <c r="CM18" s="87" t="s">
        <v>3736</v>
      </c>
      <c r="CN18" s="87" t="s">
        <v>5483</v>
      </c>
      <c r="CO18" s="233"/>
      <c r="CP18" s="233"/>
      <c r="CQ18" s="233"/>
      <c r="CR18" s="21" t="s">
        <v>3808</v>
      </c>
      <c r="CS18" s="21"/>
      <c r="CT18" s="21"/>
      <c r="CU18" s="14" t="s">
        <v>3767</v>
      </c>
      <c r="CV18" s="14">
        <v>2</v>
      </c>
      <c r="CW18" s="110" t="s">
        <v>3557</v>
      </c>
      <c r="CX18" s="14" t="s">
        <v>3947</v>
      </c>
      <c r="CY18" s="87" t="s">
        <v>3809</v>
      </c>
      <c r="CZ18" s="206" t="s">
        <v>3810</v>
      </c>
      <c r="DA18" s="21"/>
      <c r="DB18" s="21"/>
      <c r="DC18" s="233"/>
      <c r="DD18" s="21" t="s">
        <v>3808</v>
      </c>
      <c r="DE18" s="21"/>
      <c r="DF18" s="21"/>
      <c r="DG18" s="14" t="s">
        <v>3767</v>
      </c>
      <c r="DH18" s="14">
        <v>2</v>
      </c>
      <c r="DI18" s="110" t="s">
        <v>3557</v>
      </c>
      <c r="DJ18" s="14" t="s">
        <v>3947</v>
      </c>
      <c r="DK18" s="87" t="s">
        <v>3809</v>
      </c>
      <c r="DL18" s="206" t="s">
        <v>3810</v>
      </c>
      <c r="DM18" s="21"/>
      <c r="DN18" s="21"/>
      <c r="DO18" s="233"/>
      <c r="DP18" s="21" t="s">
        <v>3621</v>
      </c>
      <c r="DQ18" s="21"/>
      <c r="DR18" s="21"/>
      <c r="DS18" s="14" t="s">
        <v>3622</v>
      </c>
      <c r="DT18" s="14">
        <v>1</v>
      </c>
      <c r="DU18" s="110" t="s">
        <v>3623</v>
      </c>
      <c r="DV18" s="14" t="s">
        <v>3898</v>
      </c>
      <c r="DW18" s="87" t="s">
        <v>3730</v>
      </c>
      <c r="DX18" s="87" t="s">
        <v>3624</v>
      </c>
      <c r="DY18" s="14"/>
      <c r="DZ18" s="233"/>
      <c r="EA18" s="233"/>
      <c r="EB18" s="21" t="s">
        <v>3811</v>
      </c>
      <c r="EC18" s="21"/>
      <c r="ED18" s="14"/>
      <c r="EE18" s="14" t="s">
        <v>3907</v>
      </c>
      <c r="EF18" s="14">
        <v>1</v>
      </c>
      <c r="EG18" s="110" t="s">
        <v>3812</v>
      </c>
      <c r="EH18" s="14" t="s">
        <v>3898</v>
      </c>
      <c r="EI18" s="87" t="s">
        <v>3813</v>
      </c>
      <c r="EJ18" s="87" t="s">
        <v>3814</v>
      </c>
      <c r="EK18" s="14"/>
      <c r="EL18" s="233"/>
      <c r="EM18" s="233"/>
      <c r="EN18" s="21" t="s">
        <v>3808</v>
      </c>
      <c r="EO18" s="21"/>
      <c r="EP18" s="21"/>
      <c r="EQ18" s="14" t="s">
        <v>3767</v>
      </c>
      <c r="ER18" s="14">
        <v>2</v>
      </c>
      <c r="ES18" s="110" t="s">
        <v>3557</v>
      </c>
      <c r="ET18" s="14" t="s">
        <v>3947</v>
      </c>
      <c r="EU18" s="87" t="s">
        <v>3809</v>
      </c>
      <c r="EV18" s="206" t="s">
        <v>3810</v>
      </c>
      <c r="EW18" s="21"/>
      <c r="EX18" s="21"/>
      <c r="EY18" s="233"/>
      <c r="EZ18" s="233"/>
      <c r="FA18" s="233"/>
      <c r="FB18" s="233"/>
      <c r="FC18" s="233"/>
      <c r="FD18" s="233"/>
    </row>
    <row r="19" spans="1:160">
      <c r="A19" s="20" t="s">
        <v>3933</v>
      </c>
      <c r="B19" s="14">
        <v>1</v>
      </c>
      <c r="C19" s="14" t="s">
        <v>3731</v>
      </c>
      <c r="D19" s="14">
        <v>1</v>
      </c>
      <c r="E19" s="110" t="s">
        <v>3934</v>
      </c>
      <c r="F19" s="14" t="s">
        <v>3735</v>
      </c>
      <c r="G19" s="44" t="s">
        <v>3736</v>
      </c>
      <c r="H19" s="44" t="s">
        <v>3746</v>
      </c>
      <c r="I19" s="44" t="s">
        <v>3916</v>
      </c>
      <c r="J19" s="28" t="s">
        <v>4555</v>
      </c>
      <c r="K19" s="111"/>
      <c r="L19" s="21" t="s">
        <v>3938</v>
      </c>
      <c r="M19" s="21"/>
      <c r="N19" s="21"/>
      <c r="O19" s="14" t="s">
        <v>3767</v>
      </c>
      <c r="P19" s="14" t="s">
        <v>5036</v>
      </c>
      <c r="Q19" s="14" t="s">
        <v>3904</v>
      </c>
      <c r="R19" s="14" t="s">
        <v>3898</v>
      </c>
      <c r="S19" s="14" t="s">
        <v>3937</v>
      </c>
      <c r="T19" s="87" t="s">
        <v>4209</v>
      </c>
      <c r="U19" s="21"/>
      <c r="V19" s="21"/>
      <c r="W19" s="21"/>
      <c r="X19" s="21" t="s">
        <v>3621</v>
      </c>
      <c r="Y19" s="21"/>
      <c r="Z19" s="21"/>
      <c r="AA19" s="14" t="s">
        <v>3622</v>
      </c>
      <c r="AB19" s="14">
        <v>1</v>
      </c>
      <c r="AC19" s="110" t="s">
        <v>3623</v>
      </c>
      <c r="AD19" s="14" t="s">
        <v>3898</v>
      </c>
      <c r="AE19" s="87" t="s">
        <v>3730</v>
      </c>
      <c r="AF19" s="87" t="s">
        <v>3624</v>
      </c>
      <c r="AG19" s="21"/>
      <c r="AH19" s="21"/>
      <c r="AI19" s="14"/>
      <c r="AJ19" s="21" t="s">
        <v>3625</v>
      </c>
      <c r="AK19" s="21"/>
      <c r="AL19" s="14"/>
      <c r="AM19" s="14" t="s">
        <v>3907</v>
      </c>
      <c r="AN19" s="14">
        <v>1</v>
      </c>
      <c r="AO19" s="14" t="s">
        <v>3749</v>
      </c>
      <c r="AP19" s="14" t="s">
        <v>3898</v>
      </c>
      <c r="AQ19" s="87" t="s">
        <v>3626</v>
      </c>
      <c r="AR19" s="87" t="s">
        <v>3822</v>
      </c>
      <c r="AS19" s="14"/>
      <c r="AT19" s="21"/>
      <c r="AU19" s="21"/>
      <c r="AV19" s="21" t="s">
        <v>3630</v>
      </c>
      <c r="AW19" s="21"/>
      <c r="AX19" s="14"/>
      <c r="AY19" s="14" t="s">
        <v>3976</v>
      </c>
      <c r="AZ19" s="14">
        <v>1</v>
      </c>
      <c r="BA19" s="14" t="s">
        <v>3734</v>
      </c>
      <c r="BB19" s="14" t="s">
        <v>3931</v>
      </c>
      <c r="BC19" s="87" t="s">
        <v>3759</v>
      </c>
      <c r="BD19" s="87" t="s">
        <v>3746</v>
      </c>
      <c r="BE19" s="14"/>
      <c r="BF19" s="21"/>
      <c r="BG19" s="21"/>
      <c r="BH19" s="21" t="s">
        <v>3619</v>
      </c>
      <c r="BI19" s="21"/>
      <c r="BJ19" s="14"/>
      <c r="BK19" s="14" t="s">
        <v>3620</v>
      </c>
      <c r="BL19" s="14">
        <v>1</v>
      </c>
      <c r="BM19" s="110" t="s">
        <v>3569</v>
      </c>
      <c r="BN19" s="14" t="s">
        <v>3914</v>
      </c>
      <c r="BO19" s="87" t="s">
        <v>3901</v>
      </c>
      <c r="BP19" s="206" t="s">
        <v>3746</v>
      </c>
      <c r="BQ19" s="14"/>
      <c r="BR19" s="21"/>
      <c r="BS19" s="233"/>
      <c r="BT19" s="21" t="s">
        <v>3977</v>
      </c>
      <c r="BU19" s="21"/>
      <c r="BV19" s="21"/>
      <c r="BW19" s="14" t="s">
        <v>3767</v>
      </c>
      <c r="BX19" s="14">
        <v>1</v>
      </c>
      <c r="BY19" s="110" t="s">
        <v>3978</v>
      </c>
      <c r="BZ19" s="14" t="s">
        <v>3979</v>
      </c>
      <c r="CA19" s="87" t="s">
        <v>3736</v>
      </c>
      <c r="CB19" s="87" t="s">
        <v>3728</v>
      </c>
      <c r="CC19" s="233"/>
      <c r="CD19" s="233"/>
      <c r="CE19" s="233"/>
      <c r="CF19" s="21" t="s">
        <v>3619</v>
      </c>
      <c r="CG19" s="21"/>
      <c r="CH19" s="14"/>
      <c r="CI19" s="14" t="s">
        <v>3620</v>
      </c>
      <c r="CJ19" s="14">
        <v>1</v>
      </c>
      <c r="CK19" s="110" t="s">
        <v>3569</v>
      </c>
      <c r="CL19" s="14" t="s">
        <v>3914</v>
      </c>
      <c r="CM19" s="87" t="s">
        <v>3901</v>
      </c>
      <c r="CN19" s="206" t="s">
        <v>3746</v>
      </c>
      <c r="CO19" s="233"/>
      <c r="CP19" s="233"/>
      <c r="CQ19" s="233"/>
      <c r="CR19" s="21" t="s">
        <v>3621</v>
      </c>
      <c r="CS19" s="21"/>
      <c r="CT19" s="21"/>
      <c r="CU19" s="14" t="s">
        <v>3622</v>
      </c>
      <c r="CV19" s="14">
        <v>1</v>
      </c>
      <c r="CW19" s="110" t="s">
        <v>3623</v>
      </c>
      <c r="CX19" s="14" t="s">
        <v>3898</v>
      </c>
      <c r="CY19" s="87" t="s">
        <v>3730</v>
      </c>
      <c r="CZ19" s="87" t="s">
        <v>3624</v>
      </c>
      <c r="DA19" s="21"/>
      <c r="DB19" s="21"/>
      <c r="DC19" s="233"/>
      <c r="DD19" s="21" t="s">
        <v>3621</v>
      </c>
      <c r="DE19" s="21"/>
      <c r="DF19" s="21"/>
      <c r="DG19" s="14" t="s">
        <v>3622</v>
      </c>
      <c r="DH19" s="14">
        <v>1</v>
      </c>
      <c r="DI19" s="110" t="s">
        <v>3623</v>
      </c>
      <c r="DJ19" s="14" t="s">
        <v>3898</v>
      </c>
      <c r="DK19" s="87" t="s">
        <v>3730</v>
      </c>
      <c r="DL19" s="87" t="s">
        <v>3624</v>
      </c>
      <c r="DM19" s="21"/>
      <c r="DN19" s="21"/>
      <c r="DO19" s="233"/>
      <c r="DP19" s="21" t="s">
        <v>3653</v>
      </c>
      <c r="DQ19" s="21"/>
      <c r="DR19" s="14"/>
      <c r="DS19" s="14" t="s">
        <v>3976</v>
      </c>
      <c r="DT19" s="14">
        <v>1</v>
      </c>
      <c r="DU19" s="110" t="s">
        <v>3654</v>
      </c>
      <c r="DV19" s="14" t="s">
        <v>3898</v>
      </c>
      <c r="DW19" s="87" t="s">
        <v>3765</v>
      </c>
      <c r="DX19" s="87" t="s">
        <v>3746</v>
      </c>
      <c r="DY19" s="14"/>
      <c r="DZ19" s="233"/>
      <c r="EA19" s="233"/>
      <c r="EB19" s="21" t="s">
        <v>3625</v>
      </c>
      <c r="EC19" s="21"/>
      <c r="ED19" s="14"/>
      <c r="EE19" s="14" t="s">
        <v>3907</v>
      </c>
      <c r="EF19" s="14">
        <v>1</v>
      </c>
      <c r="EG19" s="14" t="s">
        <v>3749</v>
      </c>
      <c r="EH19" s="14" t="s">
        <v>3898</v>
      </c>
      <c r="EI19" s="87" t="s">
        <v>3626</v>
      </c>
      <c r="EJ19" s="87" t="s">
        <v>3822</v>
      </c>
      <c r="EK19" s="14"/>
      <c r="EL19" s="233"/>
      <c r="EM19" s="233"/>
      <c r="EN19" s="21" t="s">
        <v>3621</v>
      </c>
      <c r="EO19" s="21"/>
      <c r="EP19" s="21"/>
      <c r="EQ19" s="14" t="s">
        <v>3622</v>
      </c>
      <c r="ER19" s="14">
        <v>1</v>
      </c>
      <c r="ES19" s="110" t="s">
        <v>3623</v>
      </c>
      <c r="ET19" s="14" t="s">
        <v>3898</v>
      </c>
      <c r="EU19" s="87" t="s">
        <v>3730</v>
      </c>
      <c r="EV19" s="87" t="s">
        <v>3624</v>
      </c>
      <c r="EW19" s="21"/>
      <c r="EX19" s="21"/>
      <c r="EY19" s="233"/>
      <c r="EZ19" s="233"/>
      <c r="FA19" s="233"/>
      <c r="FB19" s="233"/>
      <c r="FC19" s="233"/>
      <c r="FD19" s="233"/>
    </row>
    <row r="20" spans="1:160">
      <c r="A20" s="20" t="s">
        <v>4213</v>
      </c>
      <c r="B20" s="14">
        <v>1</v>
      </c>
      <c r="C20" s="14" t="s">
        <v>4214</v>
      </c>
      <c r="D20" s="14">
        <v>0</v>
      </c>
      <c r="E20" s="197" t="s">
        <v>3946</v>
      </c>
      <c r="F20" s="14" t="s">
        <v>3947</v>
      </c>
      <c r="G20" s="44" t="s">
        <v>3948</v>
      </c>
      <c r="H20" s="44" t="s">
        <v>3632</v>
      </c>
      <c r="I20" s="44" t="s">
        <v>3633</v>
      </c>
      <c r="J20" s="28" t="s">
        <v>4555</v>
      </c>
      <c r="K20" s="111"/>
      <c r="L20" s="21" t="s">
        <v>3977</v>
      </c>
      <c r="M20" s="21"/>
      <c r="N20" s="21"/>
      <c r="O20" s="14" t="s">
        <v>3767</v>
      </c>
      <c r="P20" s="14">
        <v>1</v>
      </c>
      <c r="Q20" s="110" t="s">
        <v>3978</v>
      </c>
      <c r="R20" s="14" t="s">
        <v>3979</v>
      </c>
      <c r="S20" s="14" t="s">
        <v>3736</v>
      </c>
      <c r="T20" s="87" t="s">
        <v>3728</v>
      </c>
      <c r="U20" s="21"/>
      <c r="V20" s="21"/>
      <c r="W20" s="21"/>
      <c r="X20" s="21" t="s">
        <v>3634</v>
      </c>
      <c r="Y20" s="21"/>
      <c r="Z20" s="21"/>
      <c r="AA20" s="14" t="s">
        <v>3902</v>
      </c>
      <c r="AB20" s="14">
        <v>0</v>
      </c>
      <c r="AC20" s="14" t="s">
        <v>3897</v>
      </c>
      <c r="AD20" s="14" t="s">
        <v>3947</v>
      </c>
      <c r="AE20" s="87" t="s">
        <v>3635</v>
      </c>
      <c r="AF20" s="87" t="s">
        <v>3636</v>
      </c>
      <c r="AG20" s="21"/>
      <c r="AH20" s="21"/>
      <c r="AI20" s="14"/>
      <c r="AJ20" s="21" t="s">
        <v>3466</v>
      </c>
      <c r="AK20" s="21"/>
      <c r="AL20" s="14"/>
      <c r="AM20" s="14" t="s">
        <v>3555</v>
      </c>
      <c r="AN20" s="14">
        <v>2</v>
      </c>
      <c r="AO20" s="14" t="s">
        <v>4039</v>
      </c>
      <c r="AP20" s="14" t="s">
        <v>3931</v>
      </c>
      <c r="AQ20" s="87" t="s">
        <v>3467</v>
      </c>
      <c r="AR20" s="87" t="s">
        <v>3468</v>
      </c>
      <c r="AS20" s="14"/>
      <c r="AT20" s="21"/>
      <c r="AU20" s="21"/>
      <c r="AV20" s="21" t="s">
        <v>3469</v>
      </c>
      <c r="AW20" s="21"/>
      <c r="AX20" s="14"/>
      <c r="AY20" s="14" t="s">
        <v>3737</v>
      </c>
      <c r="AZ20" s="14">
        <v>1</v>
      </c>
      <c r="BA20" s="14" t="s">
        <v>3569</v>
      </c>
      <c r="BB20" s="14" t="s">
        <v>3979</v>
      </c>
      <c r="BC20" s="87" t="s">
        <v>3747</v>
      </c>
      <c r="BD20" s="87" t="s">
        <v>3470</v>
      </c>
      <c r="BE20" s="14"/>
      <c r="BF20" s="21"/>
      <c r="BG20" s="21"/>
      <c r="BH20" s="21" t="s">
        <v>3631</v>
      </c>
      <c r="BI20" s="21"/>
      <c r="BJ20" s="14"/>
      <c r="BK20" s="14" t="s">
        <v>3620</v>
      </c>
      <c r="BL20" s="14">
        <v>1</v>
      </c>
      <c r="BM20" s="110" t="s">
        <v>3749</v>
      </c>
      <c r="BN20" s="14" t="s">
        <v>3914</v>
      </c>
      <c r="BO20" s="87" t="s">
        <v>3736</v>
      </c>
      <c r="BP20" s="87" t="s">
        <v>3915</v>
      </c>
      <c r="BQ20" s="14"/>
      <c r="BR20" s="21"/>
      <c r="BS20" s="233"/>
      <c r="BT20" s="21" t="s">
        <v>3621</v>
      </c>
      <c r="BU20" s="21"/>
      <c r="BV20" s="21"/>
      <c r="BW20" s="14" t="s">
        <v>3622</v>
      </c>
      <c r="BX20" s="14">
        <v>1</v>
      </c>
      <c r="BY20" s="110" t="s">
        <v>3623</v>
      </c>
      <c r="BZ20" s="14" t="s">
        <v>3898</v>
      </c>
      <c r="CA20" s="87" t="s">
        <v>3730</v>
      </c>
      <c r="CB20" s="87" t="s">
        <v>3624</v>
      </c>
      <c r="CC20" s="233"/>
      <c r="CD20" s="233"/>
      <c r="CE20" s="233"/>
      <c r="CF20" s="21" t="s">
        <v>3631</v>
      </c>
      <c r="CG20" s="21"/>
      <c r="CH20" s="14"/>
      <c r="CI20" s="14" t="s">
        <v>3620</v>
      </c>
      <c r="CJ20" s="14">
        <v>1</v>
      </c>
      <c r="CK20" s="110" t="s">
        <v>3749</v>
      </c>
      <c r="CL20" s="14" t="s">
        <v>3914</v>
      </c>
      <c r="CM20" s="87" t="s">
        <v>3736</v>
      </c>
      <c r="CN20" s="87" t="s">
        <v>3915</v>
      </c>
      <c r="CO20" s="233"/>
      <c r="CP20" s="233"/>
      <c r="CQ20" s="233"/>
      <c r="CR20" s="21" t="s">
        <v>3634</v>
      </c>
      <c r="CS20" s="21"/>
      <c r="CT20" s="21"/>
      <c r="CU20" s="14" t="s">
        <v>3902</v>
      </c>
      <c r="CV20" s="14">
        <v>0</v>
      </c>
      <c r="CW20" s="14" t="s">
        <v>3897</v>
      </c>
      <c r="CX20" s="14" t="s">
        <v>3947</v>
      </c>
      <c r="CY20" s="87" t="s">
        <v>3635</v>
      </c>
      <c r="CZ20" s="87" t="s">
        <v>3636</v>
      </c>
      <c r="DA20" s="21"/>
      <c r="DB20" s="21"/>
      <c r="DC20" s="233"/>
      <c r="DD20" s="21" t="s">
        <v>3634</v>
      </c>
      <c r="DE20" s="21"/>
      <c r="DF20" s="21"/>
      <c r="DG20" s="14" t="s">
        <v>3902</v>
      </c>
      <c r="DH20" s="14">
        <v>0</v>
      </c>
      <c r="DI20" s="14" t="s">
        <v>3897</v>
      </c>
      <c r="DJ20" s="14" t="s">
        <v>3947</v>
      </c>
      <c r="DK20" s="87" t="s">
        <v>3635</v>
      </c>
      <c r="DL20" s="87" t="s">
        <v>3636</v>
      </c>
      <c r="DM20" s="21"/>
      <c r="DN20" s="21"/>
      <c r="DO20" s="233"/>
      <c r="DP20" s="21" t="s">
        <v>3834</v>
      </c>
      <c r="DQ20" s="21"/>
      <c r="DR20" s="14"/>
      <c r="DS20" s="14" t="s">
        <v>3907</v>
      </c>
      <c r="DT20" s="14">
        <v>1</v>
      </c>
      <c r="DU20" s="110" t="s">
        <v>3569</v>
      </c>
      <c r="DV20" s="14" t="s">
        <v>3947</v>
      </c>
      <c r="DW20" s="87" t="s">
        <v>3835</v>
      </c>
      <c r="DX20" s="87" t="s">
        <v>3836</v>
      </c>
      <c r="DY20" s="14"/>
      <c r="DZ20" s="233"/>
      <c r="EA20" s="233"/>
      <c r="EB20" s="21" t="s">
        <v>3466</v>
      </c>
      <c r="EC20" s="21"/>
      <c r="ED20" s="14"/>
      <c r="EE20" s="14" t="s">
        <v>3555</v>
      </c>
      <c r="EF20" s="14">
        <v>2</v>
      </c>
      <c r="EG20" s="14" t="s">
        <v>4039</v>
      </c>
      <c r="EH20" s="14" t="s">
        <v>3931</v>
      </c>
      <c r="EI20" s="87" t="s">
        <v>3467</v>
      </c>
      <c r="EJ20" s="87" t="s">
        <v>3468</v>
      </c>
      <c r="EK20" s="14"/>
      <c r="EL20" s="233"/>
      <c r="EM20" s="233"/>
      <c r="EN20" s="21" t="s">
        <v>3634</v>
      </c>
      <c r="EO20" s="21"/>
      <c r="EP20" s="21"/>
      <c r="EQ20" s="14" t="s">
        <v>3902</v>
      </c>
      <c r="ER20" s="14">
        <v>0</v>
      </c>
      <c r="ES20" s="14" t="s">
        <v>3897</v>
      </c>
      <c r="ET20" s="14" t="s">
        <v>3947</v>
      </c>
      <c r="EU20" s="87" t="s">
        <v>3635</v>
      </c>
      <c r="EV20" s="87" t="s">
        <v>3636</v>
      </c>
      <c r="EW20" s="21"/>
      <c r="EX20" s="21"/>
      <c r="EY20" s="233"/>
      <c r="EZ20" s="233"/>
      <c r="FA20" s="233"/>
      <c r="FB20" s="233"/>
      <c r="FC20" s="233"/>
      <c r="FD20" s="233"/>
    </row>
    <row r="21" spans="1:160">
      <c r="A21" s="20" t="s">
        <v>3975</v>
      </c>
      <c r="B21" s="14">
        <v>1</v>
      </c>
      <c r="C21" s="14" t="s">
        <v>3976</v>
      </c>
      <c r="D21" s="14" t="s">
        <v>5036</v>
      </c>
      <c r="E21" s="14" t="s">
        <v>3904</v>
      </c>
      <c r="F21" s="14" t="s">
        <v>3914</v>
      </c>
      <c r="G21" s="44" t="s">
        <v>3765</v>
      </c>
      <c r="H21" s="44" t="s">
        <v>3746</v>
      </c>
      <c r="I21" s="44" t="s">
        <v>3916</v>
      </c>
      <c r="J21" s="28" t="s">
        <v>4037</v>
      </c>
      <c r="K21" s="111"/>
      <c r="L21" s="21" t="s">
        <v>3808</v>
      </c>
      <c r="M21" s="21"/>
      <c r="N21" s="21"/>
      <c r="O21" s="14" t="s">
        <v>3767</v>
      </c>
      <c r="P21" s="14">
        <v>2</v>
      </c>
      <c r="Q21" s="110" t="s">
        <v>3557</v>
      </c>
      <c r="R21" s="14" t="s">
        <v>3947</v>
      </c>
      <c r="S21" s="14" t="s">
        <v>3809</v>
      </c>
      <c r="T21" s="206" t="s">
        <v>3810</v>
      </c>
      <c r="U21" s="21"/>
      <c r="V21" s="21"/>
      <c r="W21" s="21"/>
      <c r="X21" s="21" t="s">
        <v>3475</v>
      </c>
      <c r="Y21" s="21"/>
      <c r="Z21" s="21"/>
      <c r="AA21" s="14" t="s">
        <v>3476</v>
      </c>
      <c r="AB21" s="14" t="s">
        <v>5036</v>
      </c>
      <c r="AC21" s="14" t="s">
        <v>3904</v>
      </c>
      <c r="AD21" s="14" t="s">
        <v>3548</v>
      </c>
      <c r="AE21" s="87" t="s">
        <v>3730</v>
      </c>
      <c r="AF21" s="87" t="s">
        <v>3477</v>
      </c>
      <c r="AG21" s="21"/>
      <c r="AH21" s="21"/>
      <c r="AI21" s="14"/>
      <c r="AJ21" s="21" t="s">
        <v>3648</v>
      </c>
      <c r="AK21" s="21"/>
      <c r="AL21" s="21"/>
      <c r="AM21" s="14" t="s">
        <v>3649</v>
      </c>
      <c r="AN21" s="14">
        <v>2</v>
      </c>
      <c r="AO21" s="110" t="s">
        <v>3650</v>
      </c>
      <c r="AP21" s="14" t="s">
        <v>3898</v>
      </c>
      <c r="AQ21" s="111" t="s">
        <v>3651</v>
      </c>
      <c r="AR21" s="111" t="s">
        <v>3652</v>
      </c>
      <c r="AS21" s="14"/>
      <c r="AT21" s="21"/>
      <c r="AU21" s="21"/>
      <c r="AV21" s="21" t="s">
        <v>3653</v>
      </c>
      <c r="AW21" s="21"/>
      <c r="AX21" s="14"/>
      <c r="AY21" s="14" t="s">
        <v>3976</v>
      </c>
      <c r="AZ21" s="14">
        <v>1</v>
      </c>
      <c r="BA21" s="110" t="s">
        <v>3654</v>
      </c>
      <c r="BB21" s="14" t="s">
        <v>3898</v>
      </c>
      <c r="BC21" s="87" t="s">
        <v>3765</v>
      </c>
      <c r="BD21" s="87" t="s">
        <v>3746</v>
      </c>
      <c r="BE21" s="14"/>
      <c r="BF21" s="21"/>
      <c r="BG21" s="21"/>
      <c r="BH21" s="21" t="s">
        <v>3471</v>
      </c>
      <c r="BI21" s="21"/>
      <c r="BJ21" s="14"/>
      <c r="BK21" s="14" t="s">
        <v>3620</v>
      </c>
      <c r="BL21" s="14" t="s">
        <v>5036</v>
      </c>
      <c r="BM21" s="14" t="s">
        <v>3472</v>
      </c>
      <c r="BN21" s="14" t="s">
        <v>3473</v>
      </c>
      <c r="BO21" s="87" t="s">
        <v>3736</v>
      </c>
      <c r="BP21" s="87" t="s">
        <v>3474</v>
      </c>
      <c r="BQ21" s="14"/>
      <c r="BR21" s="21"/>
      <c r="BS21" s="233"/>
      <c r="BT21" s="21" t="s">
        <v>3834</v>
      </c>
      <c r="BU21" s="21"/>
      <c r="BV21" s="14"/>
      <c r="BW21" s="14" t="s">
        <v>3907</v>
      </c>
      <c r="BX21" s="14">
        <v>1</v>
      </c>
      <c r="BY21" s="110" t="s">
        <v>3569</v>
      </c>
      <c r="BZ21" s="14" t="s">
        <v>3947</v>
      </c>
      <c r="CA21" s="87" t="s">
        <v>3835</v>
      </c>
      <c r="CB21" s="87" t="s">
        <v>3836</v>
      </c>
      <c r="CC21" s="233"/>
      <c r="CD21" s="233"/>
      <c r="CE21" s="233"/>
      <c r="CF21" s="21" t="s">
        <v>3471</v>
      </c>
      <c r="CG21" s="21"/>
      <c r="CH21" s="14"/>
      <c r="CI21" s="14" t="s">
        <v>3620</v>
      </c>
      <c r="CJ21" s="14" t="s">
        <v>5036</v>
      </c>
      <c r="CK21" s="14" t="s">
        <v>3472</v>
      </c>
      <c r="CL21" s="14" t="s">
        <v>3473</v>
      </c>
      <c r="CM21" s="87" t="s">
        <v>3736</v>
      </c>
      <c r="CN21" s="87" t="s">
        <v>3474</v>
      </c>
      <c r="CO21" s="233"/>
      <c r="CP21" s="233"/>
      <c r="CQ21" s="233"/>
      <c r="CR21" s="21" t="s">
        <v>3475</v>
      </c>
      <c r="CS21" s="21"/>
      <c r="CT21" s="21"/>
      <c r="CU21" s="14" t="s">
        <v>3476</v>
      </c>
      <c r="CV21" s="14" t="s">
        <v>5036</v>
      </c>
      <c r="CW21" s="14" t="s">
        <v>3904</v>
      </c>
      <c r="CX21" s="14" t="s">
        <v>3548</v>
      </c>
      <c r="CY21" s="87" t="s">
        <v>3730</v>
      </c>
      <c r="CZ21" s="87" t="s">
        <v>3477</v>
      </c>
      <c r="DA21" s="21"/>
      <c r="DB21" s="21"/>
      <c r="DC21" s="233"/>
      <c r="DD21" s="21" t="s">
        <v>3475</v>
      </c>
      <c r="DE21" s="21"/>
      <c r="DF21" s="21"/>
      <c r="DG21" s="14" t="s">
        <v>3476</v>
      </c>
      <c r="DH21" s="14" t="s">
        <v>5036</v>
      </c>
      <c r="DI21" s="14" t="s">
        <v>3904</v>
      </c>
      <c r="DJ21" s="14" t="s">
        <v>3548</v>
      </c>
      <c r="DK21" s="87" t="s">
        <v>3730</v>
      </c>
      <c r="DL21" s="87" t="s">
        <v>3477</v>
      </c>
      <c r="DM21" s="21"/>
      <c r="DN21" s="21"/>
      <c r="DO21" s="233"/>
      <c r="DP21" s="21" t="s">
        <v>3848</v>
      </c>
      <c r="DQ21" s="21"/>
      <c r="DR21" s="21"/>
      <c r="DS21" s="14" t="s">
        <v>3622</v>
      </c>
      <c r="DT21" s="14">
        <v>1</v>
      </c>
      <c r="DU21" s="110" t="s">
        <v>4211</v>
      </c>
      <c r="DV21" s="14" t="s">
        <v>3898</v>
      </c>
      <c r="DW21" s="87" t="s">
        <v>3736</v>
      </c>
      <c r="DX21" s="87" t="s">
        <v>3849</v>
      </c>
      <c r="DY21" s="14"/>
      <c r="DZ21" s="233"/>
      <c r="EA21" s="233"/>
      <c r="EB21" s="21" t="s">
        <v>3648</v>
      </c>
      <c r="EC21" s="21"/>
      <c r="ED21" s="21"/>
      <c r="EE21" s="14" t="s">
        <v>3649</v>
      </c>
      <c r="EF21" s="14">
        <v>2</v>
      </c>
      <c r="EG21" s="110" t="s">
        <v>3650</v>
      </c>
      <c r="EH21" s="14" t="s">
        <v>3898</v>
      </c>
      <c r="EI21" s="111" t="s">
        <v>3651</v>
      </c>
      <c r="EJ21" s="111" t="s">
        <v>3652</v>
      </c>
      <c r="EK21" s="14"/>
      <c r="EL21" s="233"/>
      <c r="EM21" s="233"/>
      <c r="EN21" s="21" t="s">
        <v>3475</v>
      </c>
      <c r="EO21" s="21"/>
      <c r="EP21" s="21"/>
      <c r="EQ21" s="14" t="s">
        <v>3476</v>
      </c>
      <c r="ER21" s="14" t="s">
        <v>5036</v>
      </c>
      <c r="ES21" s="14" t="s">
        <v>3904</v>
      </c>
      <c r="ET21" s="14" t="s">
        <v>3548</v>
      </c>
      <c r="EU21" s="87" t="s">
        <v>3730</v>
      </c>
      <c r="EV21" s="87" t="s">
        <v>3477</v>
      </c>
      <c r="EW21" s="21"/>
      <c r="EX21" s="21"/>
      <c r="EY21" s="233"/>
      <c r="EZ21" s="233"/>
      <c r="FA21" s="233"/>
      <c r="FB21" s="233"/>
      <c r="FC21" s="233"/>
      <c r="FD21" s="233"/>
    </row>
    <row r="22" spans="1:160">
      <c r="A22" s="20" t="s">
        <v>3811</v>
      </c>
      <c r="B22" s="14">
        <v>1</v>
      </c>
      <c r="C22" s="14" t="s">
        <v>3907</v>
      </c>
      <c r="D22" s="14">
        <v>1</v>
      </c>
      <c r="E22" s="110" t="s">
        <v>3812</v>
      </c>
      <c r="F22" s="14" t="s">
        <v>3898</v>
      </c>
      <c r="G22" s="44" t="s">
        <v>3813</v>
      </c>
      <c r="H22" s="44" t="s">
        <v>3814</v>
      </c>
      <c r="I22" s="44" t="s">
        <v>3900</v>
      </c>
      <c r="J22" s="28" t="s">
        <v>4369</v>
      </c>
      <c r="K22" s="111"/>
      <c r="L22" s="21" t="s">
        <v>3653</v>
      </c>
      <c r="M22" s="14"/>
      <c r="N22" s="21"/>
      <c r="O22" s="14" t="s">
        <v>3976</v>
      </c>
      <c r="P22" s="14">
        <v>1</v>
      </c>
      <c r="Q22" s="110" t="s">
        <v>3654</v>
      </c>
      <c r="R22" s="14" t="s">
        <v>3898</v>
      </c>
      <c r="S22" s="44" t="s">
        <v>3765</v>
      </c>
      <c r="T22" s="44" t="s">
        <v>3746</v>
      </c>
      <c r="U22" s="14"/>
      <c r="V22" s="21"/>
      <c r="W22" s="21"/>
      <c r="X22" s="21" t="s">
        <v>3837</v>
      </c>
      <c r="Y22" s="21"/>
      <c r="Z22" s="21"/>
      <c r="AA22" s="14" t="s">
        <v>3902</v>
      </c>
      <c r="AB22" s="14">
        <v>1</v>
      </c>
      <c r="AC22" s="110" t="s">
        <v>4211</v>
      </c>
      <c r="AD22" s="14" t="s">
        <v>3947</v>
      </c>
      <c r="AE22" s="87" t="s">
        <v>3736</v>
      </c>
      <c r="AF22" s="87" t="s">
        <v>3838</v>
      </c>
      <c r="AG22" s="21"/>
      <c r="AH22" s="21"/>
      <c r="AI22" s="14"/>
      <c r="AJ22" s="21" t="s">
        <v>3839</v>
      </c>
      <c r="AK22" s="21"/>
      <c r="AL22" s="21"/>
      <c r="AM22" s="14" t="s">
        <v>3840</v>
      </c>
      <c r="AN22" s="14" t="s">
        <v>5036</v>
      </c>
      <c r="AO22" s="197" t="s">
        <v>3841</v>
      </c>
      <c r="AP22" s="14" t="s">
        <v>3487</v>
      </c>
      <c r="AQ22" s="111" t="s">
        <v>3736</v>
      </c>
      <c r="AR22" s="111" t="s">
        <v>3488</v>
      </c>
      <c r="AS22" s="14"/>
      <c r="AT22" s="21"/>
      <c r="AU22" s="21"/>
      <c r="AV22" s="21" t="s">
        <v>463</v>
      </c>
      <c r="AW22" s="21"/>
      <c r="AX22" s="14"/>
      <c r="AY22" s="14" t="s">
        <v>464</v>
      </c>
      <c r="AZ22" s="14">
        <v>1</v>
      </c>
      <c r="BA22" s="110" t="s">
        <v>4211</v>
      </c>
      <c r="BB22" s="14" t="s">
        <v>3573</v>
      </c>
      <c r="BC22" s="87" t="s">
        <v>465</v>
      </c>
      <c r="BD22" s="87" t="s">
        <v>466</v>
      </c>
      <c r="BE22" s="14"/>
      <c r="BF22" s="21"/>
      <c r="BG22" s="21"/>
      <c r="BH22" s="21" t="s">
        <v>3655</v>
      </c>
      <c r="BI22" s="21"/>
      <c r="BJ22" s="14"/>
      <c r="BK22" s="14" t="s">
        <v>3620</v>
      </c>
      <c r="BL22" s="14">
        <v>1</v>
      </c>
      <c r="BM22" s="14" t="s">
        <v>4211</v>
      </c>
      <c r="BN22" s="14" t="s">
        <v>3898</v>
      </c>
      <c r="BO22" s="87" t="s">
        <v>3809</v>
      </c>
      <c r="BP22" s="87" t="s">
        <v>3833</v>
      </c>
      <c r="BQ22" s="14"/>
      <c r="BR22" s="21"/>
      <c r="BS22" s="233"/>
      <c r="BT22" s="21" t="s">
        <v>3493</v>
      </c>
      <c r="BU22" s="21"/>
      <c r="BV22" s="14"/>
      <c r="BW22" s="14" t="s">
        <v>3494</v>
      </c>
      <c r="BX22" s="14">
        <v>1</v>
      </c>
      <c r="BY22" s="106" t="s">
        <v>3807</v>
      </c>
      <c r="BZ22" s="14" t="s">
        <v>3548</v>
      </c>
      <c r="CA22" s="87" t="s">
        <v>3495</v>
      </c>
      <c r="CB22" s="44" t="s">
        <v>3847</v>
      </c>
      <c r="CC22" s="233"/>
      <c r="CD22" s="233"/>
      <c r="CE22" s="233"/>
      <c r="CF22" s="21" t="s">
        <v>3655</v>
      </c>
      <c r="CG22" s="21"/>
      <c r="CH22" s="14"/>
      <c r="CI22" s="14" t="s">
        <v>3620</v>
      </c>
      <c r="CJ22" s="14">
        <v>1</v>
      </c>
      <c r="CK22" s="14" t="s">
        <v>4211</v>
      </c>
      <c r="CL22" s="14" t="s">
        <v>3898</v>
      </c>
      <c r="CM22" s="87" t="s">
        <v>3809</v>
      </c>
      <c r="CN22" s="87" t="s">
        <v>3833</v>
      </c>
      <c r="CO22" s="233"/>
      <c r="CP22" s="233"/>
      <c r="CQ22" s="233"/>
      <c r="CR22" s="21" t="s">
        <v>3837</v>
      </c>
      <c r="CS22" s="21"/>
      <c r="CT22" s="21"/>
      <c r="CU22" s="14" t="s">
        <v>3902</v>
      </c>
      <c r="CV22" s="14">
        <v>1</v>
      </c>
      <c r="CW22" s="110" t="s">
        <v>4211</v>
      </c>
      <c r="CX22" s="14" t="s">
        <v>3947</v>
      </c>
      <c r="CY22" s="87" t="s">
        <v>3736</v>
      </c>
      <c r="CZ22" s="87" t="s">
        <v>3838</v>
      </c>
      <c r="DA22" s="21"/>
      <c r="DB22" s="21"/>
      <c r="DC22" s="233"/>
      <c r="DD22" s="21" t="s">
        <v>3837</v>
      </c>
      <c r="DE22" s="21"/>
      <c r="DF22" s="21"/>
      <c r="DG22" s="14" t="s">
        <v>3902</v>
      </c>
      <c r="DH22" s="14">
        <v>1</v>
      </c>
      <c r="DI22" s="110" t="s">
        <v>4211</v>
      </c>
      <c r="DJ22" s="14" t="s">
        <v>3947</v>
      </c>
      <c r="DK22" s="87" t="s">
        <v>3736</v>
      </c>
      <c r="DL22" s="87" t="s">
        <v>3838</v>
      </c>
      <c r="DM22" s="21"/>
      <c r="DN22" s="21"/>
      <c r="DO22" s="233"/>
      <c r="DP22" s="21" t="s">
        <v>3855</v>
      </c>
      <c r="DQ22" s="21"/>
      <c r="DR22" s="21"/>
      <c r="DS22" s="14" t="s">
        <v>3622</v>
      </c>
      <c r="DT22" s="14" t="s">
        <v>5036</v>
      </c>
      <c r="DU22" s="14" t="s">
        <v>3904</v>
      </c>
      <c r="DV22" s="14" t="s">
        <v>3898</v>
      </c>
      <c r="DW22" s="87" t="s">
        <v>3927</v>
      </c>
      <c r="DX22" s="206" t="s">
        <v>3856</v>
      </c>
      <c r="DY22" s="14"/>
      <c r="DZ22" s="233"/>
      <c r="EA22" s="233"/>
      <c r="EB22" s="21" t="s">
        <v>3839</v>
      </c>
      <c r="EC22" s="21"/>
      <c r="ED22" s="21"/>
      <c r="EE22" s="14" t="s">
        <v>3840</v>
      </c>
      <c r="EF22" s="14" t="s">
        <v>5036</v>
      </c>
      <c r="EG22" s="197" t="s">
        <v>3841</v>
      </c>
      <c r="EH22" s="14" t="s">
        <v>3487</v>
      </c>
      <c r="EI22" s="111" t="s">
        <v>3736</v>
      </c>
      <c r="EJ22" s="111" t="s">
        <v>3488</v>
      </c>
      <c r="EK22" s="14"/>
      <c r="EL22" s="233"/>
      <c r="EM22" s="233"/>
      <c r="EN22" s="21" t="s">
        <v>3837</v>
      </c>
      <c r="EO22" s="21"/>
      <c r="EP22" s="21"/>
      <c r="EQ22" s="14" t="s">
        <v>3902</v>
      </c>
      <c r="ER22" s="14">
        <v>1</v>
      </c>
      <c r="ES22" s="110" t="s">
        <v>4211</v>
      </c>
      <c r="ET22" s="14" t="s">
        <v>3947</v>
      </c>
      <c r="EU22" s="87" t="s">
        <v>3736</v>
      </c>
      <c r="EV22" s="87" t="s">
        <v>3838</v>
      </c>
      <c r="EW22" s="21"/>
      <c r="EX22" s="21"/>
      <c r="EY22" s="233"/>
      <c r="EZ22" s="233"/>
      <c r="FA22" s="233"/>
      <c r="FB22" s="233"/>
      <c r="FC22" s="233"/>
      <c r="FD22" s="233"/>
    </row>
    <row r="23" spans="1:160">
      <c r="A23" s="20" t="s">
        <v>3980</v>
      </c>
      <c r="B23" s="14">
        <v>1</v>
      </c>
      <c r="C23" s="14" t="s">
        <v>3731</v>
      </c>
      <c r="D23" s="14">
        <v>1</v>
      </c>
      <c r="E23" s="110" t="s">
        <v>3807</v>
      </c>
      <c r="F23" s="14" t="s">
        <v>3716</v>
      </c>
      <c r="G23" s="44" t="s">
        <v>3736</v>
      </c>
      <c r="H23" s="44" t="s">
        <v>5483</v>
      </c>
      <c r="I23" s="44">
        <v>2</v>
      </c>
      <c r="J23" s="28" t="s">
        <v>3732</v>
      </c>
      <c r="K23" s="111"/>
      <c r="L23" s="21" t="s">
        <v>3834</v>
      </c>
      <c r="M23" s="14"/>
      <c r="N23" s="21"/>
      <c r="O23" s="14" t="s">
        <v>3907</v>
      </c>
      <c r="P23" s="14">
        <v>1</v>
      </c>
      <c r="Q23" s="110" t="s">
        <v>3569</v>
      </c>
      <c r="R23" s="14" t="s">
        <v>3947</v>
      </c>
      <c r="S23" s="44" t="s">
        <v>3835</v>
      </c>
      <c r="T23" s="44" t="s">
        <v>3836</v>
      </c>
      <c r="U23" s="21"/>
      <c r="V23" s="21"/>
      <c r="W23" s="21"/>
      <c r="X23" s="21" t="s">
        <v>3848</v>
      </c>
      <c r="Y23" s="21"/>
      <c r="Z23" s="21"/>
      <c r="AA23" s="14" t="s">
        <v>3622</v>
      </c>
      <c r="AB23" s="14">
        <v>1</v>
      </c>
      <c r="AC23" s="110" t="s">
        <v>4211</v>
      </c>
      <c r="AD23" s="14" t="s">
        <v>3898</v>
      </c>
      <c r="AE23" s="87" t="s">
        <v>3736</v>
      </c>
      <c r="AF23" s="87" t="s">
        <v>3849</v>
      </c>
      <c r="AG23" s="21"/>
      <c r="AH23" s="233"/>
      <c r="AI23" s="233"/>
      <c r="AJ23" s="21" t="s">
        <v>3834</v>
      </c>
      <c r="AK23" s="21"/>
      <c r="AL23" s="14"/>
      <c r="AM23" s="14" t="s">
        <v>3907</v>
      </c>
      <c r="AN23" s="14">
        <v>1</v>
      </c>
      <c r="AO23" s="110" t="s">
        <v>3569</v>
      </c>
      <c r="AP23" s="14" t="s">
        <v>3947</v>
      </c>
      <c r="AQ23" s="87" t="s">
        <v>3835</v>
      </c>
      <c r="AR23" s="87" t="s">
        <v>3836</v>
      </c>
      <c r="AS23" s="14"/>
      <c r="AT23" s="21"/>
      <c r="AU23" s="21"/>
      <c r="AV23" s="21" t="s">
        <v>3489</v>
      </c>
      <c r="AW23" s="21"/>
      <c r="AX23" s="14"/>
      <c r="AY23" s="14" t="s">
        <v>3976</v>
      </c>
      <c r="AZ23" s="14" t="s">
        <v>5036</v>
      </c>
      <c r="BA23" s="110" t="s">
        <v>3841</v>
      </c>
      <c r="BB23" s="14" t="s">
        <v>3914</v>
      </c>
      <c r="BC23" s="87" t="s">
        <v>3736</v>
      </c>
      <c r="BD23" s="87" t="s">
        <v>4136</v>
      </c>
      <c r="BE23" s="14"/>
      <c r="BF23" s="21"/>
      <c r="BG23" s="21"/>
      <c r="BH23" s="21" t="s">
        <v>3842</v>
      </c>
      <c r="BI23" s="21"/>
      <c r="BJ23" s="14"/>
      <c r="BK23" s="14" t="s">
        <v>4214</v>
      </c>
      <c r="BL23" s="14">
        <v>1</v>
      </c>
      <c r="BM23" s="110" t="s">
        <v>3812</v>
      </c>
      <c r="BN23" s="14" t="s">
        <v>3898</v>
      </c>
      <c r="BO23" s="87" t="s">
        <v>3843</v>
      </c>
      <c r="BP23" s="87" t="s">
        <v>3844</v>
      </c>
      <c r="BQ23" s="14"/>
      <c r="BR23" s="21"/>
      <c r="BS23" s="233"/>
      <c r="BT23" s="21" t="s">
        <v>3848</v>
      </c>
      <c r="BU23" s="21"/>
      <c r="BV23" s="21"/>
      <c r="BW23" s="14" t="s">
        <v>3622</v>
      </c>
      <c r="BX23" s="14">
        <v>1</v>
      </c>
      <c r="BY23" s="110" t="s">
        <v>4211</v>
      </c>
      <c r="BZ23" s="14" t="s">
        <v>3898</v>
      </c>
      <c r="CA23" s="87" t="s">
        <v>3736</v>
      </c>
      <c r="CB23" s="87" t="s">
        <v>3849</v>
      </c>
      <c r="CC23" s="233"/>
      <c r="CD23" s="233"/>
      <c r="CE23" s="233"/>
      <c r="CF23" s="21" t="s">
        <v>3842</v>
      </c>
      <c r="CG23" s="21"/>
      <c r="CH23" s="14"/>
      <c r="CI23" s="14" t="s">
        <v>4214</v>
      </c>
      <c r="CJ23" s="14">
        <v>1</v>
      </c>
      <c r="CK23" s="110" t="s">
        <v>3812</v>
      </c>
      <c r="CL23" s="14" t="s">
        <v>3898</v>
      </c>
      <c r="CM23" s="87" t="s">
        <v>3843</v>
      </c>
      <c r="CN23" s="87" t="s">
        <v>3844</v>
      </c>
      <c r="CO23" s="233"/>
      <c r="CP23" s="233"/>
      <c r="CQ23" s="233"/>
      <c r="CR23" s="21" t="s">
        <v>3848</v>
      </c>
      <c r="CS23" s="21"/>
      <c r="CT23" s="21"/>
      <c r="CU23" s="14" t="s">
        <v>3622</v>
      </c>
      <c r="CV23" s="14">
        <v>1</v>
      </c>
      <c r="CW23" s="110" t="s">
        <v>4211</v>
      </c>
      <c r="CX23" s="14" t="s">
        <v>3898</v>
      </c>
      <c r="CY23" s="87" t="s">
        <v>3736</v>
      </c>
      <c r="CZ23" s="87" t="s">
        <v>3849</v>
      </c>
      <c r="DA23" s="21"/>
      <c r="DB23" s="233"/>
      <c r="DC23" s="233"/>
      <c r="DD23" s="21" t="s">
        <v>3848</v>
      </c>
      <c r="DE23" s="21"/>
      <c r="DF23" s="21"/>
      <c r="DG23" s="14" t="s">
        <v>3622</v>
      </c>
      <c r="DH23" s="14">
        <v>1</v>
      </c>
      <c r="DI23" s="110" t="s">
        <v>4211</v>
      </c>
      <c r="DJ23" s="14" t="s">
        <v>3898</v>
      </c>
      <c r="DK23" s="87" t="s">
        <v>3736</v>
      </c>
      <c r="DL23" s="87" t="s">
        <v>3849</v>
      </c>
      <c r="DM23" s="21"/>
      <c r="DN23" s="233"/>
      <c r="DO23" s="233"/>
      <c r="DP23" s="21" t="s">
        <v>3891</v>
      </c>
      <c r="DQ23" s="21"/>
      <c r="DR23" s="21"/>
      <c r="DS23" s="14" t="s">
        <v>3622</v>
      </c>
      <c r="DT23" s="14" t="s">
        <v>5036</v>
      </c>
      <c r="DU23" s="14" t="s">
        <v>3904</v>
      </c>
      <c r="DV23" s="14" t="s">
        <v>3898</v>
      </c>
      <c r="DW23" s="87" t="s">
        <v>3927</v>
      </c>
      <c r="DX23" s="206" t="s">
        <v>3892</v>
      </c>
      <c r="DY23" s="14"/>
      <c r="DZ23" s="233"/>
      <c r="EA23" s="233"/>
      <c r="EB23" s="21" t="s">
        <v>3834</v>
      </c>
      <c r="EC23" s="21"/>
      <c r="ED23" s="14"/>
      <c r="EE23" s="14" t="s">
        <v>3907</v>
      </c>
      <c r="EF23" s="14">
        <v>1</v>
      </c>
      <c r="EG23" s="110" t="s">
        <v>3569</v>
      </c>
      <c r="EH23" s="14" t="s">
        <v>3947</v>
      </c>
      <c r="EI23" s="87" t="s">
        <v>3835</v>
      </c>
      <c r="EJ23" s="87" t="s">
        <v>3836</v>
      </c>
      <c r="EK23" s="14"/>
      <c r="EL23" s="233"/>
      <c r="EM23" s="233"/>
      <c r="EN23" s="21" t="s">
        <v>3848</v>
      </c>
      <c r="EO23" s="21"/>
      <c r="EP23" s="21"/>
      <c r="EQ23" s="14" t="s">
        <v>3622</v>
      </c>
      <c r="ER23" s="14">
        <v>1</v>
      </c>
      <c r="ES23" s="110" t="s">
        <v>4211</v>
      </c>
      <c r="ET23" s="14" t="s">
        <v>3898</v>
      </c>
      <c r="EU23" s="87" t="s">
        <v>3736</v>
      </c>
      <c r="EV23" s="87" t="s">
        <v>3849</v>
      </c>
      <c r="EW23" s="21"/>
      <c r="EX23" s="233"/>
      <c r="EY23" s="233"/>
      <c r="EZ23" s="233"/>
      <c r="FA23" s="233"/>
      <c r="FB23" s="233"/>
      <c r="FC23" s="233"/>
      <c r="FD23" s="233"/>
    </row>
    <row r="24" spans="1:160">
      <c r="A24" s="20" t="s">
        <v>3625</v>
      </c>
      <c r="B24" s="14">
        <v>1</v>
      </c>
      <c r="C24" s="14" t="s">
        <v>3907</v>
      </c>
      <c r="D24" s="14">
        <v>1</v>
      </c>
      <c r="E24" s="110" t="s">
        <v>3749</v>
      </c>
      <c r="F24" s="14" t="s">
        <v>3898</v>
      </c>
      <c r="G24" s="44" t="s">
        <v>3626</v>
      </c>
      <c r="H24" s="44" t="s">
        <v>3822</v>
      </c>
      <c r="I24" s="44" t="s">
        <v>3900</v>
      </c>
      <c r="J24" s="28" t="s">
        <v>4369</v>
      </c>
      <c r="K24" s="111"/>
      <c r="L24" s="21" t="s">
        <v>3853</v>
      </c>
      <c r="M24" s="14"/>
      <c r="N24" s="21"/>
      <c r="O24" s="14" t="s">
        <v>3620</v>
      </c>
      <c r="P24" s="14" t="s">
        <v>5036</v>
      </c>
      <c r="Q24" s="14" t="s">
        <v>3904</v>
      </c>
      <c r="R24" s="14" t="s">
        <v>3854</v>
      </c>
      <c r="S24" s="44" t="s">
        <v>3736</v>
      </c>
      <c r="T24" s="44" t="s">
        <v>4212</v>
      </c>
      <c r="U24" s="21"/>
      <c r="V24" s="21"/>
      <c r="W24" s="21"/>
      <c r="X24" s="21" t="s">
        <v>3855</v>
      </c>
      <c r="Y24" s="21"/>
      <c r="Z24" s="21"/>
      <c r="AA24" s="14" t="s">
        <v>3622</v>
      </c>
      <c r="AB24" s="14" t="s">
        <v>5036</v>
      </c>
      <c r="AC24" s="14" t="s">
        <v>3904</v>
      </c>
      <c r="AD24" s="14" t="s">
        <v>3898</v>
      </c>
      <c r="AE24" s="87" t="s">
        <v>3927</v>
      </c>
      <c r="AF24" s="206" t="s">
        <v>3856</v>
      </c>
      <c r="AG24" s="21"/>
      <c r="AH24" s="233"/>
      <c r="AI24" s="233"/>
      <c r="AJ24" s="21" t="s">
        <v>4149</v>
      </c>
      <c r="AK24" s="21"/>
      <c r="AL24" s="14"/>
      <c r="AM24" s="14" t="s">
        <v>3907</v>
      </c>
      <c r="AN24" s="14" t="s">
        <v>5036</v>
      </c>
      <c r="AO24" s="110" t="s">
        <v>4150</v>
      </c>
      <c r="AP24" s="14" t="s">
        <v>3898</v>
      </c>
      <c r="AQ24" s="87" t="s">
        <v>3467</v>
      </c>
      <c r="AR24" s="87" t="s">
        <v>3915</v>
      </c>
      <c r="AS24" s="14"/>
      <c r="AT24" s="21"/>
      <c r="AU24" s="21"/>
      <c r="AV24" s="21" t="s">
        <v>3850</v>
      </c>
      <c r="AW24" s="21"/>
      <c r="AX24" s="108"/>
      <c r="AY24" s="14" t="s">
        <v>3494</v>
      </c>
      <c r="AZ24" s="14">
        <v>1</v>
      </c>
      <c r="BA24" s="110" t="s">
        <v>3807</v>
      </c>
      <c r="BB24" s="14" t="s">
        <v>3851</v>
      </c>
      <c r="BC24" s="167" t="s">
        <v>3843</v>
      </c>
      <c r="BD24" s="168" t="s">
        <v>3852</v>
      </c>
      <c r="BE24" s="14"/>
      <c r="BF24" s="21"/>
      <c r="BG24" s="21"/>
      <c r="BH24" s="21" t="s">
        <v>3853</v>
      </c>
      <c r="BI24" s="21"/>
      <c r="BJ24" s="14"/>
      <c r="BK24" s="14" t="s">
        <v>3620</v>
      </c>
      <c r="BL24" s="14" t="s">
        <v>5036</v>
      </c>
      <c r="BM24" s="110" t="s">
        <v>3904</v>
      </c>
      <c r="BN24" s="14" t="s">
        <v>3854</v>
      </c>
      <c r="BO24" s="87" t="s">
        <v>3736</v>
      </c>
      <c r="BP24" s="87" t="s">
        <v>4212</v>
      </c>
      <c r="BQ24" s="14"/>
      <c r="BR24" s="21"/>
      <c r="BS24" s="233"/>
      <c r="BT24" s="21" t="s">
        <v>3668</v>
      </c>
      <c r="BU24" s="21"/>
      <c r="BV24" s="14"/>
      <c r="BW24" s="14" t="s">
        <v>3669</v>
      </c>
      <c r="BX24" s="14" t="s">
        <v>5036</v>
      </c>
      <c r="BY24" s="197" t="s">
        <v>3897</v>
      </c>
      <c r="BZ24" s="14" t="s">
        <v>3898</v>
      </c>
      <c r="CA24" s="87" t="s">
        <v>3670</v>
      </c>
      <c r="CB24" s="44" t="s">
        <v>3671</v>
      </c>
      <c r="CC24" s="233"/>
      <c r="CD24" s="233"/>
      <c r="CE24" s="233"/>
      <c r="CF24" s="21" t="s">
        <v>3853</v>
      </c>
      <c r="CG24" s="21"/>
      <c r="CH24" s="14"/>
      <c r="CI24" s="14" t="s">
        <v>3620</v>
      </c>
      <c r="CJ24" s="14" t="s">
        <v>5036</v>
      </c>
      <c r="CK24" s="110" t="s">
        <v>3904</v>
      </c>
      <c r="CL24" s="14" t="s">
        <v>3854</v>
      </c>
      <c r="CM24" s="87" t="s">
        <v>3736</v>
      </c>
      <c r="CN24" s="87" t="s">
        <v>4212</v>
      </c>
      <c r="CO24" s="233"/>
      <c r="CP24" s="233"/>
      <c r="CQ24" s="233"/>
      <c r="CR24" s="21" t="s">
        <v>3855</v>
      </c>
      <c r="CS24" s="21"/>
      <c r="CT24" s="21"/>
      <c r="CU24" s="14" t="s">
        <v>3622</v>
      </c>
      <c r="CV24" s="14" t="s">
        <v>5036</v>
      </c>
      <c r="CW24" s="14" t="s">
        <v>3904</v>
      </c>
      <c r="CX24" s="14" t="s">
        <v>3898</v>
      </c>
      <c r="CY24" s="87" t="s">
        <v>3927</v>
      </c>
      <c r="CZ24" s="206" t="s">
        <v>3856</v>
      </c>
      <c r="DA24" s="21"/>
      <c r="DB24" s="233"/>
      <c r="DC24" s="233"/>
      <c r="DD24" s="21" t="s">
        <v>3855</v>
      </c>
      <c r="DE24" s="21"/>
      <c r="DF24" s="21"/>
      <c r="DG24" s="14" t="s">
        <v>3622</v>
      </c>
      <c r="DH24" s="14" t="s">
        <v>5036</v>
      </c>
      <c r="DI24" s="14" t="s">
        <v>3904</v>
      </c>
      <c r="DJ24" s="14" t="s">
        <v>3898</v>
      </c>
      <c r="DK24" s="87" t="s">
        <v>3927</v>
      </c>
      <c r="DL24" s="206" t="s">
        <v>3856</v>
      </c>
      <c r="DM24" s="21"/>
      <c r="DN24" s="233"/>
      <c r="DO24" s="233"/>
      <c r="DP24" s="21"/>
      <c r="DQ24" s="21"/>
      <c r="DR24" s="14"/>
      <c r="DS24" s="14"/>
      <c r="DT24" s="14"/>
      <c r="DU24" s="14"/>
      <c r="DV24" s="14"/>
      <c r="DW24" s="87"/>
      <c r="DX24" s="206"/>
      <c r="DY24" s="14"/>
      <c r="DZ24" s="233"/>
      <c r="EA24" s="233"/>
      <c r="EB24" s="21" t="s">
        <v>4149</v>
      </c>
      <c r="EC24" s="21"/>
      <c r="ED24" s="14"/>
      <c r="EE24" s="14" t="s">
        <v>3907</v>
      </c>
      <c r="EF24" s="14" t="s">
        <v>5036</v>
      </c>
      <c r="EG24" s="110" t="s">
        <v>4150</v>
      </c>
      <c r="EH24" s="14" t="s">
        <v>3898</v>
      </c>
      <c r="EI24" s="87" t="s">
        <v>3467</v>
      </c>
      <c r="EJ24" s="87" t="s">
        <v>3915</v>
      </c>
      <c r="EK24" s="14"/>
      <c r="EL24" s="233"/>
      <c r="EM24" s="233"/>
      <c r="EN24" s="21" t="s">
        <v>3855</v>
      </c>
      <c r="EO24" s="21"/>
      <c r="EP24" s="21"/>
      <c r="EQ24" s="14" t="s">
        <v>3622</v>
      </c>
      <c r="ER24" s="14" t="s">
        <v>5036</v>
      </c>
      <c r="ES24" s="14" t="s">
        <v>3904</v>
      </c>
      <c r="ET24" s="14" t="s">
        <v>3898</v>
      </c>
      <c r="EU24" s="87" t="s">
        <v>3927</v>
      </c>
      <c r="EV24" s="206" t="s">
        <v>3856</v>
      </c>
      <c r="EW24" s="21"/>
      <c r="EX24" s="233"/>
      <c r="EY24" s="233"/>
      <c r="EZ24" s="233"/>
      <c r="FA24" s="233"/>
      <c r="FB24" s="233"/>
      <c r="FC24" s="233"/>
      <c r="FD24" s="233"/>
    </row>
    <row r="25" spans="1:160">
      <c r="A25" s="20" t="s">
        <v>3619</v>
      </c>
      <c r="B25" s="14">
        <v>1</v>
      </c>
      <c r="C25" s="14" t="s">
        <v>3620</v>
      </c>
      <c r="D25" s="14">
        <v>1</v>
      </c>
      <c r="E25" s="110" t="s">
        <v>3569</v>
      </c>
      <c r="F25" s="14" t="s">
        <v>3914</v>
      </c>
      <c r="G25" s="44" t="s">
        <v>3901</v>
      </c>
      <c r="H25" s="44" t="s">
        <v>3746</v>
      </c>
      <c r="I25" s="44" t="s">
        <v>3916</v>
      </c>
      <c r="J25" s="28" t="s">
        <v>3890</v>
      </c>
      <c r="K25" s="111"/>
      <c r="L25" s="21" t="s">
        <v>3634</v>
      </c>
      <c r="M25" s="21"/>
      <c r="N25" s="21"/>
      <c r="O25" s="14" t="s">
        <v>3902</v>
      </c>
      <c r="P25" s="14">
        <v>0</v>
      </c>
      <c r="Q25" s="14" t="s">
        <v>3897</v>
      </c>
      <c r="R25" s="14" t="s">
        <v>3947</v>
      </c>
      <c r="S25" s="14" t="s">
        <v>3635</v>
      </c>
      <c r="T25" s="87" t="s">
        <v>3636</v>
      </c>
      <c r="U25" s="14"/>
      <c r="V25" s="21"/>
      <c r="W25" s="21"/>
      <c r="X25" s="21" t="s">
        <v>467</v>
      </c>
      <c r="Y25" s="14"/>
      <c r="Z25" s="233"/>
      <c r="AA25" s="14" t="s">
        <v>5871</v>
      </c>
      <c r="AB25" s="14" t="s">
        <v>5036</v>
      </c>
      <c r="AC25" s="106" t="s">
        <v>4039</v>
      </c>
      <c r="AD25" s="14" t="s">
        <v>3898</v>
      </c>
      <c r="AE25" s="44" t="s">
        <v>3550</v>
      </c>
      <c r="AF25" s="107" t="s">
        <v>468</v>
      </c>
      <c r="AG25" s="233"/>
      <c r="AH25" s="233"/>
      <c r="AI25" s="233"/>
      <c r="AJ25" s="21" t="s">
        <v>3893</v>
      </c>
      <c r="AK25" s="21"/>
      <c r="AL25" s="14"/>
      <c r="AM25" s="14" t="s">
        <v>3649</v>
      </c>
      <c r="AN25" s="14">
        <v>1</v>
      </c>
      <c r="AO25" s="106" t="s">
        <v>3934</v>
      </c>
      <c r="AP25" s="14" t="s">
        <v>3947</v>
      </c>
      <c r="AQ25" s="87" t="s">
        <v>3550</v>
      </c>
      <c r="AR25" s="87" t="s">
        <v>3746</v>
      </c>
      <c r="AS25" s="14"/>
      <c r="AT25" s="21"/>
      <c r="AU25" s="21"/>
      <c r="AV25" s="21" t="s">
        <v>3998</v>
      </c>
      <c r="AW25" s="21"/>
      <c r="AX25" s="14"/>
      <c r="AY25" s="14" t="s">
        <v>3737</v>
      </c>
      <c r="AZ25" s="14">
        <v>1</v>
      </c>
      <c r="BA25" s="14" t="s">
        <v>3999</v>
      </c>
      <c r="BB25" s="14" t="s">
        <v>4000</v>
      </c>
      <c r="BC25" s="87" t="s">
        <v>3765</v>
      </c>
      <c r="BD25" s="206" t="s">
        <v>3728</v>
      </c>
      <c r="BE25" s="14"/>
      <c r="BF25" s="21"/>
      <c r="BG25" s="21"/>
      <c r="BH25" s="21" t="s">
        <v>4001</v>
      </c>
      <c r="BI25" s="21"/>
      <c r="BJ25" s="14"/>
      <c r="BK25" s="14" t="s">
        <v>3551</v>
      </c>
      <c r="BL25" s="14">
        <v>1</v>
      </c>
      <c r="BM25" s="110" t="s">
        <v>4211</v>
      </c>
      <c r="BN25" s="14" t="s">
        <v>4000</v>
      </c>
      <c r="BO25" s="87" t="s">
        <v>3901</v>
      </c>
      <c r="BP25" s="87" t="s">
        <v>3915</v>
      </c>
      <c r="BQ25" s="14"/>
      <c r="BR25" s="21"/>
      <c r="BS25" s="233"/>
      <c r="BT25" s="21" t="s">
        <v>3707</v>
      </c>
      <c r="BU25" s="21"/>
      <c r="BV25" s="14"/>
      <c r="BW25" s="14" t="s">
        <v>3708</v>
      </c>
      <c r="BX25" s="14">
        <v>1</v>
      </c>
      <c r="BY25" s="106" t="s">
        <v>3749</v>
      </c>
      <c r="BZ25" s="14" t="s">
        <v>4066</v>
      </c>
      <c r="CA25" s="87" t="s">
        <v>3911</v>
      </c>
      <c r="CB25" s="44" t="s">
        <v>3709</v>
      </c>
      <c r="CC25" s="233"/>
      <c r="CD25" s="233"/>
      <c r="CE25" s="233"/>
      <c r="CF25" s="21" t="s">
        <v>4001</v>
      </c>
      <c r="CG25" s="21"/>
      <c r="CH25" s="14"/>
      <c r="CI25" s="14" t="s">
        <v>3551</v>
      </c>
      <c r="CJ25" s="14">
        <v>1</v>
      </c>
      <c r="CK25" s="110" t="s">
        <v>4211</v>
      </c>
      <c r="CL25" s="14" t="s">
        <v>4000</v>
      </c>
      <c r="CM25" s="87" t="s">
        <v>3901</v>
      </c>
      <c r="CN25" s="87" t="s">
        <v>3915</v>
      </c>
      <c r="CO25" s="233"/>
      <c r="CP25" s="233"/>
      <c r="CQ25" s="233"/>
      <c r="CR25" s="21" t="s">
        <v>467</v>
      </c>
      <c r="CS25" s="14"/>
      <c r="CT25" s="233"/>
      <c r="CU25" s="14" t="s">
        <v>5871</v>
      </c>
      <c r="CV25" s="14" t="s">
        <v>5036</v>
      </c>
      <c r="CW25" s="106" t="s">
        <v>4039</v>
      </c>
      <c r="CX25" s="14" t="s">
        <v>3898</v>
      </c>
      <c r="CY25" s="44" t="s">
        <v>3550</v>
      </c>
      <c r="CZ25" s="107" t="s">
        <v>468</v>
      </c>
      <c r="DA25" s="21"/>
      <c r="DB25" s="233"/>
      <c r="DC25" s="233"/>
      <c r="DD25" s="21" t="s">
        <v>467</v>
      </c>
      <c r="DE25" s="14"/>
      <c r="DF25" s="233"/>
      <c r="DG25" s="14" t="s">
        <v>5871</v>
      </c>
      <c r="DH25" s="14" t="s">
        <v>5036</v>
      </c>
      <c r="DI25" s="106" t="s">
        <v>4039</v>
      </c>
      <c r="DJ25" s="14" t="s">
        <v>3898</v>
      </c>
      <c r="DK25" s="44" t="s">
        <v>3550</v>
      </c>
      <c r="DL25" s="107" t="s">
        <v>468</v>
      </c>
      <c r="DM25" s="21"/>
      <c r="DN25" s="233"/>
      <c r="DO25" s="233"/>
      <c r="DP25" s="21"/>
      <c r="DQ25" s="21"/>
      <c r="DR25" s="14"/>
      <c r="DS25" s="14"/>
      <c r="DT25" s="14"/>
      <c r="DU25" s="14"/>
      <c r="DV25" s="14"/>
      <c r="DW25" s="87"/>
      <c r="DX25" s="206"/>
      <c r="DY25" s="14"/>
      <c r="DZ25" s="233"/>
      <c r="EA25" s="233"/>
      <c r="EB25" s="21" t="s">
        <v>3893</v>
      </c>
      <c r="EC25" s="21"/>
      <c r="ED25" s="14"/>
      <c r="EE25" s="14" t="s">
        <v>3649</v>
      </c>
      <c r="EF25" s="14">
        <v>1</v>
      </c>
      <c r="EG25" s="106" t="s">
        <v>3934</v>
      </c>
      <c r="EH25" s="14" t="s">
        <v>3947</v>
      </c>
      <c r="EI25" s="87" t="s">
        <v>3550</v>
      </c>
      <c r="EJ25" s="87" t="s">
        <v>3746</v>
      </c>
      <c r="EK25" s="14"/>
      <c r="EL25" s="233"/>
      <c r="EM25" s="233"/>
      <c r="EN25" s="21" t="s">
        <v>467</v>
      </c>
      <c r="EO25" s="14"/>
      <c r="EP25" s="233"/>
      <c r="EQ25" s="14" t="s">
        <v>5871</v>
      </c>
      <c r="ER25" s="14" t="s">
        <v>5036</v>
      </c>
      <c r="ES25" s="106" t="s">
        <v>4039</v>
      </c>
      <c r="ET25" s="14" t="s">
        <v>3898</v>
      </c>
      <c r="EU25" s="44" t="s">
        <v>3550</v>
      </c>
      <c r="EV25" s="107" t="s">
        <v>468</v>
      </c>
      <c r="EW25" s="21"/>
      <c r="EX25" s="233"/>
      <c r="EY25" s="233"/>
      <c r="EZ25" s="233"/>
      <c r="FA25" s="233"/>
      <c r="FB25" s="233"/>
      <c r="FC25" s="233"/>
      <c r="FD25" s="233"/>
    </row>
    <row r="26" spans="1:160">
      <c r="A26" s="20" t="s">
        <v>3928</v>
      </c>
      <c r="B26" s="14">
        <v>1</v>
      </c>
      <c r="C26" s="14" t="s">
        <v>3929</v>
      </c>
      <c r="D26" s="14" t="s">
        <v>5036</v>
      </c>
      <c r="E26" s="197" t="s">
        <v>3930</v>
      </c>
      <c r="F26" s="14" t="s">
        <v>3931</v>
      </c>
      <c r="G26" s="44" t="s">
        <v>3736</v>
      </c>
      <c r="H26" s="44" t="s">
        <v>3932</v>
      </c>
      <c r="I26" s="44" t="s">
        <v>3900</v>
      </c>
      <c r="J26" s="28" t="s">
        <v>5232</v>
      </c>
      <c r="K26" s="111"/>
      <c r="L26" s="21" t="s">
        <v>3475</v>
      </c>
      <c r="M26" s="21"/>
      <c r="N26" s="21"/>
      <c r="O26" s="14" t="s">
        <v>3476</v>
      </c>
      <c r="P26" s="14" t="s">
        <v>5036</v>
      </c>
      <c r="Q26" s="14" t="s">
        <v>3904</v>
      </c>
      <c r="R26" s="14" t="s">
        <v>3548</v>
      </c>
      <c r="S26" s="14" t="s">
        <v>3730</v>
      </c>
      <c r="T26" s="87" t="s">
        <v>3477</v>
      </c>
      <c r="U26" s="14"/>
      <c r="V26" s="21"/>
      <c r="W26" s="21"/>
      <c r="X26" s="21" t="s">
        <v>3891</v>
      </c>
      <c r="Y26" s="21"/>
      <c r="Z26" s="21"/>
      <c r="AA26" s="14" t="s">
        <v>3622</v>
      </c>
      <c r="AB26" s="14" t="s">
        <v>5036</v>
      </c>
      <c r="AC26" s="14" t="s">
        <v>3904</v>
      </c>
      <c r="AD26" s="14" t="s">
        <v>3898</v>
      </c>
      <c r="AE26" s="87" t="s">
        <v>3927</v>
      </c>
      <c r="AF26" s="206" t="s">
        <v>3892</v>
      </c>
      <c r="AG26" s="21"/>
      <c r="AH26" s="233"/>
      <c r="AI26" s="233"/>
      <c r="AJ26" s="21" t="s">
        <v>3710</v>
      </c>
      <c r="AK26" s="21"/>
      <c r="AL26" s="14"/>
      <c r="AM26" s="14" t="s">
        <v>3649</v>
      </c>
      <c r="AN26" s="14">
        <v>0</v>
      </c>
      <c r="AO26" s="14" t="s">
        <v>3745</v>
      </c>
      <c r="AP26" s="14" t="s">
        <v>3898</v>
      </c>
      <c r="AQ26" s="87" t="s">
        <v>3711</v>
      </c>
      <c r="AR26" s="87" t="s">
        <v>3488</v>
      </c>
      <c r="AS26" s="21"/>
      <c r="AT26" s="21"/>
      <c r="AU26" s="21"/>
      <c r="AV26" s="21" t="s">
        <v>594</v>
      </c>
      <c r="AW26" s="21"/>
      <c r="AX26" s="14"/>
      <c r="AY26" s="14" t="s">
        <v>5872</v>
      </c>
      <c r="AZ26" s="14">
        <v>1</v>
      </c>
      <c r="BA26" s="110" t="s">
        <v>4039</v>
      </c>
      <c r="BB26" s="14" t="s">
        <v>3898</v>
      </c>
      <c r="BC26" s="44" t="s">
        <v>3937</v>
      </c>
      <c r="BD26" s="107" t="s">
        <v>478</v>
      </c>
      <c r="BE26" s="14"/>
      <c r="BF26" s="21"/>
      <c r="BG26" s="21"/>
      <c r="BH26" s="21" t="s">
        <v>479</v>
      </c>
      <c r="BI26" s="21"/>
      <c r="BJ26" s="14"/>
      <c r="BK26" s="14" t="s">
        <v>5873</v>
      </c>
      <c r="BL26" s="14">
        <v>1</v>
      </c>
      <c r="BM26" s="110" t="s">
        <v>4039</v>
      </c>
      <c r="BN26" s="14" t="s">
        <v>3548</v>
      </c>
      <c r="BO26" s="44" t="s">
        <v>3651</v>
      </c>
      <c r="BP26" s="107" t="s">
        <v>351</v>
      </c>
      <c r="BQ26" s="14"/>
      <c r="BR26" s="21"/>
      <c r="BS26" s="233"/>
      <c r="BT26" s="21"/>
      <c r="BU26" s="21"/>
      <c r="BV26" s="14"/>
      <c r="BW26" s="14"/>
      <c r="BX26" s="14"/>
      <c r="BY26" s="14"/>
      <c r="BZ26" s="14"/>
      <c r="CA26" s="14"/>
      <c r="CB26" s="87"/>
      <c r="CC26" s="233"/>
      <c r="CD26" s="233"/>
      <c r="CE26" s="233"/>
      <c r="CF26" s="21" t="s">
        <v>479</v>
      </c>
      <c r="CG26" s="21"/>
      <c r="CH26" s="14"/>
      <c r="CI26" s="14" t="s">
        <v>5873</v>
      </c>
      <c r="CJ26" s="14">
        <v>1</v>
      </c>
      <c r="CK26" s="110" t="s">
        <v>4039</v>
      </c>
      <c r="CL26" s="14" t="s">
        <v>3548</v>
      </c>
      <c r="CM26" s="44" t="s">
        <v>3651</v>
      </c>
      <c r="CN26" s="107" t="s">
        <v>351</v>
      </c>
      <c r="CO26" s="233"/>
      <c r="CP26" s="233"/>
      <c r="CQ26" s="233"/>
      <c r="CR26" s="21" t="s">
        <v>3891</v>
      </c>
      <c r="CS26" s="21"/>
      <c r="CT26" s="21"/>
      <c r="CU26" s="14" t="s">
        <v>3622</v>
      </c>
      <c r="CV26" s="14" t="s">
        <v>5036</v>
      </c>
      <c r="CW26" s="14" t="s">
        <v>3904</v>
      </c>
      <c r="CX26" s="14" t="s">
        <v>3898</v>
      </c>
      <c r="CY26" s="87" t="s">
        <v>3927</v>
      </c>
      <c r="CZ26" s="206" t="s">
        <v>3892</v>
      </c>
      <c r="DA26" s="21"/>
      <c r="DB26" s="233"/>
      <c r="DC26" s="233"/>
      <c r="DD26" s="21" t="s">
        <v>3891</v>
      </c>
      <c r="DE26" s="21"/>
      <c r="DF26" s="21"/>
      <c r="DG26" s="14" t="s">
        <v>3622</v>
      </c>
      <c r="DH26" s="14" t="s">
        <v>5036</v>
      </c>
      <c r="DI26" s="14" t="s">
        <v>3904</v>
      </c>
      <c r="DJ26" s="14" t="s">
        <v>3898</v>
      </c>
      <c r="DK26" s="87" t="s">
        <v>3927</v>
      </c>
      <c r="DL26" s="206" t="s">
        <v>3892</v>
      </c>
      <c r="DM26" s="21"/>
      <c r="DN26" s="233"/>
      <c r="DO26" s="233"/>
      <c r="DP26" s="21"/>
      <c r="DQ26" s="21"/>
      <c r="DR26" s="14"/>
      <c r="DS26" s="14"/>
      <c r="DT26" s="14"/>
      <c r="DU26" s="14"/>
      <c r="DV26" s="14"/>
      <c r="DW26" s="87"/>
      <c r="DX26" s="87"/>
      <c r="DY26" s="21"/>
      <c r="DZ26" s="233"/>
      <c r="EA26" s="233"/>
      <c r="EB26" s="21" t="s">
        <v>3710</v>
      </c>
      <c r="EC26" s="21"/>
      <c r="ED26" s="14"/>
      <c r="EE26" s="14" t="s">
        <v>3649</v>
      </c>
      <c r="EF26" s="14">
        <v>0</v>
      </c>
      <c r="EG26" s="14" t="s">
        <v>3745</v>
      </c>
      <c r="EH26" s="14" t="s">
        <v>3898</v>
      </c>
      <c r="EI26" s="87" t="s">
        <v>3711</v>
      </c>
      <c r="EJ26" s="87" t="s">
        <v>3488</v>
      </c>
      <c r="EK26" s="21"/>
      <c r="EL26" s="233"/>
      <c r="EM26" s="233"/>
      <c r="EN26" s="21" t="s">
        <v>3891</v>
      </c>
      <c r="EO26" s="21"/>
      <c r="EP26" s="21"/>
      <c r="EQ26" s="14" t="s">
        <v>3622</v>
      </c>
      <c r="ER26" s="14" t="s">
        <v>5036</v>
      </c>
      <c r="ES26" s="14" t="s">
        <v>3904</v>
      </c>
      <c r="ET26" s="14" t="s">
        <v>3898</v>
      </c>
      <c r="EU26" s="87" t="s">
        <v>3927</v>
      </c>
      <c r="EV26" s="206" t="s">
        <v>3892</v>
      </c>
      <c r="EW26" s="21"/>
      <c r="EX26" s="233"/>
      <c r="EY26" s="233"/>
      <c r="EZ26" s="233"/>
      <c r="FA26" s="233"/>
      <c r="FB26" s="233"/>
      <c r="FC26" s="233"/>
      <c r="FD26" s="233"/>
    </row>
    <row r="27" spans="1:160">
      <c r="A27" s="20" t="s">
        <v>3815</v>
      </c>
      <c r="B27" s="14">
        <v>1</v>
      </c>
      <c r="C27" s="14" t="s">
        <v>3976</v>
      </c>
      <c r="D27" s="14">
        <v>1</v>
      </c>
      <c r="E27" s="110" t="s">
        <v>3617</v>
      </c>
      <c r="F27" s="14" t="s">
        <v>3618</v>
      </c>
      <c r="G27" s="44" t="s">
        <v>3736</v>
      </c>
      <c r="H27" s="44" t="s">
        <v>3915</v>
      </c>
      <c r="I27" s="44" t="s">
        <v>3916</v>
      </c>
      <c r="J27" s="28" t="s">
        <v>4709</v>
      </c>
      <c r="K27" s="111"/>
      <c r="L27" s="21" t="s">
        <v>3837</v>
      </c>
      <c r="M27" s="21"/>
      <c r="N27" s="21"/>
      <c r="O27" s="14" t="s">
        <v>3902</v>
      </c>
      <c r="P27" s="14">
        <v>1</v>
      </c>
      <c r="Q27" s="110" t="s">
        <v>4211</v>
      </c>
      <c r="R27" s="14" t="s">
        <v>3947</v>
      </c>
      <c r="S27" s="14" t="s">
        <v>3736</v>
      </c>
      <c r="T27" s="87" t="s">
        <v>3838</v>
      </c>
      <c r="U27" s="14"/>
      <c r="V27" s="21"/>
      <c r="W27" s="21"/>
      <c r="X27" s="21" t="s">
        <v>352</v>
      </c>
      <c r="Y27" s="21"/>
      <c r="Z27" s="14"/>
      <c r="AA27" s="14" t="s">
        <v>5874</v>
      </c>
      <c r="AB27" s="14">
        <v>4</v>
      </c>
      <c r="AC27" s="110" t="s">
        <v>4039</v>
      </c>
      <c r="AD27" s="14" t="s">
        <v>3931</v>
      </c>
      <c r="AE27" s="44" t="s">
        <v>3382</v>
      </c>
      <c r="AF27" s="44" t="s">
        <v>381</v>
      </c>
      <c r="AG27" s="233"/>
      <c r="AH27" s="233"/>
      <c r="AI27" s="21"/>
      <c r="AJ27" s="21" t="s">
        <v>3533</v>
      </c>
      <c r="AK27" s="21"/>
      <c r="AL27" s="14"/>
      <c r="AM27" s="14" t="s">
        <v>3907</v>
      </c>
      <c r="AN27" s="14" t="s">
        <v>5036</v>
      </c>
      <c r="AO27" s="14" t="s">
        <v>4150</v>
      </c>
      <c r="AP27" s="14" t="s">
        <v>3914</v>
      </c>
      <c r="AQ27" s="87" t="s">
        <v>3759</v>
      </c>
      <c r="AR27" s="206" t="s">
        <v>3915</v>
      </c>
      <c r="AS27" s="26"/>
      <c r="AT27" s="21"/>
      <c r="AU27" s="21"/>
      <c r="AV27" s="21" t="s">
        <v>3894</v>
      </c>
      <c r="AW27" s="21"/>
      <c r="AX27" s="14"/>
      <c r="AY27" s="14" t="s">
        <v>3737</v>
      </c>
      <c r="AZ27" s="14">
        <v>0</v>
      </c>
      <c r="BA27" s="14" t="s">
        <v>3904</v>
      </c>
      <c r="BB27" s="14" t="s">
        <v>3914</v>
      </c>
      <c r="BC27" s="87" t="s">
        <v>3736</v>
      </c>
      <c r="BD27" s="206" t="s">
        <v>4212</v>
      </c>
      <c r="BE27" s="44"/>
      <c r="BF27" s="21"/>
      <c r="BG27" s="21"/>
      <c r="BH27" s="21" t="s">
        <v>3895</v>
      </c>
      <c r="BI27" s="21"/>
      <c r="BJ27" s="14"/>
      <c r="BK27" s="14" t="s">
        <v>3551</v>
      </c>
      <c r="BL27" s="14">
        <v>0</v>
      </c>
      <c r="BM27" s="14" t="s">
        <v>3897</v>
      </c>
      <c r="BN27" s="14" t="s">
        <v>3705</v>
      </c>
      <c r="BO27" s="87" t="s">
        <v>3736</v>
      </c>
      <c r="BP27" s="206" t="s">
        <v>3706</v>
      </c>
      <c r="BQ27" s="26"/>
      <c r="BR27" s="21"/>
      <c r="BS27" s="233"/>
      <c r="BT27" s="26"/>
      <c r="BU27" s="21"/>
      <c r="BV27" s="108"/>
      <c r="BW27" s="108"/>
      <c r="BX27" s="108"/>
      <c r="BY27" s="108"/>
      <c r="BZ27" s="108"/>
      <c r="CA27" s="108"/>
      <c r="CB27" s="282"/>
      <c r="CC27" s="233"/>
      <c r="CD27" s="233"/>
      <c r="CE27" s="233"/>
      <c r="CF27" s="21" t="s">
        <v>3895</v>
      </c>
      <c r="CG27" s="21"/>
      <c r="CH27" s="14"/>
      <c r="CI27" s="14" t="s">
        <v>3551</v>
      </c>
      <c r="CJ27" s="14">
        <v>0</v>
      </c>
      <c r="CK27" s="14" t="s">
        <v>3897</v>
      </c>
      <c r="CL27" s="14" t="s">
        <v>3705</v>
      </c>
      <c r="CM27" s="87" t="s">
        <v>3736</v>
      </c>
      <c r="CN27" s="206" t="s">
        <v>3706</v>
      </c>
      <c r="CO27" s="233"/>
      <c r="CP27" s="233"/>
      <c r="CQ27" s="233"/>
      <c r="CR27" s="21" t="s">
        <v>352</v>
      </c>
      <c r="CS27" s="21"/>
      <c r="CT27" s="14"/>
      <c r="CU27" s="14" t="s">
        <v>5874</v>
      </c>
      <c r="CV27" s="14">
        <v>4</v>
      </c>
      <c r="CW27" s="110" t="s">
        <v>4039</v>
      </c>
      <c r="CX27" s="14" t="s">
        <v>3931</v>
      </c>
      <c r="CY27" s="44" t="s">
        <v>3382</v>
      </c>
      <c r="CZ27" s="44" t="s">
        <v>381</v>
      </c>
      <c r="DA27" s="26"/>
      <c r="DB27" s="233"/>
      <c r="DC27" s="233"/>
      <c r="DD27" s="21" t="s">
        <v>352</v>
      </c>
      <c r="DE27" s="21"/>
      <c r="DF27" s="14"/>
      <c r="DG27" s="14" t="s">
        <v>5874</v>
      </c>
      <c r="DH27" s="14">
        <v>4</v>
      </c>
      <c r="DI27" s="110" t="s">
        <v>4039</v>
      </c>
      <c r="DJ27" s="14" t="s">
        <v>3931</v>
      </c>
      <c r="DK27" s="44" t="s">
        <v>3382</v>
      </c>
      <c r="DL27" s="44" t="s">
        <v>381</v>
      </c>
      <c r="DM27" s="26"/>
      <c r="DN27" s="233"/>
      <c r="DO27" s="233"/>
      <c r="DP27" s="26"/>
      <c r="DQ27" s="21"/>
      <c r="DR27" s="108"/>
      <c r="DS27" s="108"/>
      <c r="DT27" s="108"/>
      <c r="DU27" s="108"/>
      <c r="DV27" s="108"/>
      <c r="DW27" s="108"/>
      <c r="DX27" s="282"/>
      <c r="DY27" s="26"/>
      <c r="DZ27" s="233"/>
      <c r="EA27" s="233"/>
      <c r="EB27" s="21" t="s">
        <v>3533</v>
      </c>
      <c r="EC27" s="21"/>
      <c r="ED27" s="14"/>
      <c r="EE27" s="14" t="s">
        <v>3907</v>
      </c>
      <c r="EF27" s="14" t="s">
        <v>5036</v>
      </c>
      <c r="EG27" s="14" t="s">
        <v>4150</v>
      </c>
      <c r="EH27" s="14" t="s">
        <v>3914</v>
      </c>
      <c r="EI27" s="87" t="s">
        <v>3759</v>
      </c>
      <c r="EJ27" s="206" t="s">
        <v>3915</v>
      </c>
      <c r="EK27" s="26"/>
      <c r="EL27" s="233"/>
      <c r="EM27" s="233"/>
      <c r="EN27" s="21" t="s">
        <v>352</v>
      </c>
      <c r="EO27" s="21"/>
      <c r="EP27" s="14"/>
      <c r="EQ27" s="14" t="s">
        <v>5874</v>
      </c>
      <c r="ER27" s="14">
        <v>4</v>
      </c>
      <c r="ES27" s="110" t="s">
        <v>4039</v>
      </c>
      <c r="ET27" s="14" t="s">
        <v>3931</v>
      </c>
      <c r="EU27" s="44" t="s">
        <v>3382</v>
      </c>
      <c r="EV27" s="44" t="s">
        <v>381</v>
      </c>
      <c r="EW27" s="26"/>
      <c r="EX27" s="233"/>
      <c r="EY27" s="233"/>
      <c r="EZ27" s="233"/>
      <c r="FA27" s="233"/>
      <c r="FB27" s="233"/>
      <c r="FC27" s="233"/>
      <c r="FD27" s="233"/>
    </row>
    <row r="28" spans="1:160">
      <c r="A28" s="20" t="s">
        <v>3938</v>
      </c>
      <c r="B28" s="14">
        <v>1</v>
      </c>
      <c r="C28" s="14" t="s">
        <v>3767</v>
      </c>
      <c r="D28" s="14" t="s">
        <v>5036</v>
      </c>
      <c r="E28" s="14" t="s">
        <v>3904</v>
      </c>
      <c r="F28" s="14" t="s">
        <v>3898</v>
      </c>
      <c r="G28" s="44" t="s">
        <v>3937</v>
      </c>
      <c r="H28" s="44" t="s">
        <v>4209</v>
      </c>
      <c r="I28" s="44" t="s">
        <v>3916</v>
      </c>
      <c r="J28" s="28" t="s">
        <v>3535</v>
      </c>
      <c r="K28" s="111"/>
      <c r="L28" s="21" t="s">
        <v>3855</v>
      </c>
      <c r="M28" s="21"/>
      <c r="N28" s="21"/>
      <c r="O28" s="14" t="s">
        <v>3622</v>
      </c>
      <c r="P28" s="14" t="s">
        <v>5036</v>
      </c>
      <c r="Q28" s="14" t="s">
        <v>3904</v>
      </c>
      <c r="R28" s="14" t="s">
        <v>3898</v>
      </c>
      <c r="S28" s="14" t="s">
        <v>3927</v>
      </c>
      <c r="T28" s="206" t="s">
        <v>3856</v>
      </c>
      <c r="U28" s="14"/>
      <c r="V28" s="21"/>
      <c r="W28" s="21"/>
      <c r="X28" s="21" t="s">
        <v>382</v>
      </c>
      <c r="Y28" s="14"/>
      <c r="Z28" s="233"/>
      <c r="AA28" s="14" t="s">
        <v>5875</v>
      </c>
      <c r="AB28" s="14" t="s">
        <v>5036</v>
      </c>
      <c r="AC28" s="110" t="s">
        <v>4039</v>
      </c>
      <c r="AD28" s="14" t="s">
        <v>3898</v>
      </c>
      <c r="AE28" s="44" t="s">
        <v>3550</v>
      </c>
      <c r="AF28" s="44" t="s">
        <v>383</v>
      </c>
      <c r="AG28" s="21"/>
      <c r="AH28" s="21"/>
      <c r="AI28" s="21"/>
      <c r="AJ28" s="21" t="s">
        <v>3536</v>
      </c>
      <c r="AK28" s="21"/>
      <c r="AL28" s="14"/>
      <c r="AM28" s="14" t="s">
        <v>3555</v>
      </c>
      <c r="AN28" s="14">
        <v>0</v>
      </c>
      <c r="AO28" s="14" t="s">
        <v>3745</v>
      </c>
      <c r="AP28" s="14" t="s">
        <v>3898</v>
      </c>
      <c r="AQ28" s="87" t="s">
        <v>3747</v>
      </c>
      <c r="AR28" s="206" t="s">
        <v>4212</v>
      </c>
      <c r="AS28" s="21"/>
      <c r="AT28" s="21"/>
      <c r="AU28" s="21"/>
      <c r="AV28" s="21" t="s">
        <v>3712</v>
      </c>
      <c r="AW28" s="21"/>
      <c r="AX28" s="14"/>
      <c r="AY28" s="14" t="s">
        <v>3976</v>
      </c>
      <c r="AZ28" s="14" t="s">
        <v>5036</v>
      </c>
      <c r="BA28" s="14" t="s">
        <v>3904</v>
      </c>
      <c r="BB28" s="14" t="s">
        <v>3898</v>
      </c>
      <c r="BC28" s="87" t="s">
        <v>3736</v>
      </c>
      <c r="BD28" s="87" t="s">
        <v>3728</v>
      </c>
      <c r="BE28" s="21"/>
      <c r="BF28" s="21"/>
      <c r="BG28" s="21"/>
      <c r="BH28" s="21" t="s">
        <v>3713</v>
      </c>
      <c r="BI28" s="21"/>
      <c r="BJ28" s="14"/>
      <c r="BK28" s="14" t="s">
        <v>3620</v>
      </c>
      <c r="BL28" s="14">
        <v>1</v>
      </c>
      <c r="BM28" s="14" t="s">
        <v>3569</v>
      </c>
      <c r="BN28" s="14" t="s">
        <v>3898</v>
      </c>
      <c r="BO28" s="87" t="s">
        <v>3714</v>
      </c>
      <c r="BP28" s="206" t="s">
        <v>3532</v>
      </c>
      <c r="BQ28" s="21"/>
      <c r="BR28" s="21"/>
      <c r="BS28" s="233"/>
      <c r="BT28" s="21"/>
      <c r="BU28" s="21"/>
      <c r="BV28" s="21"/>
      <c r="BW28" s="14"/>
      <c r="BX28" s="14"/>
      <c r="BY28" s="14"/>
      <c r="BZ28" s="14"/>
      <c r="CA28" s="14"/>
      <c r="CB28" s="87"/>
      <c r="CC28" s="233"/>
      <c r="CD28" s="233"/>
      <c r="CE28" s="233"/>
      <c r="CF28" s="21" t="s">
        <v>3713</v>
      </c>
      <c r="CG28" s="21"/>
      <c r="CH28" s="14"/>
      <c r="CI28" s="14" t="s">
        <v>3620</v>
      </c>
      <c r="CJ28" s="14">
        <v>1</v>
      </c>
      <c r="CK28" s="14" t="s">
        <v>3569</v>
      </c>
      <c r="CL28" s="14" t="s">
        <v>3898</v>
      </c>
      <c r="CM28" s="87" t="s">
        <v>3714</v>
      </c>
      <c r="CN28" s="206" t="s">
        <v>3532</v>
      </c>
      <c r="CO28" s="233"/>
      <c r="CP28" s="233"/>
      <c r="CQ28" s="233"/>
      <c r="CR28" s="21" t="s">
        <v>382</v>
      </c>
      <c r="CS28" s="14"/>
      <c r="CT28" s="233"/>
      <c r="CU28" s="14" t="s">
        <v>5875</v>
      </c>
      <c r="CV28" s="14" t="s">
        <v>5036</v>
      </c>
      <c r="CW28" s="110" t="s">
        <v>4039</v>
      </c>
      <c r="CX28" s="14" t="s">
        <v>3898</v>
      </c>
      <c r="CY28" s="44" t="s">
        <v>3550</v>
      </c>
      <c r="CZ28" s="44" t="s">
        <v>383</v>
      </c>
      <c r="DA28" s="21"/>
      <c r="DB28" s="21"/>
      <c r="DC28" s="233"/>
      <c r="DD28" s="21" t="s">
        <v>382</v>
      </c>
      <c r="DE28" s="14"/>
      <c r="DF28" s="233"/>
      <c r="DG28" s="14" t="s">
        <v>5875</v>
      </c>
      <c r="DH28" s="14" t="s">
        <v>5036</v>
      </c>
      <c r="DI28" s="110" t="s">
        <v>4039</v>
      </c>
      <c r="DJ28" s="14" t="s">
        <v>3898</v>
      </c>
      <c r="DK28" s="44" t="s">
        <v>3550</v>
      </c>
      <c r="DL28" s="44" t="s">
        <v>383</v>
      </c>
      <c r="DM28" s="21"/>
      <c r="DN28" s="21"/>
      <c r="DO28" s="233"/>
      <c r="DP28" s="21"/>
      <c r="DQ28" s="21"/>
      <c r="DR28" s="21"/>
      <c r="DS28" s="14"/>
      <c r="DT28" s="14"/>
      <c r="DU28" s="14"/>
      <c r="DV28" s="14"/>
      <c r="DW28" s="14"/>
      <c r="DX28" s="87"/>
      <c r="DY28" s="21"/>
      <c r="DZ28" s="233"/>
      <c r="EA28" s="233"/>
      <c r="EB28" s="21" t="s">
        <v>3536</v>
      </c>
      <c r="EC28" s="21"/>
      <c r="ED28" s="14"/>
      <c r="EE28" s="14" t="s">
        <v>3555</v>
      </c>
      <c r="EF28" s="14">
        <v>0</v>
      </c>
      <c r="EG28" s="14" t="s">
        <v>3745</v>
      </c>
      <c r="EH28" s="14" t="s">
        <v>3898</v>
      </c>
      <c r="EI28" s="87" t="s">
        <v>3747</v>
      </c>
      <c r="EJ28" s="206" t="s">
        <v>4212</v>
      </c>
      <c r="EK28" s="21"/>
      <c r="EL28" s="233"/>
      <c r="EM28" s="233"/>
      <c r="EN28" s="21" t="s">
        <v>382</v>
      </c>
      <c r="EO28" s="14"/>
      <c r="EP28" s="233"/>
      <c r="EQ28" s="14" t="s">
        <v>5875</v>
      </c>
      <c r="ER28" s="14" t="s">
        <v>5036</v>
      </c>
      <c r="ES28" s="110" t="s">
        <v>4039</v>
      </c>
      <c r="ET28" s="14" t="s">
        <v>3898</v>
      </c>
      <c r="EU28" s="44" t="s">
        <v>3550</v>
      </c>
      <c r="EV28" s="44" t="s">
        <v>383</v>
      </c>
      <c r="EW28" s="21"/>
      <c r="EX28" s="21"/>
      <c r="EY28" s="233"/>
      <c r="EZ28" s="233"/>
      <c r="FA28" s="233"/>
      <c r="FB28" s="233"/>
      <c r="FC28" s="233"/>
      <c r="FD28" s="233"/>
    </row>
    <row r="29" spans="1:160">
      <c r="A29" s="20" t="s">
        <v>3977</v>
      </c>
      <c r="B29" s="14">
        <v>1</v>
      </c>
      <c r="C29" s="14" t="s">
        <v>3767</v>
      </c>
      <c r="D29" s="14">
        <v>1</v>
      </c>
      <c r="E29" s="110" t="s">
        <v>3978</v>
      </c>
      <c r="F29" s="14" t="s">
        <v>3979</v>
      </c>
      <c r="G29" s="44" t="s">
        <v>3736</v>
      </c>
      <c r="H29" s="44" t="s">
        <v>3728</v>
      </c>
      <c r="I29" s="44" t="s">
        <v>3916</v>
      </c>
      <c r="J29" s="28" t="s">
        <v>3537</v>
      </c>
      <c r="K29" s="111"/>
      <c r="L29" s="21" t="s">
        <v>3891</v>
      </c>
      <c r="M29" s="21"/>
      <c r="N29" s="21"/>
      <c r="O29" s="14" t="s">
        <v>3622</v>
      </c>
      <c r="P29" s="14" t="s">
        <v>5036</v>
      </c>
      <c r="Q29" s="14" t="s">
        <v>3904</v>
      </c>
      <c r="R29" s="14" t="s">
        <v>3898</v>
      </c>
      <c r="S29" s="14" t="s">
        <v>3927</v>
      </c>
      <c r="T29" s="206" t="s">
        <v>3892</v>
      </c>
      <c r="U29" s="14"/>
      <c r="V29" s="21"/>
      <c r="W29" s="21"/>
      <c r="X29" s="21"/>
      <c r="Y29" s="21"/>
      <c r="Z29" s="21"/>
      <c r="AA29" s="14"/>
      <c r="AB29" s="14"/>
      <c r="AC29" s="14"/>
      <c r="AD29" s="14"/>
      <c r="AE29" s="21"/>
      <c r="AF29" s="21"/>
      <c r="AG29" s="21"/>
      <c r="AH29" s="233"/>
      <c r="AI29" s="233"/>
      <c r="AJ29" s="21" t="s">
        <v>3122</v>
      </c>
      <c r="AK29" s="21"/>
      <c r="AL29" s="14"/>
      <c r="AM29" s="14" t="s">
        <v>5876</v>
      </c>
      <c r="AN29" s="14">
        <v>1</v>
      </c>
      <c r="AO29" s="106" t="s">
        <v>4039</v>
      </c>
      <c r="AP29" s="14" t="s">
        <v>3947</v>
      </c>
      <c r="AQ29" s="44" t="s">
        <v>3550</v>
      </c>
      <c r="AR29" s="44" t="s">
        <v>384</v>
      </c>
      <c r="AS29" s="14"/>
      <c r="AT29" s="111"/>
      <c r="AU29" s="21"/>
      <c r="AV29" s="21" t="s">
        <v>3534</v>
      </c>
      <c r="AW29" s="21"/>
      <c r="AX29" s="14"/>
      <c r="AY29" s="14" t="s">
        <v>3976</v>
      </c>
      <c r="AZ29" s="14" t="s">
        <v>5036</v>
      </c>
      <c r="BA29" s="14" t="s">
        <v>3904</v>
      </c>
      <c r="BB29" s="14" t="s">
        <v>3947</v>
      </c>
      <c r="BC29" s="87" t="s">
        <v>3759</v>
      </c>
      <c r="BD29" s="87" t="s">
        <v>3915</v>
      </c>
      <c r="BE29" s="21"/>
      <c r="BF29" s="21"/>
      <c r="BG29" s="21"/>
      <c r="BH29" s="21"/>
      <c r="BI29" s="21"/>
      <c r="BJ29" s="14"/>
      <c r="BK29" s="14"/>
      <c r="BL29" s="14"/>
      <c r="BM29" s="14"/>
      <c r="BN29" s="14"/>
      <c r="BO29" s="87"/>
      <c r="BP29" s="206"/>
      <c r="BQ29" s="21"/>
      <c r="BR29" s="21"/>
      <c r="BS29" s="233"/>
      <c r="BT29" s="21"/>
      <c r="BU29" s="21"/>
      <c r="BV29" s="21"/>
      <c r="BW29" s="14"/>
      <c r="BX29" s="14"/>
      <c r="BY29" s="14"/>
      <c r="BZ29" s="14"/>
      <c r="CA29" s="14"/>
      <c r="CB29" s="87"/>
      <c r="CC29" s="233"/>
      <c r="CD29" s="233"/>
      <c r="CE29" s="233"/>
      <c r="CF29" s="21"/>
      <c r="CG29" s="21"/>
      <c r="CH29" s="14"/>
      <c r="CI29" s="14"/>
      <c r="CJ29" s="14"/>
      <c r="CK29" s="14"/>
      <c r="CL29" s="14"/>
      <c r="CM29" s="87"/>
      <c r="CN29" s="206"/>
      <c r="CO29" s="233"/>
      <c r="CP29" s="233"/>
      <c r="CQ29" s="233"/>
      <c r="CR29" s="21"/>
      <c r="CS29" s="21"/>
      <c r="CT29" s="21"/>
      <c r="CU29" s="14"/>
      <c r="CV29" s="14"/>
      <c r="CW29" s="14"/>
      <c r="CX29" s="14"/>
      <c r="CY29" s="21"/>
      <c r="CZ29" s="21"/>
      <c r="DA29" s="233"/>
      <c r="DB29" s="233"/>
      <c r="DC29" s="233"/>
      <c r="DD29" s="21"/>
      <c r="DE29" s="21"/>
      <c r="DF29" s="21"/>
      <c r="DG29" s="14"/>
      <c r="DH29" s="14"/>
      <c r="DI29" s="14"/>
      <c r="DJ29" s="14"/>
      <c r="DK29" s="21"/>
      <c r="DL29" s="21"/>
      <c r="DM29" s="233"/>
      <c r="DN29" s="233"/>
      <c r="DO29" s="233"/>
      <c r="DP29" s="233"/>
      <c r="DQ29" s="21"/>
      <c r="DR29" s="14"/>
      <c r="DS29" s="14"/>
      <c r="DT29" s="110"/>
      <c r="DU29" s="14"/>
      <c r="DV29" s="44"/>
      <c r="DW29" s="44"/>
      <c r="DX29" s="44"/>
      <c r="DY29" s="14"/>
      <c r="DZ29" s="233"/>
      <c r="EA29" s="233"/>
      <c r="EB29" s="21" t="s">
        <v>3122</v>
      </c>
      <c r="EC29" s="21"/>
      <c r="ED29" s="14"/>
      <c r="EE29" s="14" t="s">
        <v>5876</v>
      </c>
      <c r="EF29" s="14">
        <v>1</v>
      </c>
      <c r="EG29" s="106" t="s">
        <v>4039</v>
      </c>
      <c r="EH29" s="14" t="s">
        <v>3947</v>
      </c>
      <c r="EI29" s="44" t="s">
        <v>3550</v>
      </c>
      <c r="EJ29" s="44" t="s">
        <v>384</v>
      </c>
      <c r="EK29" s="14"/>
      <c r="EL29" s="233"/>
      <c r="EM29" s="233"/>
      <c r="EN29" s="21"/>
      <c r="EO29" s="21"/>
      <c r="EP29" s="21"/>
      <c r="EQ29" s="14"/>
      <c r="ER29" s="14"/>
      <c r="ES29" s="14"/>
      <c r="ET29" s="14"/>
      <c r="EU29" s="21"/>
      <c r="EV29" s="21"/>
      <c r="EW29" s="233"/>
      <c r="EX29" s="233"/>
      <c r="EY29" s="233"/>
      <c r="EZ29" s="233"/>
      <c r="FA29" s="233"/>
      <c r="FB29" s="233"/>
      <c r="FC29" s="233"/>
      <c r="FD29" s="233"/>
    </row>
    <row r="30" spans="1:160">
      <c r="A30" s="20" t="s">
        <v>3630</v>
      </c>
      <c r="B30" s="14">
        <v>1</v>
      </c>
      <c r="C30" s="14" t="s">
        <v>3976</v>
      </c>
      <c r="D30" s="14">
        <v>1</v>
      </c>
      <c r="E30" s="110" t="s">
        <v>3734</v>
      </c>
      <c r="F30" s="14" t="s">
        <v>3931</v>
      </c>
      <c r="G30" s="44" t="s">
        <v>3759</v>
      </c>
      <c r="H30" s="44" t="s">
        <v>3746</v>
      </c>
      <c r="I30" s="44" t="s">
        <v>3916</v>
      </c>
      <c r="J30" s="28" t="s">
        <v>4447</v>
      </c>
      <c r="K30" s="111"/>
      <c r="L30" s="21" t="s">
        <v>3712</v>
      </c>
      <c r="M30" s="14"/>
      <c r="N30" s="21"/>
      <c r="O30" s="14" t="s">
        <v>3976</v>
      </c>
      <c r="P30" s="14" t="s">
        <v>5036</v>
      </c>
      <c r="Q30" s="14" t="s">
        <v>3904</v>
      </c>
      <c r="R30" s="14" t="s">
        <v>3898</v>
      </c>
      <c r="S30" s="44" t="s">
        <v>3736</v>
      </c>
      <c r="T30" s="44" t="s">
        <v>3728</v>
      </c>
      <c r="U30" s="14"/>
      <c r="V30" s="21"/>
      <c r="W30" s="21"/>
      <c r="X30" s="21"/>
      <c r="Y30" s="21"/>
      <c r="Z30" s="21"/>
      <c r="AA30" s="14"/>
      <c r="AB30" s="14"/>
      <c r="AC30" s="14"/>
      <c r="AD30" s="14"/>
      <c r="AE30" s="14"/>
      <c r="AF30" s="87"/>
      <c r="AG30" s="21"/>
      <c r="AH30" s="21"/>
      <c r="AI30" s="21"/>
      <c r="AJ30" s="21" t="s">
        <v>3727</v>
      </c>
      <c r="AK30" s="21"/>
      <c r="AL30" s="14"/>
      <c r="AM30" s="14" t="s">
        <v>3542</v>
      </c>
      <c r="AN30" s="14" t="s">
        <v>5036</v>
      </c>
      <c r="AO30" s="14" t="s">
        <v>3904</v>
      </c>
      <c r="AP30" s="14" t="s">
        <v>3854</v>
      </c>
      <c r="AQ30" s="87" t="s">
        <v>3543</v>
      </c>
      <c r="AR30" s="87" t="s">
        <v>3544</v>
      </c>
      <c r="AS30" s="21"/>
      <c r="AT30" s="21"/>
      <c r="AU30" s="21"/>
      <c r="AV30" s="21"/>
      <c r="AW30" s="21"/>
      <c r="AX30" s="21"/>
      <c r="AY30" s="14"/>
      <c r="AZ30" s="14"/>
      <c r="BA30" s="14"/>
      <c r="BB30" s="14"/>
      <c r="BC30" s="14"/>
      <c r="BD30" s="87"/>
      <c r="BE30" s="21"/>
      <c r="BF30" s="21"/>
      <c r="BG30" s="21"/>
      <c r="BH30" s="21"/>
      <c r="BI30" s="21"/>
      <c r="BJ30" s="21"/>
      <c r="BK30" s="14"/>
      <c r="BL30" s="14"/>
      <c r="BM30" s="14"/>
      <c r="BN30" s="14"/>
      <c r="BO30" s="14"/>
      <c r="BP30" s="87"/>
      <c r="BQ30" s="21"/>
      <c r="BR30" s="21"/>
      <c r="BS30" s="233"/>
      <c r="BT30" s="21"/>
      <c r="BU30" s="21"/>
      <c r="BV30" s="21"/>
      <c r="BW30" s="14"/>
      <c r="BX30" s="14"/>
      <c r="BY30" s="14"/>
      <c r="BZ30" s="14"/>
      <c r="CA30" s="14"/>
      <c r="CB30" s="87"/>
      <c r="CC30" s="233"/>
      <c r="CD30" s="233"/>
      <c r="CE30" s="233"/>
      <c r="CF30" s="21"/>
      <c r="CG30" s="21"/>
      <c r="CH30" s="21"/>
      <c r="CI30" s="14"/>
      <c r="CJ30" s="14"/>
      <c r="CK30" s="14"/>
      <c r="CL30" s="14"/>
      <c r="CM30" s="14"/>
      <c r="CN30" s="87"/>
      <c r="CO30" s="233"/>
      <c r="CP30" s="233"/>
      <c r="CQ30" s="233"/>
      <c r="CR30" s="21"/>
      <c r="CS30" s="21"/>
      <c r="CT30" s="21"/>
      <c r="CU30" s="14"/>
      <c r="CV30" s="14"/>
      <c r="CW30" s="14"/>
      <c r="CX30" s="14"/>
      <c r="CY30" s="14"/>
      <c r="CZ30" s="87"/>
      <c r="DA30" s="21"/>
      <c r="DB30" s="21"/>
      <c r="DC30" s="233"/>
      <c r="DD30" s="21"/>
      <c r="DE30" s="21"/>
      <c r="DF30" s="21"/>
      <c r="DG30" s="14"/>
      <c r="DH30" s="14"/>
      <c r="DI30" s="14"/>
      <c r="DJ30" s="14"/>
      <c r="DK30" s="14"/>
      <c r="DL30" s="87"/>
      <c r="DM30" s="21"/>
      <c r="DN30" s="21"/>
      <c r="DO30" s="233"/>
      <c r="DP30" s="21"/>
      <c r="DQ30" s="21"/>
      <c r="DR30" s="21"/>
      <c r="DS30" s="14"/>
      <c r="DT30" s="14"/>
      <c r="DU30" s="14"/>
      <c r="DV30" s="14"/>
      <c r="DW30" s="14"/>
      <c r="DX30" s="87"/>
      <c r="DY30" s="21"/>
      <c r="DZ30" s="233"/>
      <c r="EA30" s="233"/>
      <c r="EB30" s="21" t="s">
        <v>3727</v>
      </c>
      <c r="EC30" s="21"/>
      <c r="ED30" s="14"/>
      <c r="EE30" s="14" t="s">
        <v>3542</v>
      </c>
      <c r="EF30" s="14" t="s">
        <v>5036</v>
      </c>
      <c r="EG30" s="14" t="s">
        <v>3904</v>
      </c>
      <c r="EH30" s="14" t="s">
        <v>3854</v>
      </c>
      <c r="EI30" s="87" t="s">
        <v>3543</v>
      </c>
      <c r="EJ30" s="87" t="s">
        <v>3544</v>
      </c>
      <c r="EK30" s="21"/>
      <c r="EL30" s="233"/>
      <c r="EM30" s="233"/>
      <c r="EN30" s="21"/>
      <c r="EO30" s="21"/>
      <c r="EP30" s="21"/>
      <c r="EQ30" s="14"/>
      <c r="ER30" s="14"/>
      <c r="ES30" s="14"/>
      <c r="ET30" s="14"/>
      <c r="EU30" s="14"/>
      <c r="EV30" s="87"/>
      <c r="EW30" s="21"/>
      <c r="EX30" s="21"/>
      <c r="EY30" s="233"/>
      <c r="EZ30" s="233"/>
      <c r="FA30" s="233"/>
      <c r="FB30" s="233"/>
      <c r="FC30" s="233"/>
      <c r="FD30" s="233"/>
    </row>
    <row r="31" spans="1:160">
      <c r="A31" s="20" t="s">
        <v>3631</v>
      </c>
      <c r="B31" s="14">
        <v>1</v>
      </c>
      <c r="C31" s="14" t="s">
        <v>3620</v>
      </c>
      <c r="D31" s="14">
        <v>1</v>
      </c>
      <c r="E31" s="110" t="s">
        <v>3749</v>
      </c>
      <c r="F31" s="14" t="s">
        <v>3914</v>
      </c>
      <c r="G31" s="44" t="s">
        <v>3736</v>
      </c>
      <c r="H31" s="44" t="s">
        <v>3915</v>
      </c>
      <c r="I31" s="44" t="s">
        <v>3916</v>
      </c>
      <c r="J31" s="28" t="s">
        <v>3890</v>
      </c>
      <c r="K31" s="111"/>
      <c r="L31" s="26" t="s">
        <v>5023</v>
      </c>
      <c r="M31" s="21"/>
      <c r="N31" s="108" t="s">
        <v>5018</v>
      </c>
      <c r="O31" s="108" t="s">
        <v>5701</v>
      </c>
      <c r="P31" s="108" t="s">
        <v>5019</v>
      </c>
      <c r="Q31" s="108" t="s">
        <v>5020</v>
      </c>
      <c r="R31" s="108" t="s">
        <v>5021</v>
      </c>
      <c r="S31" s="108" t="s">
        <v>5022</v>
      </c>
      <c r="T31" s="282" t="s">
        <v>5316</v>
      </c>
      <c r="U31" s="26"/>
      <c r="V31" s="21"/>
      <c r="W31" s="21"/>
      <c r="X31" s="26" t="s">
        <v>5023</v>
      </c>
      <c r="Y31" s="21"/>
      <c r="Z31" s="108" t="s">
        <v>5018</v>
      </c>
      <c r="AA31" s="108" t="s">
        <v>5701</v>
      </c>
      <c r="AB31" s="108" t="s">
        <v>5019</v>
      </c>
      <c r="AC31" s="108" t="s">
        <v>5020</v>
      </c>
      <c r="AD31" s="108" t="s">
        <v>5021</v>
      </c>
      <c r="AE31" s="108" t="s">
        <v>5022</v>
      </c>
      <c r="AF31" s="282" t="s">
        <v>5316</v>
      </c>
      <c r="AG31" s="26"/>
      <c r="AH31" s="21"/>
      <c r="AI31" s="21"/>
      <c r="AJ31" s="26" t="s">
        <v>5023</v>
      </c>
      <c r="AK31" s="21"/>
      <c r="AL31" s="108" t="s">
        <v>5018</v>
      </c>
      <c r="AM31" s="108" t="s">
        <v>5701</v>
      </c>
      <c r="AN31" s="108" t="s">
        <v>5019</v>
      </c>
      <c r="AO31" s="108" t="s">
        <v>5020</v>
      </c>
      <c r="AP31" s="108" t="s">
        <v>5021</v>
      </c>
      <c r="AQ31" s="108" t="s">
        <v>5022</v>
      </c>
      <c r="AR31" s="282" t="s">
        <v>5316</v>
      </c>
      <c r="AS31" s="26"/>
      <c r="AT31" s="21"/>
      <c r="AU31" s="21"/>
      <c r="AV31" s="26" t="s">
        <v>5023</v>
      </c>
      <c r="AW31" s="21"/>
      <c r="AX31" s="108" t="s">
        <v>5018</v>
      </c>
      <c r="AY31" s="108" t="s">
        <v>5701</v>
      </c>
      <c r="AZ31" s="108" t="s">
        <v>5019</v>
      </c>
      <c r="BA31" s="108" t="s">
        <v>5020</v>
      </c>
      <c r="BB31" s="108" t="s">
        <v>5021</v>
      </c>
      <c r="BC31" s="108" t="s">
        <v>5022</v>
      </c>
      <c r="BD31" s="282" t="s">
        <v>5316</v>
      </c>
      <c r="BE31" s="26"/>
      <c r="BF31" s="21"/>
      <c r="BG31" s="21"/>
      <c r="BH31" s="26" t="s">
        <v>5023</v>
      </c>
      <c r="BI31" s="21"/>
      <c r="BJ31" s="108" t="s">
        <v>5018</v>
      </c>
      <c r="BK31" s="108" t="s">
        <v>5701</v>
      </c>
      <c r="BL31" s="108" t="s">
        <v>5019</v>
      </c>
      <c r="BM31" s="108" t="s">
        <v>5020</v>
      </c>
      <c r="BN31" s="108" t="s">
        <v>5021</v>
      </c>
      <c r="BO31" s="108" t="s">
        <v>5022</v>
      </c>
      <c r="BP31" s="282" t="s">
        <v>5316</v>
      </c>
      <c r="BQ31" s="26"/>
      <c r="BR31" s="21"/>
      <c r="BS31" s="233"/>
      <c r="BT31" s="26" t="s">
        <v>5023</v>
      </c>
      <c r="BU31" s="21"/>
      <c r="BV31" s="108" t="s">
        <v>5018</v>
      </c>
      <c r="BW31" s="108" t="s">
        <v>5701</v>
      </c>
      <c r="BX31" s="108" t="s">
        <v>5019</v>
      </c>
      <c r="BY31" s="108" t="s">
        <v>5020</v>
      </c>
      <c r="BZ31" s="108" t="s">
        <v>5021</v>
      </c>
      <c r="CA31" s="108" t="s">
        <v>5022</v>
      </c>
      <c r="CB31" s="282" t="s">
        <v>5316</v>
      </c>
      <c r="CC31" s="233"/>
      <c r="CD31" s="233"/>
      <c r="CE31" s="233"/>
      <c r="CF31" s="26" t="s">
        <v>5023</v>
      </c>
      <c r="CG31" s="21"/>
      <c r="CH31" s="108" t="s">
        <v>5018</v>
      </c>
      <c r="CI31" s="108" t="s">
        <v>5701</v>
      </c>
      <c r="CJ31" s="108" t="s">
        <v>5019</v>
      </c>
      <c r="CK31" s="108" t="s">
        <v>5020</v>
      </c>
      <c r="CL31" s="108" t="s">
        <v>5021</v>
      </c>
      <c r="CM31" s="108" t="s">
        <v>5022</v>
      </c>
      <c r="CN31" s="282" t="s">
        <v>5316</v>
      </c>
      <c r="CO31" s="233"/>
      <c r="CP31" s="233"/>
      <c r="CQ31" s="233"/>
      <c r="CR31" s="26" t="s">
        <v>5023</v>
      </c>
      <c r="CS31" s="21"/>
      <c r="CT31" s="108" t="s">
        <v>5018</v>
      </c>
      <c r="CU31" s="108" t="s">
        <v>5701</v>
      </c>
      <c r="CV31" s="108" t="s">
        <v>5019</v>
      </c>
      <c r="CW31" s="108" t="s">
        <v>5020</v>
      </c>
      <c r="CX31" s="108" t="s">
        <v>5021</v>
      </c>
      <c r="CY31" s="108" t="s">
        <v>5022</v>
      </c>
      <c r="CZ31" s="282" t="s">
        <v>5316</v>
      </c>
      <c r="DA31" s="26"/>
      <c r="DB31" s="21"/>
      <c r="DC31" s="233"/>
      <c r="DD31" s="26" t="s">
        <v>5023</v>
      </c>
      <c r="DE31" s="21"/>
      <c r="DF31" s="108" t="s">
        <v>5018</v>
      </c>
      <c r="DG31" s="108" t="s">
        <v>5701</v>
      </c>
      <c r="DH31" s="108" t="s">
        <v>5019</v>
      </c>
      <c r="DI31" s="108" t="s">
        <v>5020</v>
      </c>
      <c r="DJ31" s="108" t="s">
        <v>5021</v>
      </c>
      <c r="DK31" s="108" t="s">
        <v>5022</v>
      </c>
      <c r="DL31" s="282" t="s">
        <v>5316</v>
      </c>
      <c r="DM31" s="26"/>
      <c r="DN31" s="21"/>
      <c r="DO31" s="233"/>
      <c r="DP31" s="26" t="s">
        <v>5023</v>
      </c>
      <c r="DQ31" s="21"/>
      <c r="DR31" s="108" t="s">
        <v>5018</v>
      </c>
      <c r="DS31" s="108" t="s">
        <v>5701</v>
      </c>
      <c r="DT31" s="108" t="s">
        <v>5019</v>
      </c>
      <c r="DU31" s="108" t="s">
        <v>5020</v>
      </c>
      <c r="DV31" s="108" t="s">
        <v>5021</v>
      </c>
      <c r="DW31" s="108" t="s">
        <v>5022</v>
      </c>
      <c r="DX31" s="282" t="s">
        <v>5316</v>
      </c>
      <c r="DY31" s="26"/>
      <c r="DZ31" s="233"/>
      <c r="EA31" s="233"/>
      <c r="EB31" s="26" t="s">
        <v>5023</v>
      </c>
      <c r="EC31" s="21"/>
      <c r="ED31" s="108" t="s">
        <v>5018</v>
      </c>
      <c r="EE31" s="108" t="s">
        <v>5701</v>
      </c>
      <c r="EF31" s="108" t="s">
        <v>5019</v>
      </c>
      <c r="EG31" s="108" t="s">
        <v>5020</v>
      </c>
      <c r="EH31" s="108" t="s">
        <v>5021</v>
      </c>
      <c r="EI31" s="108" t="s">
        <v>5022</v>
      </c>
      <c r="EJ31" s="282" t="s">
        <v>5316</v>
      </c>
      <c r="EK31" s="26"/>
      <c r="EL31" s="233"/>
      <c r="EM31" s="233"/>
      <c r="EN31" s="26" t="s">
        <v>5023</v>
      </c>
      <c r="EO31" s="21"/>
      <c r="EP31" s="108" t="s">
        <v>5018</v>
      </c>
      <c r="EQ31" s="108" t="s">
        <v>5701</v>
      </c>
      <c r="ER31" s="108" t="s">
        <v>5019</v>
      </c>
      <c r="ES31" s="108" t="s">
        <v>5020</v>
      </c>
      <c r="ET31" s="108" t="s">
        <v>5021</v>
      </c>
      <c r="EU31" s="108" t="s">
        <v>5022</v>
      </c>
      <c r="EV31" s="282" t="s">
        <v>5316</v>
      </c>
      <c r="EW31" s="26"/>
      <c r="EX31" s="21"/>
      <c r="EY31" s="233"/>
      <c r="EZ31" s="233"/>
      <c r="FA31" s="233"/>
      <c r="FB31" s="233"/>
      <c r="FC31" s="233"/>
      <c r="FD31" s="233"/>
    </row>
    <row r="32" spans="1:160">
      <c r="A32" s="20" t="s">
        <v>3808</v>
      </c>
      <c r="B32" s="14">
        <v>1</v>
      </c>
      <c r="C32" s="14" t="s">
        <v>3767</v>
      </c>
      <c r="D32" s="14">
        <v>2</v>
      </c>
      <c r="E32" s="110" t="s">
        <v>3557</v>
      </c>
      <c r="F32" s="14" t="s">
        <v>3947</v>
      </c>
      <c r="G32" s="44" t="s">
        <v>3809</v>
      </c>
      <c r="H32" s="107" t="s">
        <v>3810</v>
      </c>
      <c r="I32" s="44" t="s">
        <v>3633</v>
      </c>
      <c r="J32" s="28" t="s">
        <v>3535</v>
      </c>
      <c r="K32" s="111"/>
      <c r="L32" s="21" t="s">
        <v>3545</v>
      </c>
      <c r="M32" s="14"/>
      <c r="N32" s="21"/>
      <c r="O32" s="14" t="s">
        <v>3546</v>
      </c>
      <c r="P32" s="14" t="s">
        <v>5036</v>
      </c>
      <c r="Q32" s="14" t="s">
        <v>3904</v>
      </c>
      <c r="R32" s="14" t="s">
        <v>3898</v>
      </c>
      <c r="S32" s="44" t="s">
        <v>3378</v>
      </c>
      <c r="T32" s="44" t="s">
        <v>3379</v>
      </c>
      <c r="U32" s="14"/>
      <c r="V32" s="21"/>
      <c r="W32" s="21"/>
      <c r="X32" s="21" t="s">
        <v>3380</v>
      </c>
      <c r="Y32" s="21"/>
      <c r="Z32" s="14"/>
      <c r="AA32" s="14" t="s">
        <v>3902</v>
      </c>
      <c r="AB32" s="14">
        <v>1</v>
      </c>
      <c r="AC32" s="110" t="s">
        <v>3381</v>
      </c>
      <c r="AD32" s="14" t="s">
        <v>3898</v>
      </c>
      <c r="AE32" s="87" t="s">
        <v>3382</v>
      </c>
      <c r="AF32" s="87" t="s">
        <v>3383</v>
      </c>
      <c r="AG32" s="14"/>
      <c r="AH32" s="21"/>
      <c r="AI32" s="21"/>
      <c r="AJ32" s="21" t="s">
        <v>3384</v>
      </c>
      <c r="AK32" s="21"/>
      <c r="AL32" s="14"/>
      <c r="AM32" s="14" t="s">
        <v>3555</v>
      </c>
      <c r="AN32" s="14">
        <v>1</v>
      </c>
      <c r="AO32" s="110" t="s">
        <v>3385</v>
      </c>
      <c r="AP32" s="14" t="s">
        <v>3914</v>
      </c>
      <c r="AQ32" s="87" t="s">
        <v>3901</v>
      </c>
      <c r="AR32" s="87" t="s">
        <v>3632</v>
      </c>
      <c r="AS32" s="14"/>
      <c r="AT32" s="21"/>
      <c r="AU32" s="21"/>
      <c r="AV32" s="21" t="s">
        <v>385</v>
      </c>
      <c r="AW32" s="21"/>
      <c r="AX32" s="14"/>
      <c r="AY32" s="14" t="s">
        <v>5877</v>
      </c>
      <c r="AZ32" s="14">
        <v>1</v>
      </c>
      <c r="BA32" s="110" t="s">
        <v>3999</v>
      </c>
      <c r="BB32" s="14" t="s">
        <v>3947</v>
      </c>
      <c r="BC32" s="44" t="s">
        <v>3843</v>
      </c>
      <c r="BD32" s="107" t="s">
        <v>386</v>
      </c>
      <c r="BE32" s="14"/>
      <c r="BF32" s="21"/>
      <c r="BG32" s="21"/>
      <c r="BH32" s="21" t="s">
        <v>3390</v>
      </c>
      <c r="BI32" s="21"/>
      <c r="BJ32" s="14"/>
      <c r="BK32" s="14" t="s">
        <v>3546</v>
      </c>
      <c r="BL32" s="14">
        <v>1</v>
      </c>
      <c r="BM32" s="110" t="s">
        <v>3391</v>
      </c>
      <c r="BN32" s="14" t="s">
        <v>3947</v>
      </c>
      <c r="BO32" s="87" t="s">
        <v>3392</v>
      </c>
      <c r="BP32" s="87" t="s">
        <v>3393</v>
      </c>
      <c r="BQ32" s="14"/>
      <c r="BR32" s="21"/>
      <c r="BS32" s="233"/>
      <c r="BT32" s="21" t="s">
        <v>3545</v>
      </c>
      <c r="BU32" s="21"/>
      <c r="BV32" s="14"/>
      <c r="BW32" s="14" t="s">
        <v>3546</v>
      </c>
      <c r="BX32" s="14" t="s">
        <v>5036</v>
      </c>
      <c r="BY32" s="110" t="s">
        <v>3904</v>
      </c>
      <c r="BZ32" s="14" t="s">
        <v>3898</v>
      </c>
      <c r="CA32" s="87" t="s">
        <v>3378</v>
      </c>
      <c r="CB32" s="87" t="s">
        <v>3379</v>
      </c>
      <c r="CC32" s="233"/>
      <c r="CD32" s="233"/>
      <c r="CE32" s="233"/>
      <c r="CF32" s="21" t="s">
        <v>3390</v>
      </c>
      <c r="CG32" s="21"/>
      <c r="CH32" s="14"/>
      <c r="CI32" s="14" t="s">
        <v>3546</v>
      </c>
      <c r="CJ32" s="14">
        <v>1</v>
      </c>
      <c r="CK32" s="110" t="s">
        <v>3391</v>
      </c>
      <c r="CL32" s="14" t="s">
        <v>3947</v>
      </c>
      <c r="CM32" s="87" t="s">
        <v>3392</v>
      </c>
      <c r="CN32" s="87" t="s">
        <v>3393</v>
      </c>
      <c r="CO32" s="233"/>
      <c r="CP32" s="233"/>
      <c r="CQ32" s="233"/>
      <c r="CR32" s="21" t="s">
        <v>3380</v>
      </c>
      <c r="CS32" s="21"/>
      <c r="CT32" s="14"/>
      <c r="CU32" s="14" t="s">
        <v>3902</v>
      </c>
      <c r="CV32" s="14">
        <v>1</v>
      </c>
      <c r="CW32" s="110" t="s">
        <v>3381</v>
      </c>
      <c r="CX32" s="14" t="s">
        <v>3898</v>
      </c>
      <c r="CY32" s="87" t="s">
        <v>3382</v>
      </c>
      <c r="CZ32" s="87" t="s">
        <v>3383</v>
      </c>
      <c r="DA32" s="14"/>
      <c r="DB32" s="21"/>
      <c r="DC32" s="233"/>
      <c r="DD32" s="21" t="s">
        <v>3380</v>
      </c>
      <c r="DE32" s="21"/>
      <c r="DF32" s="14"/>
      <c r="DG32" s="14" t="s">
        <v>3902</v>
      </c>
      <c r="DH32" s="14">
        <v>1</v>
      </c>
      <c r="DI32" s="110" t="s">
        <v>3381</v>
      </c>
      <c r="DJ32" s="14" t="s">
        <v>3898</v>
      </c>
      <c r="DK32" s="87" t="s">
        <v>3382</v>
      </c>
      <c r="DL32" s="87" t="s">
        <v>3383</v>
      </c>
      <c r="DM32" s="14"/>
      <c r="DN32" s="21"/>
      <c r="DO32" s="233"/>
      <c r="DP32" s="21" t="s">
        <v>3565</v>
      </c>
      <c r="DQ32" s="21"/>
      <c r="DR32" s="14"/>
      <c r="DS32" s="14" t="s">
        <v>3622</v>
      </c>
      <c r="DT32" s="14">
        <v>2</v>
      </c>
      <c r="DU32" s="110" t="s">
        <v>3566</v>
      </c>
      <c r="DV32" s="14" t="s">
        <v>3898</v>
      </c>
      <c r="DW32" s="87" t="s">
        <v>3765</v>
      </c>
      <c r="DX32" s="87" t="s">
        <v>3567</v>
      </c>
      <c r="DY32" s="14"/>
      <c r="DZ32" s="233"/>
      <c r="EA32" s="233"/>
      <c r="EB32" s="21" t="s">
        <v>3384</v>
      </c>
      <c r="EC32" s="21"/>
      <c r="ED32" s="14"/>
      <c r="EE32" s="14" t="s">
        <v>3555</v>
      </c>
      <c r="EF32" s="14">
        <v>1</v>
      </c>
      <c r="EG32" s="110" t="s">
        <v>3385</v>
      </c>
      <c r="EH32" s="14" t="s">
        <v>3914</v>
      </c>
      <c r="EI32" s="87" t="s">
        <v>3901</v>
      </c>
      <c r="EJ32" s="87" t="s">
        <v>3632</v>
      </c>
      <c r="EK32" s="14"/>
      <c r="EL32" s="233"/>
      <c r="EM32" s="233"/>
      <c r="EN32" s="21" t="s">
        <v>3380</v>
      </c>
      <c r="EO32" s="21"/>
      <c r="EP32" s="14"/>
      <c r="EQ32" s="14" t="s">
        <v>3902</v>
      </c>
      <c r="ER32" s="14">
        <v>1</v>
      </c>
      <c r="ES32" s="110" t="s">
        <v>3381</v>
      </c>
      <c r="ET32" s="14" t="s">
        <v>3898</v>
      </c>
      <c r="EU32" s="87" t="s">
        <v>3382</v>
      </c>
      <c r="EV32" s="87" t="s">
        <v>3383</v>
      </c>
      <c r="EW32" s="14"/>
      <c r="EX32" s="21"/>
      <c r="EY32" s="233"/>
      <c r="EZ32" s="233"/>
      <c r="FA32" s="233"/>
      <c r="FB32" s="233"/>
      <c r="FC32" s="233"/>
      <c r="FD32" s="233"/>
    </row>
    <row r="33" spans="1:160">
      <c r="A33" s="20" t="s">
        <v>3466</v>
      </c>
      <c r="B33" s="14">
        <v>1</v>
      </c>
      <c r="C33" s="14" t="s">
        <v>3555</v>
      </c>
      <c r="D33" s="14">
        <v>2</v>
      </c>
      <c r="E33" s="110" t="s">
        <v>4039</v>
      </c>
      <c r="F33" s="14" t="s">
        <v>3931</v>
      </c>
      <c r="G33" s="44" t="s">
        <v>3467</v>
      </c>
      <c r="H33" s="44" t="s">
        <v>3468</v>
      </c>
      <c r="I33" s="44" t="s">
        <v>3559</v>
      </c>
      <c r="J33" s="28" t="s">
        <v>4369</v>
      </c>
      <c r="K33" s="111"/>
      <c r="L33" s="21" t="s">
        <v>3384</v>
      </c>
      <c r="M33" s="14"/>
      <c r="N33" s="21"/>
      <c r="O33" s="14" t="s">
        <v>3555</v>
      </c>
      <c r="P33" s="14">
        <v>1</v>
      </c>
      <c r="Q33" s="110" t="s">
        <v>3385</v>
      </c>
      <c r="R33" s="14" t="s">
        <v>3914</v>
      </c>
      <c r="S33" s="44" t="s">
        <v>3901</v>
      </c>
      <c r="T33" s="44" t="s">
        <v>3632</v>
      </c>
      <c r="U33" s="14"/>
      <c r="V33" s="21"/>
      <c r="W33" s="21"/>
      <c r="X33" s="21" t="s">
        <v>3560</v>
      </c>
      <c r="Y33" s="21"/>
      <c r="Z33" s="21"/>
      <c r="AA33" s="14" t="s">
        <v>3912</v>
      </c>
      <c r="AB33" s="14">
        <v>1</v>
      </c>
      <c r="AC33" s="110" t="s">
        <v>3749</v>
      </c>
      <c r="AD33" s="14" t="s">
        <v>3561</v>
      </c>
      <c r="AE33" s="87" t="s">
        <v>3736</v>
      </c>
      <c r="AF33" s="44" t="s">
        <v>3915</v>
      </c>
      <c r="AG33" s="14"/>
      <c r="AH33" s="21"/>
      <c r="AI33" s="21"/>
      <c r="AJ33" s="21" t="s">
        <v>3562</v>
      </c>
      <c r="AK33" s="21"/>
      <c r="AL33" s="14"/>
      <c r="AM33" s="14" t="s">
        <v>3542</v>
      </c>
      <c r="AN33" s="14">
        <v>1</v>
      </c>
      <c r="AO33" s="110" t="s">
        <v>3569</v>
      </c>
      <c r="AP33" s="14" t="s">
        <v>3563</v>
      </c>
      <c r="AQ33" s="87" t="s">
        <v>3550</v>
      </c>
      <c r="AR33" s="87" t="s">
        <v>3746</v>
      </c>
      <c r="AS33" s="14"/>
      <c r="AT33" s="21"/>
      <c r="AU33" s="21"/>
      <c r="AV33" s="21" t="s">
        <v>3386</v>
      </c>
      <c r="AW33" s="21"/>
      <c r="AX33" s="14"/>
      <c r="AY33" s="14" t="s">
        <v>3387</v>
      </c>
      <c r="AZ33" s="14">
        <v>3</v>
      </c>
      <c r="BA33" s="110" t="s">
        <v>3388</v>
      </c>
      <c r="BB33" s="14" t="s">
        <v>3473</v>
      </c>
      <c r="BC33" s="87" t="s">
        <v>3389</v>
      </c>
      <c r="BD33" s="87" t="s">
        <v>3746</v>
      </c>
      <c r="BE33" s="14"/>
      <c r="BF33" s="21"/>
      <c r="BG33" s="21"/>
      <c r="BH33" s="21" t="s">
        <v>3545</v>
      </c>
      <c r="BI33" s="21"/>
      <c r="BJ33" s="14"/>
      <c r="BK33" s="14" t="s">
        <v>3546</v>
      </c>
      <c r="BL33" s="14" t="s">
        <v>5036</v>
      </c>
      <c r="BM33" s="110" t="s">
        <v>3904</v>
      </c>
      <c r="BN33" s="14" t="s">
        <v>3898</v>
      </c>
      <c r="BO33" s="87" t="s">
        <v>3378</v>
      </c>
      <c r="BP33" s="87" t="s">
        <v>3379</v>
      </c>
      <c r="BQ33" s="14"/>
      <c r="BR33" s="21"/>
      <c r="BS33" s="233"/>
      <c r="BT33" s="21" t="s">
        <v>3565</v>
      </c>
      <c r="BU33" s="21"/>
      <c r="BV33" s="14"/>
      <c r="BW33" s="14" t="s">
        <v>3622</v>
      </c>
      <c r="BX33" s="14">
        <v>2</v>
      </c>
      <c r="BY33" s="110" t="s">
        <v>3566</v>
      </c>
      <c r="BZ33" s="14" t="s">
        <v>3898</v>
      </c>
      <c r="CA33" s="87" t="s">
        <v>3765</v>
      </c>
      <c r="CB33" s="87" t="s">
        <v>3567</v>
      </c>
      <c r="CC33" s="233"/>
      <c r="CD33" s="233"/>
      <c r="CE33" s="233"/>
      <c r="CF33" s="21" t="s">
        <v>3545</v>
      </c>
      <c r="CG33" s="21"/>
      <c r="CH33" s="14"/>
      <c r="CI33" s="14" t="s">
        <v>3546</v>
      </c>
      <c r="CJ33" s="14" t="s">
        <v>5036</v>
      </c>
      <c r="CK33" s="110" t="s">
        <v>3904</v>
      </c>
      <c r="CL33" s="14" t="s">
        <v>3898</v>
      </c>
      <c r="CM33" s="87" t="s">
        <v>3378</v>
      </c>
      <c r="CN33" s="87" t="s">
        <v>3379</v>
      </c>
      <c r="CO33" s="233"/>
      <c r="CP33" s="233"/>
      <c r="CQ33" s="233"/>
      <c r="CR33" s="21" t="s">
        <v>3560</v>
      </c>
      <c r="CS33" s="21"/>
      <c r="CT33" s="21"/>
      <c r="CU33" s="14" t="s">
        <v>3912</v>
      </c>
      <c r="CV33" s="14">
        <v>1</v>
      </c>
      <c r="CW33" s="110" t="s">
        <v>3749</v>
      </c>
      <c r="CX33" s="14" t="s">
        <v>3561</v>
      </c>
      <c r="CY33" s="87" t="s">
        <v>3736</v>
      </c>
      <c r="CZ33" s="44" t="s">
        <v>3915</v>
      </c>
      <c r="DA33" s="14"/>
      <c r="DB33" s="21"/>
      <c r="DC33" s="233"/>
      <c r="DD33" s="21" t="s">
        <v>3560</v>
      </c>
      <c r="DE33" s="21"/>
      <c r="DF33" s="21"/>
      <c r="DG33" s="14" t="s">
        <v>3912</v>
      </c>
      <c r="DH33" s="14">
        <v>1</v>
      </c>
      <c r="DI33" s="110" t="s">
        <v>3749</v>
      </c>
      <c r="DJ33" s="14" t="s">
        <v>3561</v>
      </c>
      <c r="DK33" s="87" t="s">
        <v>3736</v>
      </c>
      <c r="DL33" s="44" t="s">
        <v>3915</v>
      </c>
      <c r="DM33" s="14"/>
      <c r="DN33" s="21"/>
      <c r="DO33" s="233"/>
      <c r="DP33" s="21" t="s">
        <v>3757</v>
      </c>
      <c r="DQ33" s="21"/>
      <c r="DR33" s="14"/>
      <c r="DS33" s="14" t="s">
        <v>3546</v>
      </c>
      <c r="DT33" s="14">
        <v>2</v>
      </c>
      <c r="DU33" s="110" t="s">
        <v>4211</v>
      </c>
      <c r="DV33" s="14" t="s">
        <v>3898</v>
      </c>
      <c r="DW33" s="87" t="s">
        <v>3758</v>
      </c>
      <c r="DX33" s="87" t="s">
        <v>3915</v>
      </c>
      <c r="DY33" s="14"/>
      <c r="DZ33" s="233"/>
      <c r="EA33" s="233"/>
      <c r="EB33" s="21" t="s">
        <v>3562</v>
      </c>
      <c r="EC33" s="21"/>
      <c r="ED33" s="14"/>
      <c r="EE33" s="14" t="s">
        <v>3542</v>
      </c>
      <c r="EF33" s="14">
        <v>1</v>
      </c>
      <c r="EG33" s="110" t="s">
        <v>3569</v>
      </c>
      <c r="EH33" s="14" t="s">
        <v>3563</v>
      </c>
      <c r="EI33" s="87" t="s">
        <v>3550</v>
      </c>
      <c r="EJ33" s="87" t="s">
        <v>3746</v>
      </c>
      <c r="EK33" s="14"/>
      <c r="EL33" s="233"/>
      <c r="EM33" s="233"/>
      <c r="EN33" s="21" t="s">
        <v>3560</v>
      </c>
      <c r="EO33" s="21"/>
      <c r="EP33" s="21"/>
      <c r="EQ33" s="14" t="s">
        <v>3912</v>
      </c>
      <c r="ER33" s="14">
        <v>1</v>
      </c>
      <c r="ES33" s="110" t="s">
        <v>3749</v>
      </c>
      <c r="ET33" s="14" t="s">
        <v>3561</v>
      </c>
      <c r="EU33" s="87" t="s">
        <v>3736</v>
      </c>
      <c r="EV33" s="44" t="s">
        <v>3915</v>
      </c>
      <c r="EW33" s="14"/>
      <c r="EX33" s="21"/>
      <c r="EY33" s="233"/>
      <c r="EZ33" s="233"/>
      <c r="FA33" s="233"/>
      <c r="FB33" s="233"/>
      <c r="FC33" s="233"/>
      <c r="FD33" s="233"/>
    </row>
    <row r="34" spans="1:160">
      <c r="A34" s="20" t="s">
        <v>3469</v>
      </c>
      <c r="B34" s="14">
        <v>1</v>
      </c>
      <c r="C34" s="14" t="s">
        <v>3737</v>
      </c>
      <c r="D34" s="14">
        <v>1</v>
      </c>
      <c r="E34" s="110" t="s">
        <v>3569</v>
      </c>
      <c r="F34" s="14" t="s">
        <v>3979</v>
      </c>
      <c r="G34" s="44" t="s">
        <v>3747</v>
      </c>
      <c r="H34" s="107" t="s">
        <v>3470</v>
      </c>
      <c r="I34" s="44">
        <v>4</v>
      </c>
      <c r="J34" s="28" t="s">
        <v>4447</v>
      </c>
      <c r="K34" s="111"/>
      <c r="L34" s="21" t="s">
        <v>3565</v>
      </c>
      <c r="M34" s="14"/>
      <c r="N34" s="21"/>
      <c r="O34" s="14" t="s">
        <v>3622</v>
      </c>
      <c r="P34" s="14">
        <v>2</v>
      </c>
      <c r="Q34" s="110" t="s">
        <v>3566</v>
      </c>
      <c r="R34" s="14" t="s">
        <v>3898</v>
      </c>
      <c r="S34" s="44" t="s">
        <v>3765</v>
      </c>
      <c r="T34" s="44" t="s">
        <v>3567</v>
      </c>
      <c r="U34" s="14"/>
      <c r="V34" s="21"/>
      <c r="W34" s="21"/>
      <c r="X34" s="21" t="s">
        <v>3750</v>
      </c>
      <c r="Y34" s="21"/>
      <c r="Z34" s="14"/>
      <c r="AA34" s="14" t="s">
        <v>3902</v>
      </c>
      <c r="AB34" s="14">
        <v>1</v>
      </c>
      <c r="AC34" s="110" t="s">
        <v>3569</v>
      </c>
      <c r="AD34" s="14" t="s">
        <v>3898</v>
      </c>
      <c r="AE34" s="87" t="s">
        <v>3759</v>
      </c>
      <c r="AF34" s="87" t="s">
        <v>3746</v>
      </c>
      <c r="AG34" s="14"/>
      <c r="AH34" s="21"/>
      <c r="AI34" s="21"/>
      <c r="AJ34" s="21" t="s">
        <v>3751</v>
      </c>
      <c r="AK34" s="21"/>
      <c r="AL34" s="14"/>
      <c r="AM34" s="14" t="s">
        <v>3752</v>
      </c>
      <c r="AN34" s="14">
        <v>1</v>
      </c>
      <c r="AO34" s="110" t="s">
        <v>3650</v>
      </c>
      <c r="AP34" s="14" t="s">
        <v>3947</v>
      </c>
      <c r="AQ34" s="87" t="s">
        <v>3753</v>
      </c>
      <c r="AR34" s="87" t="s">
        <v>3728</v>
      </c>
      <c r="AS34" s="14"/>
      <c r="AT34" s="21"/>
      <c r="AU34" s="21"/>
      <c r="AV34" s="21" t="s">
        <v>591</v>
      </c>
      <c r="AW34" s="21"/>
      <c r="AX34" s="14"/>
      <c r="AY34" s="14" t="s">
        <v>3564</v>
      </c>
      <c r="AZ34" s="14">
        <v>2</v>
      </c>
      <c r="BA34" s="110" t="s">
        <v>3715</v>
      </c>
      <c r="BB34" s="14" t="s">
        <v>3716</v>
      </c>
      <c r="BC34" s="87" t="s">
        <v>3730</v>
      </c>
      <c r="BD34" s="87" t="s">
        <v>3728</v>
      </c>
      <c r="BE34" s="14"/>
      <c r="BF34" s="21"/>
      <c r="BG34" s="21"/>
      <c r="BH34" s="21" t="s">
        <v>387</v>
      </c>
      <c r="BI34" s="21"/>
      <c r="BJ34" s="14"/>
      <c r="BK34" s="14" t="s">
        <v>5878</v>
      </c>
      <c r="BL34" s="14" t="s">
        <v>5036</v>
      </c>
      <c r="BM34" s="106" t="s">
        <v>3999</v>
      </c>
      <c r="BN34" s="14" t="s">
        <v>3947</v>
      </c>
      <c r="BO34" s="44" t="s">
        <v>3843</v>
      </c>
      <c r="BP34" s="44" t="s">
        <v>388</v>
      </c>
      <c r="BQ34" s="14"/>
      <c r="BR34" s="21"/>
      <c r="BS34" s="233"/>
      <c r="BT34" s="21" t="s">
        <v>3757</v>
      </c>
      <c r="BU34" s="21"/>
      <c r="BV34" s="14"/>
      <c r="BW34" s="14" t="s">
        <v>3546</v>
      </c>
      <c r="BX34" s="14">
        <v>2</v>
      </c>
      <c r="BY34" s="110" t="s">
        <v>4211</v>
      </c>
      <c r="BZ34" s="14" t="s">
        <v>3898</v>
      </c>
      <c r="CA34" s="87" t="s">
        <v>3758</v>
      </c>
      <c r="CB34" s="87" t="s">
        <v>3915</v>
      </c>
      <c r="CC34" s="233"/>
      <c r="CD34" s="233"/>
      <c r="CE34" s="233"/>
      <c r="CF34" s="21" t="s">
        <v>387</v>
      </c>
      <c r="CG34" s="21"/>
      <c r="CH34" s="14"/>
      <c r="CI34" s="14" t="s">
        <v>5878</v>
      </c>
      <c r="CJ34" s="14" t="s">
        <v>5036</v>
      </c>
      <c r="CK34" s="106" t="s">
        <v>3999</v>
      </c>
      <c r="CL34" s="14" t="s">
        <v>3947</v>
      </c>
      <c r="CM34" s="44" t="s">
        <v>3843</v>
      </c>
      <c r="CN34" s="44" t="s">
        <v>388</v>
      </c>
      <c r="CO34" s="233"/>
      <c r="CP34" s="233"/>
      <c r="CQ34" s="233"/>
      <c r="CR34" s="21" t="s">
        <v>3750</v>
      </c>
      <c r="CS34" s="21"/>
      <c r="CT34" s="14"/>
      <c r="CU34" s="14" t="s">
        <v>3902</v>
      </c>
      <c r="CV34" s="14">
        <v>1</v>
      </c>
      <c r="CW34" s="110" t="s">
        <v>3569</v>
      </c>
      <c r="CX34" s="14" t="s">
        <v>3898</v>
      </c>
      <c r="CY34" s="87" t="s">
        <v>3759</v>
      </c>
      <c r="CZ34" s="87" t="s">
        <v>3746</v>
      </c>
      <c r="DA34" s="14"/>
      <c r="DB34" s="21"/>
      <c r="DC34" s="233"/>
      <c r="DD34" s="21" t="s">
        <v>3750</v>
      </c>
      <c r="DE34" s="21"/>
      <c r="DF34" s="14"/>
      <c r="DG34" s="14" t="s">
        <v>3902</v>
      </c>
      <c r="DH34" s="14">
        <v>1</v>
      </c>
      <c r="DI34" s="110" t="s">
        <v>3569</v>
      </c>
      <c r="DJ34" s="14" t="s">
        <v>3898</v>
      </c>
      <c r="DK34" s="87" t="s">
        <v>3759</v>
      </c>
      <c r="DL34" s="87" t="s">
        <v>3746</v>
      </c>
      <c r="DM34" s="14"/>
      <c r="DN34" s="21"/>
      <c r="DO34" s="233"/>
      <c r="DP34" s="21" t="s">
        <v>3229</v>
      </c>
      <c r="DQ34" s="21"/>
      <c r="DR34" s="14"/>
      <c r="DS34" s="14" t="s">
        <v>3208</v>
      </c>
      <c r="DT34" s="14">
        <v>2</v>
      </c>
      <c r="DU34" s="14" t="s">
        <v>3858</v>
      </c>
      <c r="DV34" s="14" t="s">
        <v>3898</v>
      </c>
      <c r="DW34" s="87" t="s">
        <v>3230</v>
      </c>
      <c r="DX34" s="87" t="s">
        <v>3231</v>
      </c>
      <c r="DY34" s="14"/>
      <c r="DZ34" s="233"/>
      <c r="EA34" s="233"/>
      <c r="EB34" s="21" t="s">
        <v>3751</v>
      </c>
      <c r="EC34" s="21"/>
      <c r="ED34" s="14"/>
      <c r="EE34" s="14" t="s">
        <v>3752</v>
      </c>
      <c r="EF34" s="14">
        <v>1</v>
      </c>
      <c r="EG34" s="110" t="s">
        <v>3650</v>
      </c>
      <c r="EH34" s="14" t="s">
        <v>3947</v>
      </c>
      <c r="EI34" s="87" t="s">
        <v>3753</v>
      </c>
      <c r="EJ34" s="87" t="s">
        <v>3728</v>
      </c>
      <c r="EK34" s="14"/>
      <c r="EL34" s="233"/>
      <c r="EM34" s="233"/>
      <c r="EN34" s="21" t="s">
        <v>3750</v>
      </c>
      <c r="EO34" s="21"/>
      <c r="EP34" s="14"/>
      <c r="EQ34" s="14" t="s">
        <v>3902</v>
      </c>
      <c r="ER34" s="14">
        <v>1</v>
      </c>
      <c r="ES34" s="110" t="s">
        <v>3569</v>
      </c>
      <c r="ET34" s="14" t="s">
        <v>3898</v>
      </c>
      <c r="EU34" s="87" t="s">
        <v>3759</v>
      </c>
      <c r="EV34" s="87" t="s">
        <v>3746</v>
      </c>
      <c r="EW34" s="14"/>
      <c r="EX34" s="21"/>
      <c r="EY34" s="233"/>
      <c r="EZ34" s="233"/>
      <c r="FA34" s="233"/>
      <c r="FB34" s="233"/>
      <c r="FC34" s="233"/>
      <c r="FD34" s="233"/>
    </row>
    <row r="35" spans="1:160">
      <c r="A35" s="20" t="s">
        <v>3621</v>
      </c>
      <c r="B35" s="14">
        <v>1</v>
      </c>
      <c r="C35" s="14" t="s">
        <v>3622</v>
      </c>
      <c r="D35" s="14">
        <v>1</v>
      </c>
      <c r="E35" s="110" t="s">
        <v>3623</v>
      </c>
      <c r="F35" s="14" t="s">
        <v>3898</v>
      </c>
      <c r="G35" s="44" t="s">
        <v>3730</v>
      </c>
      <c r="H35" s="44" t="s">
        <v>3624</v>
      </c>
      <c r="I35" s="44">
        <v>2</v>
      </c>
      <c r="J35" s="28" t="s">
        <v>3739</v>
      </c>
      <c r="K35" s="111"/>
      <c r="L35" s="21" t="s">
        <v>3386</v>
      </c>
      <c r="M35" s="14"/>
      <c r="N35" s="21"/>
      <c r="O35" s="14" t="s">
        <v>3387</v>
      </c>
      <c r="P35" s="14">
        <v>3</v>
      </c>
      <c r="Q35" s="110" t="s">
        <v>3388</v>
      </c>
      <c r="R35" s="14" t="s">
        <v>3473</v>
      </c>
      <c r="S35" s="44" t="s">
        <v>3389</v>
      </c>
      <c r="T35" s="44" t="s">
        <v>3746</v>
      </c>
      <c r="U35" s="14"/>
      <c r="V35" s="21"/>
      <c r="W35" s="21"/>
      <c r="X35" s="21" t="s">
        <v>3565</v>
      </c>
      <c r="Y35" s="21"/>
      <c r="Z35" s="14"/>
      <c r="AA35" s="14" t="s">
        <v>3622</v>
      </c>
      <c r="AB35" s="14">
        <v>2</v>
      </c>
      <c r="AC35" s="110" t="s">
        <v>3566</v>
      </c>
      <c r="AD35" s="14" t="s">
        <v>3898</v>
      </c>
      <c r="AE35" s="87" t="s">
        <v>3765</v>
      </c>
      <c r="AF35" s="87" t="s">
        <v>3567</v>
      </c>
      <c r="AG35" s="14"/>
      <c r="AH35" s="21"/>
      <c r="AI35" s="21"/>
      <c r="AJ35" s="21" t="s">
        <v>3760</v>
      </c>
      <c r="AK35" s="21"/>
      <c r="AL35" s="14"/>
      <c r="AM35" s="14" t="s">
        <v>3752</v>
      </c>
      <c r="AN35" s="14">
        <v>0</v>
      </c>
      <c r="AO35" s="110" t="s">
        <v>3472</v>
      </c>
      <c r="AP35" s="14" t="s">
        <v>3931</v>
      </c>
      <c r="AQ35" s="87" t="s">
        <v>3651</v>
      </c>
      <c r="AR35" s="87" t="s">
        <v>3915</v>
      </c>
      <c r="AS35" s="14"/>
      <c r="AT35" s="21"/>
      <c r="AU35" s="21"/>
      <c r="AV35" s="21" t="s">
        <v>3754</v>
      </c>
      <c r="AW35" s="21"/>
      <c r="AX35" s="14"/>
      <c r="AY35" s="14" t="s">
        <v>3387</v>
      </c>
      <c r="AZ35" s="14">
        <v>1</v>
      </c>
      <c r="BA35" s="110" t="s">
        <v>3934</v>
      </c>
      <c r="BB35" s="14" t="s">
        <v>3898</v>
      </c>
      <c r="BC35" s="87" t="s">
        <v>3755</v>
      </c>
      <c r="BD35" s="87" t="s">
        <v>3756</v>
      </c>
      <c r="BE35" s="14"/>
      <c r="BF35" s="21"/>
      <c r="BG35" s="21"/>
      <c r="BH35" s="21" t="s">
        <v>3757</v>
      </c>
      <c r="BI35" s="21"/>
      <c r="BJ35" s="14"/>
      <c r="BK35" s="14" t="s">
        <v>3546</v>
      </c>
      <c r="BL35" s="14">
        <v>2</v>
      </c>
      <c r="BM35" s="110" t="s">
        <v>4211</v>
      </c>
      <c r="BN35" s="14" t="s">
        <v>3898</v>
      </c>
      <c r="BO35" s="87" t="s">
        <v>3758</v>
      </c>
      <c r="BP35" s="87" t="s">
        <v>3915</v>
      </c>
      <c r="BQ35" s="14"/>
      <c r="BR35" s="21"/>
      <c r="BS35" s="233"/>
      <c r="BT35" s="21" t="s">
        <v>3582</v>
      </c>
      <c r="BU35" s="21"/>
      <c r="BV35" s="14"/>
      <c r="BW35" s="14" t="s">
        <v>3583</v>
      </c>
      <c r="BX35" s="14">
        <v>2</v>
      </c>
      <c r="BY35" s="106" t="s">
        <v>3934</v>
      </c>
      <c r="BZ35" s="14" t="s">
        <v>3548</v>
      </c>
      <c r="CA35" s="87" t="s">
        <v>3570</v>
      </c>
      <c r="CB35" s="44" t="s">
        <v>3571</v>
      </c>
      <c r="CC35" s="233"/>
      <c r="CD35" s="233"/>
      <c r="CE35" s="233"/>
      <c r="CF35" s="21" t="s">
        <v>3757</v>
      </c>
      <c r="CG35" s="21"/>
      <c r="CH35" s="14"/>
      <c r="CI35" s="14" t="s">
        <v>3546</v>
      </c>
      <c r="CJ35" s="14">
        <v>2</v>
      </c>
      <c r="CK35" s="110" t="s">
        <v>4211</v>
      </c>
      <c r="CL35" s="14" t="s">
        <v>3898</v>
      </c>
      <c r="CM35" s="87" t="s">
        <v>3758</v>
      </c>
      <c r="CN35" s="87" t="s">
        <v>3915</v>
      </c>
      <c r="CO35" s="233"/>
      <c r="CP35" s="233"/>
      <c r="CQ35" s="233"/>
      <c r="CR35" s="21" t="s">
        <v>3565</v>
      </c>
      <c r="CS35" s="21"/>
      <c r="CT35" s="14"/>
      <c r="CU35" s="14" t="s">
        <v>3622</v>
      </c>
      <c r="CV35" s="14">
        <v>2</v>
      </c>
      <c r="CW35" s="110" t="s">
        <v>3566</v>
      </c>
      <c r="CX35" s="14" t="s">
        <v>3898</v>
      </c>
      <c r="CY35" s="87" t="s">
        <v>3765</v>
      </c>
      <c r="CZ35" s="87" t="s">
        <v>3567</v>
      </c>
      <c r="DA35" s="14"/>
      <c r="DB35" s="21"/>
      <c r="DC35" s="233"/>
      <c r="DD35" s="21" t="s">
        <v>3565</v>
      </c>
      <c r="DE35" s="21"/>
      <c r="DF35" s="14"/>
      <c r="DG35" s="14" t="s">
        <v>3622</v>
      </c>
      <c r="DH35" s="14">
        <v>2</v>
      </c>
      <c r="DI35" s="110" t="s">
        <v>3566</v>
      </c>
      <c r="DJ35" s="14" t="s">
        <v>3898</v>
      </c>
      <c r="DK35" s="87" t="s">
        <v>3765</v>
      </c>
      <c r="DL35" s="87" t="s">
        <v>3567</v>
      </c>
      <c r="DM35" s="14"/>
      <c r="DN35" s="21"/>
      <c r="DO35" s="233"/>
      <c r="DP35" s="21" t="s">
        <v>3578</v>
      </c>
      <c r="DQ35" s="21"/>
      <c r="DR35" s="14"/>
      <c r="DS35" s="14" t="s">
        <v>3387</v>
      </c>
      <c r="DT35" s="14">
        <v>2</v>
      </c>
      <c r="DU35" s="14" t="s">
        <v>3925</v>
      </c>
      <c r="DV35" s="14" t="s">
        <v>3898</v>
      </c>
      <c r="DW35" s="87" t="s">
        <v>3765</v>
      </c>
      <c r="DX35" s="87" t="s">
        <v>3746</v>
      </c>
      <c r="DY35" s="14"/>
      <c r="DZ35" s="233"/>
      <c r="EA35" s="233"/>
      <c r="EB35" s="21" t="s">
        <v>3760</v>
      </c>
      <c r="EC35" s="21"/>
      <c r="ED35" s="14"/>
      <c r="EE35" s="14" t="s">
        <v>3752</v>
      </c>
      <c r="EF35" s="14">
        <v>0</v>
      </c>
      <c r="EG35" s="110" t="s">
        <v>3472</v>
      </c>
      <c r="EH35" s="14" t="s">
        <v>3931</v>
      </c>
      <c r="EI35" s="87" t="s">
        <v>3651</v>
      </c>
      <c r="EJ35" s="87" t="s">
        <v>3915</v>
      </c>
      <c r="EK35" s="14"/>
      <c r="EL35" s="233"/>
      <c r="EM35" s="233"/>
      <c r="EN35" s="21" t="s">
        <v>3565</v>
      </c>
      <c r="EO35" s="21"/>
      <c r="EP35" s="14"/>
      <c r="EQ35" s="14" t="s">
        <v>3622</v>
      </c>
      <c r="ER35" s="14">
        <v>2</v>
      </c>
      <c r="ES35" s="110" t="s">
        <v>3566</v>
      </c>
      <c r="ET35" s="14" t="s">
        <v>3898</v>
      </c>
      <c r="EU35" s="87" t="s">
        <v>3765</v>
      </c>
      <c r="EV35" s="87" t="s">
        <v>3567</v>
      </c>
      <c r="EW35" s="14"/>
      <c r="EX35" s="21"/>
      <c r="EY35" s="233"/>
      <c r="EZ35" s="233"/>
      <c r="FA35" s="233"/>
      <c r="FB35" s="233"/>
      <c r="FC35" s="233"/>
      <c r="FD35" s="233"/>
    </row>
    <row r="36" spans="1:160">
      <c r="A36" s="20" t="s">
        <v>3572</v>
      </c>
      <c r="B36" s="14">
        <v>1</v>
      </c>
      <c r="C36" s="14" t="s">
        <v>3576</v>
      </c>
      <c r="D36" s="14">
        <v>1</v>
      </c>
      <c r="E36" s="110" t="s">
        <v>4211</v>
      </c>
      <c r="F36" s="14" t="s">
        <v>3573</v>
      </c>
      <c r="G36" s="44" t="s">
        <v>3575</v>
      </c>
      <c r="H36" s="44" t="s">
        <v>3574</v>
      </c>
      <c r="I36" s="44" t="s">
        <v>3900</v>
      </c>
      <c r="J36" s="196" t="s">
        <v>4447</v>
      </c>
      <c r="K36" s="111"/>
      <c r="L36" s="21" t="s">
        <v>3754</v>
      </c>
      <c r="M36" s="14"/>
      <c r="N36" s="21"/>
      <c r="O36" s="14" t="s">
        <v>3387</v>
      </c>
      <c r="P36" s="14">
        <v>1</v>
      </c>
      <c r="Q36" s="110" t="s">
        <v>3934</v>
      </c>
      <c r="R36" s="14" t="s">
        <v>3898</v>
      </c>
      <c r="S36" s="44" t="s">
        <v>3755</v>
      </c>
      <c r="T36" s="44" t="s">
        <v>3756</v>
      </c>
      <c r="U36" s="14"/>
      <c r="V36" s="21"/>
      <c r="W36" s="21"/>
      <c r="X36" s="21" t="s">
        <v>394</v>
      </c>
      <c r="Y36" s="21"/>
      <c r="Z36" s="14"/>
      <c r="AA36" s="14" t="s">
        <v>3564</v>
      </c>
      <c r="AB36" s="14">
        <v>2</v>
      </c>
      <c r="AC36" s="110" t="s">
        <v>3715</v>
      </c>
      <c r="AD36" s="14" t="s">
        <v>3716</v>
      </c>
      <c r="AE36" s="87" t="s">
        <v>3730</v>
      </c>
      <c r="AF36" s="87" t="s">
        <v>3728</v>
      </c>
      <c r="AG36" s="14"/>
      <c r="AH36" s="21"/>
      <c r="AI36" s="21"/>
      <c r="AJ36" s="21" t="s">
        <v>3577</v>
      </c>
      <c r="AK36" s="21"/>
      <c r="AL36" s="14"/>
      <c r="AM36" s="14" t="s">
        <v>3542</v>
      </c>
      <c r="AN36" s="14" t="s">
        <v>5036</v>
      </c>
      <c r="AO36" s="14" t="s">
        <v>3841</v>
      </c>
      <c r="AP36" s="14" t="s">
        <v>3716</v>
      </c>
      <c r="AQ36" s="87" t="s">
        <v>3736</v>
      </c>
      <c r="AR36" s="87" t="s">
        <v>4209</v>
      </c>
      <c r="AS36" s="14"/>
      <c r="AT36" s="21"/>
      <c r="AU36" s="21"/>
      <c r="AV36" s="21" t="s">
        <v>3761</v>
      </c>
      <c r="AW36" s="21"/>
      <c r="AX36" s="14"/>
      <c r="AY36" s="14" t="s">
        <v>3387</v>
      </c>
      <c r="AZ36" s="14">
        <v>2</v>
      </c>
      <c r="BA36" s="110" t="s">
        <v>3925</v>
      </c>
      <c r="BB36" s="14" t="s">
        <v>3914</v>
      </c>
      <c r="BC36" s="87" t="s">
        <v>3759</v>
      </c>
      <c r="BD36" s="87" t="s">
        <v>3762</v>
      </c>
      <c r="BE36" s="14"/>
      <c r="BF36" s="21"/>
      <c r="BG36" s="21"/>
      <c r="BH36" s="21" t="s">
        <v>3763</v>
      </c>
      <c r="BI36" s="21"/>
      <c r="BJ36" s="14"/>
      <c r="BK36" s="14" t="s">
        <v>3764</v>
      </c>
      <c r="BL36" s="14" t="s">
        <v>5036</v>
      </c>
      <c r="BM36" s="110" t="s">
        <v>3415</v>
      </c>
      <c r="BN36" s="14" t="s">
        <v>3548</v>
      </c>
      <c r="BO36" s="87" t="s">
        <v>3753</v>
      </c>
      <c r="BP36" s="87" t="s">
        <v>3581</v>
      </c>
      <c r="BQ36" s="14"/>
      <c r="BR36" s="21"/>
      <c r="BS36" s="233"/>
      <c r="BT36" s="21" t="s">
        <v>3471</v>
      </c>
      <c r="BU36" s="21"/>
      <c r="BV36" s="14"/>
      <c r="BW36" s="14" t="s">
        <v>3620</v>
      </c>
      <c r="BX36" s="14" t="s">
        <v>5036</v>
      </c>
      <c r="BY36" s="14" t="s">
        <v>3472</v>
      </c>
      <c r="BZ36" s="14" t="s">
        <v>3473</v>
      </c>
      <c r="CA36" s="87" t="s">
        <v>3736</v>
      </c>
      <c r="CB36" s="87" t="s">
        <v>3474</v>
      </c>
      <c r="CC36" s="233"/>
      <c r="CD36" s="233"/>
      <c r="CE36" s="233"/>
      <c r="CF36" s="21" t="s">
        <v>3763</v>
      </c>
      <c r="CG36" s="21"/>
      <c r="CH36" s="14"/>
      <c r="CI36" s="14" t="s">
        <v>3764</v>
      </c>
      <c r="CJ36" s="14" t="s">
        <v>5036</v>
      </c>
      <c r="CK36" s="110" t="s">
        <v>3415</v>
      </c>
      <c r="CL36" s="14" t="s">
        <v>3548</v>
      </c>
      <c r="CM36" s="87" t="s">
        <v>3753</v>
      </c>
      <c r="CN36" s="87" t="s">
        <v>3581</v>
      </c>
      <c r="CO36" s="233"/>
      <c r="CP36" s="233"/>
      <c r="CQ36" s="233"/>
      <c r="CR36" s="21" t="s">
        <v>394</v>
      </c>
      <c r="CS36" s="21"/>
      <c r="CT36" s="14"/>
      <c r="CU36" s="14" t="s">
        <v>3564</v>
      </c>
      <c r="CV36" s="14">
        <v>2</v>
      </c>
      <c r="CW36" s="110" t="s">
        <v>3715</v>
      </c>
      <c r="CX36" s="14" t="s">
        <v>3716</v>
      </c>
      <c r="CY36" s="87" t="s">
        <v>3730</v>
      </c>
      <c r="CZ36" s="87" t="s">
        <v>3728</v>
      </c>
      <c r="DA36" s="14"/>
      <c r="DB36" s="21"/>
      <c r="DC36" s="233"/>
      <c r="DD36" s="21" t="s">
        <v>394</v>
      </c>
      <c r="DE36" s="21"/>
      <c r="DF36" s="14"/>
      <c r="DG36" s="14" t="s">
        <v>3564</v>
      </c>
      <c r="DH36" s="14">
        <v>2</v>
      </c>
      <c r="DI36" s="110" t="s">
        <v>3715</v>
      </c>
      <c r="DJ36" s="14" t="s">
        <v>3716</v>
      </c>
      <c r="DK36" s="87" t="s">
        <v>3730</v>
      </c>
      <c r="DL36" s="87" t="s">
        <v>3728</v>
      </c>
      <c r="DM36" s="14"/>
      <c r="DN36" s="21"/>
      <c r="DO36" s="233"/>
      <c r="DP36" s="21" t="s">
        <v>3788</v>
      </c>
      <c r="DQ36" s="21"/>
      <c r="DR36" s="14"/>
      <c r="DS36" s="14" t="s">
        <v>3803</v>
      </c>
      <c r="DT36" s="14">
        <v>1</v>
      </c>
      <c r="DU36" s="110" t="s">
        <v>3557</v>
      </c>
      <c r="DV36" s="14" t="s">
        <v>3947</v>
      </c>
      <c r="DW36" s="87" t="s">
        <v>3736</v>
      </c>
      <c r="DX36" s="87" t="s">
        <v>4209</v>
      </c>
      <c r="DY36" s="14"/>
      <c r="DZ36" s="233"/>
      <c r="EA36" s="233"/>
      <c r="EB36" s="21" t="s">
        <v>3577</v>
      </c>
      <c r="EC36" s="21"/>
      <c r="ED36" s="14"/>
      <c r="EE36" s="14" t="s">
        <v>3542</v>
      </c>
      <c r="EF36" s="14" t="s">
        <v>5036</v>
      </c>
      <c r="EG36" s="14" t="s">
        <v>3841</v>
      </c>
      <c r="EH36" s="14" t="s">
        <v>3716</v>
      </c>
      <c r="EI36" s="87" t="s">
        <v>3736</v>
      </c>
      <c r="EJ36" s="87" t="s">
        <v>4209</v>
      </c>
      <c r="EK36" s="14"/>
      <c r="EL36" s="233"/>
      <c r="EM36" s="233"/>
      <c r="EN36" s="21" t="s">
        <v>394</v>
      </c>
      <c r="EO36" s="21"/>
      <c r="EP36" s="14"/>
      <c r="EQ36" s="14" t="s">
        <v>3564</v>
      </c>
      <c r="ER36" s="14">
        <v>2</v>
      </c>
      <c r="ES36" s="110" t="s">
        <v>3715</v>
      </c>
      <c r="ET36" s="14" t="s">
        <v>3716</v>
      </c>
      <c r="EU36" s="87" t="s">
        <v>3730</v>
      </c>
      <c r="EV36" s="87" t="s">
        <v>3728</v>
      </c>
      <c r="EW36" s="14"/>
      <c r="EX36" s="21"/>
      <c r="EY36" s="233"/>
      <c r="EZ36" s="233"/>
      <c r="FA36" s="233"/>
      <c r="FB36" s="233"/>
      <c r="FC36" s="233"/>
      <c r="FD36" s="233"/>
    </row>
    <row r="37" spans="1:160">
      <c r="A37" s="20" t="s">
        <v>3471</v>
      </c>
      <c r="B37" s="14">
        <v>1</v>
      </c>
      <c r="C37" s="14" t="s">
        <v>3620</v>
      </c>
      <c r="D37" s="14" t="s">
        <v>5036</v>
      </c>
      <c r="E37" s="14" t="s">
        <v>3472</v>
      </c>
      <c r="F37" s="14" t="s">
        <v>3473</v>
      </c>
      <c r="G37" s="44" t="s">
        <v>3736</v>
      </c>
      <c r="H37" s="44" t="s">
        <v>3474</v>
      </c>
      <c r="I37" s="44" t="s">
        <v>3916</v>
      </c>
      <c r="J37" s="28" t="s">
        <v>4555</v>
      </c>
      <c r="K37" s="111"/>
      <c r="L37" s="21" t="s">
        <v>3939</v>
      </c>
      <c r="M37" s="14"/>
      <c r="N37" s="21"/>
      <c r="O37" s="14" t="s">
        <v>3940</v>
      </c>
      <c r="P37" s="14">
        <v>0</v>
      </c>
      <c r="Q37" s="14" t="s">
        <v>3941</v>
      </c>
      <c r="R37" s="14" t="s">
        <v>3914</v>
      </c>
      <c r="S37" s="44" t="s">
        <v>3765</v>
      </c>
      <c r="T37" s="44" t="s">
        <v>3746</v>
      </c>
      <c r="U37" s="14"/>
      <c r="V37" s="21"/>
      <c r="W37" s="21"/>
      <c r="X37" s="21" t="s">
        <v>3942</v>
      </c>
      <c r="Y37" s="21"/>
      <c r="Z37" s="14"/>
      <c r="AA37" s="14" t="s">
        <v>3943</v>
      </c>
      <c r="AB37" s="14">
        <v>0</v>
      </c>
      <c r="AC37" s="14" t="s">
        <v>3472</v>
      </c>
      <c r="AD37" s="14" t="s">
        <v>3979</v>
      </c>
      <c r="AE37" s="87" t="s">
        <v>3736</v>
      </c>
      <c r="AF37" s="87" t="s">
        <v>3728</v>
      </c>
      <c r="AG37" s="14"/>
      <c r="AH37" s="21"/>
      <c r="AI37" s="21"/>
      <c r="AJ37" s="21" t="s">
        <v>3944</v>
      </c>
      <c r="AK37" s="21"/>
      <c r="AL37" s="14"/>
      <c r="AM37" s="14" t="s">
        <v>3752</v>
      </c>
      <c r="AN37" s="14">
        <v>2</v>
      </c>
      <c r="AO37" s="110" t="s">
        <v>3569</v>
      </c>
      <c r="AP37" s="14" t="s">
        <v>3898</v>
      </c>
      <c r="AQ37" s="87" t="s">
        <v>3945</v>
      </c>
      <c r="AR37" s="87" t="s">
        <v>3915</v>
      </c>
      <c r="AS37" s="14"/>
      <c r="AT37" s="21"/>
      <c r="AU37" s="21"/>
      <c r="AV37" s="21" t="s">
        <v>3578</v>
      </c>
      <c r="AW37" s="21"/>
      <c r="AX37" s="14"/>
      <c r="AY37" s="14" t="s">
        <v>3387</v>
      </c>
      <c r="AZ37" s="14">
        <v>2</v>
      </c>
      <c r="BA37" s="14" t="s">
        <v>3925</v>
      </c>
      <c r="BB37" s="14" t="s">
        <v>3898</v>
      </c>
      <c r="BC37" s="87" t="s">
        <v>3765</v>
      </c>
      <c r="BD37" s="87" t="s">
        <v>3746</v>
      </c>
      <c r="BE37" s="14"/>
      <c r="BF37" s="21"/>
      <c r="BG37" s="21"/>
      <c r="BH37" s="21" t="s">
        <v>3579</v>
      </c>
      <c r="BI37" s="21"/>
      <c r="BJ37" s="14"/>
      <c r="BK37" s="14" t="s">
        <v>3546</v>
      </c>
      <c r="BL37" s="14">
        <v>2</v>
      </c>
      <c r="BM37" s="14" t="s">
        <v>3569</v>
      </c>
      <c r="BN37" s="14" t="s">
        <v>3573</v>
      </c>
      <c r="BO37" s="87" t="s">
        <v>3550</v>
      </c>
      <c r="BP37" s="87" t="s">
        <v>3580</v>
      </c>
      <c r="BQ37" s="14"/>
      <c r="BR37" s="21"/>
      <c r="BS37" s="233"/>
      <c r="BT37" s="21" t="s">
        <v>3788</v>
      </c>
      <c r="BU37" s="21"/>
      <c r="BV37" s="14"/>
      <c r="BW37" s="14" t="s">
        <v>3803</v>
      </c>
      <c r="BX37" s="14">
        <v>1</v>
      </c>
      <c r="BY37" s="110" t="s">
        <v>3557</v>
      </c>
      <c r="BZ37" s="14" t="s">
        <v>3947</v>
      </c>
      <c r="CA37" s="87" t="s">
        <v>3736</v>
      </c>
      <c r="CB37" s="87" t="s">
        <v>4209</v>
      </c>
      <c r="CC37" s="233"/>
      <c r="CD37" s="233"/>
      <c r="CE37" s="233"/>
      <c r="CF37" s="21" t="s">
        <v>3579</v>
      </c>
      <c r="CG37" s="21"/>
      <c r="CH37" s="14"/>
      <c r="CI37" s="14" t="s">
        <v>3546</v>
      </c>
      <c r="CJ37" s="14">
        <v>2</v>
      </c>
      <c r="CK37" s="14" t="s">
        <v>3569</v>
      </c>
      <c r="CL37" s="14" t="s">
        <v>3573</v>
      </c>
      <c r="CM37" s="87" t="s">
        <v>3550</v>
      </c>
      <c r="CN37" s="87" t="s">
        <v>3580</v>
      </c>
      <c r="CO37" s="233"/>
      <c r="CP37" s="233"/>
      <c r="CQ37" s="233"/>
      <c r="CR37" s="21" t="s">
        <v>3942</v>
      </c>
      <c r="CS37" s="21"/>
      <c r="CT37" s="14"/>
      <c r="CU37" s="14" t="s">
        <v>3943</v>
      </c>
      <c r="CV37" s="14">
        <v>0</v>
      </c>
      <c r="CW37" s="14" t="s">
        <v>3472</v>
      </c>
      <c r="CX37" s="14" t="s">
        <v>3979</v>
      </c>
      <c r="CY37" s="87" t="s">
        <v>3736</v>
      </c>
      <c r="CZ37" s="87" t="s">
        <v>3728</v>
      </c>
      <c r="DA37" s="14"/>
      <c r="DB37" s="21"/>
      <c r="DC37" s="233"/>
      <c r="DD37" s="21" t="s">
        <v>3942</v>
      </c>
      <c r="DE37" s="21"/>
      <c r="DF37" s="14"/>
      <c r="DG37" s="14" t="s">
        <v>3943</v>
      </c>
      <c r="DH37" s="14">
        <v>0</v>
      </c>
      <c r="DI37" s="14" t="s">
        <v>3472</v>
      </c>
      <c r="DJ37" s="14" t="s">
        <v>3979</v>
      </c>
      <c r="DK37" s="87" t="s">
        <v>3736</v>
      </c>
      <c r="DL37" s="87" t="s">
        <v>3728</v>
      </c>
      <c r="DM37" s="14"/>
      <c r="DN37" s="21"/>
      <c r="DO37" s="233"/>
      <c r="DP37" s="21" t="s">
        <v>3497</v>
      </c>
      <c r="DQ37" s="21"/>
      <c r="DR37" s="14"/>
      <c r="DS37" s="14" t="s">
        <v>3320</v>
      </c>
      <c r="DT37" s="14">
        <v>1</v>
      </c>
      <c r="DU37" s="110" t="s">
        <v>3498</v>
      </c>
      <c r="DV37" s="14" t="s">
        <v>3898</v>
      </c>
      <c r="DW37" s="87" t="s">
        <v>3321</v>
      </c>
      <c r="DX37" s="87" t="s">
        <v>3488</v>
      </c>
      <c r="DY37" s="14"/>
      <c r="DZ37" s="233"/>
      <c r="EA37" s="233"/>
      <c r="EB37" s="21" t="s">
        <v>3944</v>
      </c>
      <c r="EC37" s="21"/>
      <c r="ED37" s="14"/>
      <c r="EE37" s="14" t="s">
        <v>3752</v>
      </c>
      <c r="EF37" s="14">
        <v>2</v>
      </c>
      <c r="EG37" s="110" t="s">
        <v>3569</v>
      </c>
      <c r="EH37" s="14" t="s">
        <v>3898</v>
      </c>
      <c r="EI37" s="87" t="s">
        <v>3945</v>
      </c>
      <c r="EJ37" s="87" t="s">
        <v>3915</v>
      </c>
      <c r="EK37" s="14"/>
      <c r="EL37" s="233"/>
      <c r="EM37" s="233"/>
      <c r="EN37" s="21" t="s">
        <v>3942</v>
      </c>
      <c r="EO37" s="21"/>
      <c r="EP37" s="14"/>
      <c r="EQ37" s="14" t="s">
        <v>3943</v>
      </c>
      <c r="ER37" s="14">
        <v>0</v>
      </c>
      <c r="ES37" s="14" t="s">
        <v>3472</v>
      </c>
      <c r="ET37" s="14" t="s">
        <v>3979</v>
      </c>
      <c r="EU37" s="87" t="s">
        <v>3736</v>
      </c>
      <c r="EV37" s="87" t="s">
        <v>3728</v>
      </c>
      <c r="EW37" s="14"/>
      <c r="EX37" s="21"/>
      <c r="EY37" s="233"/>
      <c r="EZ37" s="233"/>
      <c r="FA37" s="233"/>
      <c r="FB37" s="233"/>
      <c r="FC37" s="233"/>
      <c r="FD37" s="233"/>
    </row>
    <row r="38" spans="1:160">
      <c r="A38" s="20" t="s">
        <v>3648</v>
      </c>
      <c r="B38" s="14">
        <v>1</v>
      </c>
      <c r="C38" s="14" t="s">
        <v>3649</v>
      </c>
      <c r="D38" s="14">
        <v>2</v>
      </c>
      <c r="E38" s="106" t="s">
        <v>3650</v>
      </c>
      <c r="F38" s="14" t="s">
        <v>3898</v>
      </c>
      <c r="G38" s="44" t="s">
        <v>3651</v>
      </c>
      <c r="H38" s="44" t="s">
        <v>3804</v>
      </c>
      <c r="I38" s="44" t="s">
        <v>3900</v>
      </c>
      <c r="J38" s="28" t="s">
        <v>4369</v>
      </c>
      <c r="K38" s="111"/>
      <c r="L38" s="21" t="s">
        <v>3578</v>
      </c>
      <c r="M38" s="14"/>
      <c r="N38" s="21"/>
      <c r="O38" s="14" t="s">
        <v>3387</v>
      </c>
      <c r="P38" s="14">
        <v>2</v>
      </c>
      <c r="Q38" s="110" t="s">
        <v>3925</v>
      </c>
      <c r="R38" s="14" t="s">
        <v>3898</v>
      </c>
      <c r="S38" s="44" t="s">
        <v>3765</v>
      </c>
      <c r="T38" s="44" t="s">
        <v>3746</v>
      </c>
      <c r="U38" s="14"/>
      <c r="V38" s="21"/>
      <c r="W38" s="21"/>
      <c r="X38" s="21" t="s">
        <v>3805</v>
      </c>
      <c r="Y38" s="21"/>
      <c r="Z38" s="14"/>
      <c r="AA38" s="14" t="s">
        <v>3622</v>
      </c>
      <c r="AB38" s="14">
        <v>2</v>
      </c>
      <c r="AC38" s="110" t="s">
        <v>3806</v>
      </c>
      <c r="AD38" s="14" t="s">
        <v>3898</v>
      </c>
      <c r="AE38" s="87" t="s">
        <v>3730</v>
      </c>
      <c r="AF38" s="87" t="s">
        <v>3608</v>
      </c>
      <c r="AG38" s="14"/>
      <c r="AH38" s="21"/>
      <c r="AI38" s="21"/>
      <c r="AJ38" s="21" t="s">
        <v>3609</v>
      </c>
      <c r="AK38" s="21"/>
      <c r="AL38" s="14"/>
      <c r="AM38" s="14" t="s">
        <v>3542</v>
      </c>
      <c r="AN38" s="14">
        <v>1</v>
      </c>
      <c r="AO38" s="14" t="s">
        <v>3569</v>
      </c>
      <c r="AP38" s="14" t="s">
        <v>3898</v>
      </c>
      <c r="AQ38" s="87" t="s">
        <v>3906</v>
      </c>
      <c r="AR38" s="87" t="s">
        <v>3610</v>
      </c>
      <c r="AS38" s="14"/>
      <c r="AT38" s="21"/>
      <c r="AU38" s="21"/>
      <c r="AV38" s="21" t="s">
        <v>389</v>
      </c>
      <c r="AW38" s="21"/>
      <c r="AX38" s="14"/>
      <c r="AY38" s="14" t="s">
        <v>5879</v>
      </c>
      <c r="AZ38" s="14" t="s">
        <v>5036</v>
      </c>
      <c r="BA38" s="110" t="s">
        <v>3999</v>
      </c>
      <c r="BB38" s="14" t="s">
        <v>3898</v>
      </c>
      <c r="BC38" s="44" t="s">
        <v>3575</v>
      </c>
      <c r="BD38" s="107" t="s">
        <v>390</v>
      </c>
      <c r="BE38" s="14"/>
      <c r="BF38" s="21"/>
      <c r="BG38" s="21"/>
      <c r="BH38" s="21" t="s">
        <v>3787</v>
      </c>
      <c r="BI38" s="21"/>
      <c r="BJ38" s="14"/>
      <c r="BK38" s="14" t="s">
        <v>3551</v>
      </c>
      <c r="BL38" s="14">
        <v>1</v>
      </c>
      <c r="BM38" s="110" t="s">
        <v>3999</v>
      </c>
      <c r="BN38" s="14" t="s">
        <v>3931</v>
      </c>
      <c r="BO38" s="87" t="s">
        <v>3743</v>
      </c>
      <c r="BP38" s="87" t="s">
        <v>3728</v>
      </c>
      <c r="BQ38" s="14"/>
      <c r="BR38" s="21"/>
      <c r="BS38" s="233"/>
      <c r="BT38" s="21" t="s">
        <v>3614</v>
      </c>
      <c r="BU38" s="21"/>
      <c r="BV38" s="14"/>
      <c r="BW38" s="112" t="s">
        <v>3615</v>
      </c>
      <c r="BX38" s="14">
        <v>1</v>
      </c>
      <c r="BY38" s="110" t="s">
        <v>3807</v>
      </c>
      <c r="BZ38" s="14" t="s">
        <v>3898</v>
      </c>
      <c r="CA38" s="87" t="s">
        <v>3616</v>
      </c>
      <c r="CB38" s="44" t="s">
        <v>3449</v>
      </c>
      <c r="CC38" s="233"/>
      <c r="CD38" s="233"/>
      <c r="CE38" s="233"/>
      <c r="CF38" s="21" t="s">
        <v>3787</v>
      </c>
      <c r="CG38" s="21"/>
      <c r="CH38" s="14"/>
      <c r="CI38" s="14" t="s">
        <v>3551</v>
      </c>
      <c r="CJ38" s="14">
        <v>1</v>
      </c>
      <c r="CK38" s="110" t="s">
        <v>3999</v>
      </c>
      <c r="CL38" s="14" t="s">
        <v>3931</v>
      </c>
      <c r="CM38" s="87" t="s">
        <v>3743</v>
      </c>
      <c r="CN38" s="87" t="s">
        <v>3728</v>
      </c>
      <c r="CO38" s="233"/>
      <c r="CP38" s="233"/>
      <c r="CQ38" s="233"/>
      <c r="CR38" s="21" t="s">
        <v>3805</v>
      </c>
      <c r="CS38" s="21"/>
      <c r="CT38" s="14"/>
      <c r="CU38" s="14" t="s">
        <v>3622</v>
      </c>
      <c r="CV38" s="14">
        <v>2</v>
      </c>
      <c r="CW38" s="110" t="s">
        <v>3806</v>
      </c>
      <c r="CX38" s="14" t="s">
        <v>3898</v>
      </c>
      <c r="CY38" s="87" t="s">
        <v>3730</v>
      </c>
      <c r="CZ38" s="87" t="s">
        <v>3608</v>
      </c>
      <c r="DA38" s="14"/>
      <c r="DB38" s="21"/>
      <c r="DC38" s="233"/>
      <c r="DD38" s="21" t="s">
        <v>3805</v>
      </c>
      <c r="DE38" s="21"/>
      <c r="DF38" s="14"/>
      <c r="DG38" s="14" t="s">
        <v>3622</v>
      </c>
      <c r="DH38" s="14">
        <v>2</v>
      </c>
      <c r="DI38" s="110" t="s">
        <v>3806</v>
      </c>
      <c r="DJ38" s="14" t="s">
        <v>3898</v>
      </c>
      <c r="DK38" s="87" t="s">
        <v>3730</v>
      </c>
      <c r="DL38" s="87" t="s">
        <v>3608</v>
      </c>
      <c r="DM38" s="14"/>
      <c r="DN38" s="21"/>
      <c r="DO38" s="233"/>
      <c r="DP38" s="21"/>
      <c r="DQ38" s="21"/>
      <c r="DR38" s="14"/>
      <c r="DS38" s="14"/>
      <c r="DT38" s="14"/>
      <c r="DU38" s="110"/>
      <c r="DV38" s="14"/>
      <c r="DW38" s="87"/>
      <c r="DX38" s="87"/>
      <c r="DY38" s="14"/>
      <c r="DZ38" s="233"/>
      <c r="EA38" s="233"/>
      <c r="EB38" s="21" t="s">
        <v>3609</v>
      </c>
      <c r="EC38" s="21"/>
      <c r="ED38" s="14"/>
      <c r="EE38" s="14" t="s">
        <v>3542</v>
      </c>
      <c r="EF38" s="14">
        <v>1</v>
      </c>
      <c r="EG38" s="14" t="s">
        <v>3569</v>
      </c>
      <c r="EH38" s="14" t="s">
        <v>3898</v>
      </c>
      <c r="EI38" s="87" t="s">
        <v>3906</v>
      </c>
      <c r="EJ38" s="87" t="s">
        <v>3610</v>
      </c>
      <c r="EK38" s="14"/>
      <c r="EL38" s="233"/>
      <c r="EM38" s="233"/>
      <c r="EN38" s="21" t="s">
        <v>3805</v>
      </c>
      <c r="EO38" s="21"/>
      <c r="EP38" s="14"/>
      <c r="EQ38" s="14" t="s">
        <v>3622</v>
      </c>
      <c r="ER38" s="14">
        <v>2</v>
      </c>
      <c r="ES38" s="110" t="s">
        <v>3806</v>
      </c>
      <c r="ET38" s="14" t="s">
        <v>3898</v>
      </c>
      <c r="EU38" s="87" t="s">
        <v>3730</v>
      </c>
      <c r="EV38" s="87" t="s">
        <v>3608</v>
      </c>
      <c r="EW38" s="14"/>
      <c r="EX38" s="21"/>
      <c r="EY38" s="233"/>
      <c r="EZ38" s="233"/>
      <c r="FA38" s="233"/>
      <c r="FB38" s="233"/>
      <c r="FC38" s="233"/>
      <c r="FD38" s="233"/>
    </row>
    <row r="39" spans="1:160">
      <c r="A39" s="20" t="s">
        <v>3653</v>
      </c>
      <c r="B39" s="14">
        <v>1</v>
      </c>
      <c r="C39" s="14" t="s">
        <v>3976</v>
      </c>
      <c r="D39" s="14">
        <v>1</v>
      </c>
      <c r="E39" s="110" t="s">
        <v>3654</v>
      </c>
      <c r="F39" s="14" t="s">
        <v>3898</v>
      </c>
      <c r="G39" s="44" t="s">
        <v>3765</v>
      </c>
      <c r="H39" s="44" t="s">
        <v>3746</v>
      </c>
      <c r="I39" s="44">
        <v>2</v>
      </c>
      <c r="J39" s="28" t="s">
        <v>4037</v>
      </c>
      <c r="K39" s="111"/>
      <c r="L39" s="21" t="s">
        <v>3450</v>
      </c>
      <c r="M39" s="14"/>
      <c r="N39" s="21"/>
      <c r="O39" s="14" t="s">
        <v>3542</v>
      </c>
      <c r="P39" s="14">
        <v>2</v>
      </c>
      <c r="Q39" s="110" t="s">
        <v>3451</v>
      </c>
      <c r="R39" s="14" t="s">
        <v>3898</v>
      </c>
      <c r="S39" s="44" t="s">
        <v>3452</v>
      </c>
      <c r="T39" s="44" t="s">
        <v>3453</v>
      </c>
      <c r="U39" s="14"/>
      <c r="V39" s="21"/>
      <c r="W39" s="21"/>
      <c r="X39" s="21" t="s">
        <v>3939</v>
      </c>
      <c r="Y39" s="21"/>
      <c r="Z39" s="14"/>
      <c r="AA39" s="14" t="s">
        <v>3940</v>
      </c>
      <c r="AB39" s="14">
        <v>0</v>
      </c>
      <c r="AC39" s="14" t="s">
        <v>3941</v>
      </c>
      <c r="AD39" s="14" t="s">
        <v>3914</v>
      </c>
      <c r="AE39" s="87" t="s">
        <v>3765</v>
      </c>
      <c r="AF39" s="87" t="s">
        <v>3746</v>
      </c>
      <c r="AG39" s="14"/>
      <c r="AH39" s="21"/>
      <c r="AI39" s="21"/>
      <c r="AJ39" s="21" t="s">
        <v>3454</v>
      </c>
      <c r="AK39" s="21"/>
      <c r="AL39" s="14"/>
      <c r="AM39" s="14" t="s">
        <v>3840</v>
      </c>
      <c r="AN39" s="14" t="s">
        <v>5036</v>
      </c>
      <c r="AO39" s="197" t="s">
        <v>3897</v>
      </c>
      <c r="AP39" s="14" t="s">
        <v>4066</v>
      </c>
      <c r="AQ39" s="111" t="s">
        <v>3736</v>
      </c>
      <c r="AR39" s="111" t="s">
        <v>3746</v>
      </c>
      <c r="AS39" s="14"/>
      <c r="AT39" s="21"/>
      <c r="AU39" s="21"/>
      <c r="AV39" s="21" t="s">
        <v>3784</v>
      </c>
      <c r="AW39" s="21"/>
      <c r="AX39" s="14"/>
      <c r="AY39" s="14" t="s">
        <v>3785</v>
      </c>
      <c r="AZ39" s="14">
        <v>3</v>
      </c>
      <c r="BA39" s="110" t="s">
        <v>3566</v>
      </c>
      <c r="BB39" s="14" t="s">
        <v>3548</v>
      </c>
      <c r="BC39" s="87" t="s">
        <v>3945</v>
      </c>
      <c r="BD39" s="87" t="s">
        <v>3786</v>
      </c>
      <c r="BE39" s="14"/>
      <c r="BF39" s="21"/>
      <c r="BG39" s="21"/>
      <c r="BH39" s="21" t="s">
        <v>3613</v>
      </c>
      <c r="BI39" s="21"/>
      <c r="BJ39" s="14"/>
      <c r="BK39" s="14" t="s">
        <v>3546</v>
      </c>
      <c r="BL39" s="14">
        <v>1</v>
      </c>
      <c r="BM39" s="14" t="s">
        <v>3925</v>
      </c>
      <c r="BN39" s="14" t="s">
        <v>3573</v>
      </c>
      <c r="BO39" s="87" t="s">
        <v>3759</v>
      </c>
      <c r="BP39" s="87" t="s">
        <v>3915</v>
      </c>
      <c r="BQ39" s="14"/>
      <c r="BR39" s="21"/>
      <c r="BS39" s="233"/>
      <c r="BT39" s="21"/>
      <c r="BU39" s="21"/>
      <c r="BV39" s="14"/>
      <c r="BW39" s="14"/>
      <c r="BX39" s="14"/>
      <c r="BY39" s="110"/>
      <c r="BZ39" s="14"/>
      <c r="CA39" s="14"/>
      <c r="CB39" s="87"/>
      <c r="CC39" s="233"/>
      <c r="CD39" s="233"/>
      <c r="CE39" s="233"/>
      <c r="CF39" s="21" t="s">
        <v>3613</v>
      </c>
      <c r="CG39" s="21"/>
      <c r="CH39" s="14"/>
      <c r="CI39" s="14" t="s">
        <v>3546</v>
      </c>
      <c r="CJ39" s="14">
        <v>1</v>
      </c>
      <c r="CK39" s="14" t="s">
        <v>3925</v>
      </c>
      <c r="CL39" s="14" t="s">
        <v>3573</v>
      </c>
      <c r="CM39" s="87" t="s">
        <v>3759</v>
      </c>
      <c r="CN39" s="87" t="s">
        <v>3915</v>
      </c>
      <c r="CO39" s="233"/>
      <c r="CP39" s="233"/>
      <c r="CQ39" s="233"/>
      <c r="CR39" s="21" t="s">
        <v>3939</v>
      </c>
      <c r="CS39" s="21"/>
      <c r="CT39" s="14"/>
      <c r="CU39" s="14" t="s">
        <v>3940</v>
      </c>
      <c r="CV39" s="14">
        <v>0</v>
      </c>
      <c r="CW39" s="14" t="s">
        <v>3941</v>
      </c>
      <c r="CX39" s="14" t="s">
        <v>3914</v>
      </c>
      <c r="CY39" s="87" t="s">
        <v>3765</v>
      </c>
      <c r="CZ39" s="87" t="s">
        <v>3746</v>
      </c>
      <c r="DA39" s="14"/>
      <c r="DB39" s="21"/>
      <c r="DC39" s="233"/>
      <c r="DD39" s="21" t="s">
        <v>3939</v>
      </c>
      <c r="DE39" s="21"/>
      <c r="DF39" s="14"/>
      <c r="DG39" s="14" t="s">
        <v>3940</v>
      </c>
      <c r="DH39" s="14">
        <v>0</v>
      </c>
      <c r="DI39" s="14" t="s">
        <v>3941</v>
      </c>
      <c r="DJ39" s="14" t="s">
        <v>3914</v>
      </c>
      <c r="DK39" s="87" t="s">
        <v>3765</v>
      </c>
      <c r="DL39" s="87" t="s">
        <v>3746</v>
      </c>
      <c r="DM39" s="14"/>
      <c r="DN39" s="21"/>
      <c r="DO39" s="233"/>
      <c r="DP39" s="21"/>
      <c r="DQ39" s="21"/>
      <c r="DR39" s="14"/>
      <c r="DS39" s="14"/>
      <c r="DT39" s="14"/>
      <c r="DU39" s="197"/>
      <c r="DV39" s="14"/>
      <c r="DW39" s="111"/>
      <c r="DX39" s="111"/>
      <c r="DY39" s="14"/>
      <c r="DZ39" s="233"/>
      <c r="EA39" s="233"/>
      <c r="EB39" s="21" t="s">
        <v>3454</v>
      </c>
      <c r="EC39" s="21"/>
      <c r="ED39" s="14"/>
      <c r="EE39" s="14" t="s">
        <v>3840</v>
      </c>
      <c r="EF39" s="14" t="s">
        <v>5036</v>
      </c>
      <c r="EG39" s="197" t="s">
        <v>3897</v>
      </c>
      <c r="EH39" s="14" t="s">
        <v>4066</v>
      </c>
      <c r="EI39" s="111" t="s">
        <v>3736</v>
      </c>
      <c r="EJ39" s="111" t="s">
        <v>3746</v>
      </c>
      <c r="EK39" s="14"/>
      <c r="EL39" s="233"/>
      <c r="EM39" s="233"/>
      <c r="EN39" s="21" t="s">
        <v>3939</v>
      </c>
      <c r="EO39" s="21"/>
      <c r="EP39" s="14"/>
      <c r="EQ39" s="14" t="s">
        <v>3940</v>
      </c>
      <c r="ER39" s="14">
        <v>0</v>
      </c>
      <c r="ES39" s="14" t="s">
        <v>3941</v>
      </c>
      <c r="ET39" s="14" t="s">
        <v>3914</v>
      </c>
      <c r="EU39" s="87" t="s">
        <v>3765</v>
      </c>
      <c r="EV39" s="87" t="s">
        <v>3746</v>
      </c>
      <c r="EW39" s="14"/>
      <c r="EX39" s="21"/>
      <c r="EY39" s="233"/>
      <c r="EZ39" s="233"/>
      <c r="FA39" s="233"/>
      <c r="FB39" s="233"/>
      <c r="FC39" s="233"/>
      <c r="FD39" s="233"/>
    </row>
    <row r="40" spans="1:160">
      <c r="A40" s="20" t="s">
        <v>3655</v>
      </c>
      <c r="B40" s="14">
        <v>1</v>
      </c>
      <c r="C40" s="14" t="s">
        <v>3620</v>
      </c>
      <c r="D40" s="14">
        <v>1</v>
      </c>
      <c r="E40" s="110" t="s">
        <v>4211</v>
      </c>
      <c r="F40" s="14" t="s">
        <v>3898</v>
      </c>
      <c r="G40" s="44" t="s">
        <v>3809</v>
      </c>
      <c r="H40" s="107" t="s">
        <v>3833</v>
      </c>
      <c r="I40" s="44" t="s">
        <v>3916</v>
      </c>
      <c r="J40" s="28" t="s">
        <v>4555</v>
      </c>
      <c r="K40" s="111"/>
      <c r="L40" s="21" t="s">
        <v>3290</v>
      </c>
      <c r="M40" s="14"/>
      <c r="N40" s="21"/>
      <c r="O40" s="14" t="s">
        <v>3803</v>
      </c>
      <c r="P40" s="14">
        <v>2</v>
      </c>
      <c r="Q40" s="110" t="s">
        <v>3812</v>
      </c>
      <c r="R40" s="14" t="s">
        <v>3716</v>
      </c>
      <c r="S40" s="44" t="s">
        <v>3291</v>
      </c>
      <c r="T40" s="44" t="s">
        <v>3292</v>
      </c>
      <c r="U40" s="14"/>
      <c r="V40" s="21"/>
      <c r="W40" s="21"/>
      <c r="X40" s="21" t="s">
        <v>3293</v>
      </c>
      <c r="Y40" s="21"/>
      <c r="Z40" s="14"/>
      <c r="AA40" s="14" t="s">
        <v>3622</v>
      </c>
      <c r="AB40" s="14">
        <v>1</v>
      </c>
      <c r="AC40" s="110" t="s">
        <v>3812</v>
      </c>
      <c r="AD40" s="14" t="s">
        <v>3735</v>
      </c>
      <c r="AE40" s="87" t="s">
        <v>3736</v>
      </c>
      <c r="AF40" s="87" t="s">
        <v>3488</v>
      </c>
      <c r="AG40" s="14"/>
      <c r="AH40" s="21"/>
      <c r="AI40" s="21"/>
      <c r="AJ40" s="21" t="s">
        <v>3450</v>
      </c>
      <c r="AK40" s="21"/>
      <c r="AL40" s="14"/>
      <c r="AM40" s="14" t="s">
        <v>3542</v>
      </c>
      <c r="AN40" s="14">
        <v>2</v>
      </c>
      <c r="AO40" s="110" t="s">
        <v>3451</v>
      </c>
      <c r="AP40" s="14" t="s">
        <v>3898</v>
      </c>
      <c r="AQ40" s="87" t="s">
        <v>3452</v>
      </c>
      <c r="AR40" s="87" t="s">
        <v>3453</v>
      </c>
      <c r="AS40" s="14"/>
      <c r="AT40" s="21"/>
      <c r="AU40" s="21"/>
      <c r="AV40" s="21" t="s">
        <v>3611</v>
      </c>
      <c r="AW40" s="21"/>
      <c r="AX40" s="14"/>
      <c r="AY40" s="14" t="s">
        <v>3785</v>
      </c>
      <c r="AZ40" s="14">
        <v>2</v>
      </c>
      <c r="BA40" s="14" t="s">
        <v>3807</v>
      </c>
      <c r="BB40" s="14" t="s">
        <v>3473</v>
      </c>
      <c r="BC40" s="87" t="s">
        <v>3612</v>
      </c>
      <c r="BD40" s="87" t="s">
        <v>3728</v>
      </c>
      <c r="BE40" s="14"/>
      <c r="BF40" s="21"/>
      <c r="BG40" s="21"/>
      <c r="BH40" s="21" t="s">
        <v>3628</v>
      </c>
      <c r="BI40" s="21"/>
      <c r="BJ40" s="14"/>
      <c r="BK40" s="14" t="s">
        <v>3546</v>
      </c>
      <c r="BL40" s="14">
        <v>4</v>
      </c>
      <c r="BM40" s="110" t="s">
        <v>3925</v>
      </c>
      <c r="BN40" s="14" t="s">
        <v>3898</v>
      </c>
      <c r="BO40" s="87" t="s">
        <v>3629</v>
      </c>
      <c r="BP40" s="87" t="s">
        <v>3465</v>
      </c>
      <c r="BQ40" s="14"/>
      <c r="BR40" s="21"/>
      <c r="BS40" s="233"/>
      <c r="BT40" s="21"/>
      <c r="BU40" s="21"/>
      <c r="BV40" s="14"/>
      <c r="BW40" s="14"/>
      <c r="BX40" s="14"/>
      <c r="BY40" s="14"/>
      <c r="BZ40" s="14"/>
      <c r="CA40" s="14"/>
      <c r="CB40" s="87"/>
      <c r="CC40" s="233"/>
      <c r="CD40" s="233"/>
      <c r="CE40" s="233"/>
      <c r="CF40" s="21" t="s">
        <v>3628</v>
      </c>
      <c r="CG40" s="21"/>
      <c r="CH40" s="14"/>
      <c r="CI40" s="14" t="s">
        <v>3546</v>
      </c>
      <c r="CJ40" s="14">
        <v>4</v>
      </c>
      <c r="CK40" s="110" t="s">
        <v>3925</v>
      </c>
      <c r="CL40" s="14" t="s">
        <v>3898</v>
      </c>
      <c r="CM40" s="87" t="s">
        <v>3629</v>
      </c>
      <c r="CN40" s="87" t="s">
        <v>3465</v>
      </c>
      <c r="CO40" s="233"/>
      <c r="CP40" s="233"/>
      <c r="CQ40" s="233"/>
      <c r="CR40" s="21" t="s">
        <v>3293</v>
      </c>
      <c r="CS40" s="21"/>
      <c r="CT40" s="14"/>
      <c r="CU40" s="14" t="s">
        <v>3622</v>
      </c>
      <c r="CV40" s="14">
        <v>1</v>
      </c>
      <c r="CW40" s="110" t="s">
        <v>3812</v>
      </c>
      <c r="CX40" s="14" t="s">
        <v>3735</v>
      </c>
      <c r="CY40" s="87" t="s">
        <v>3736</v>
      </c>
      <c r="CZ40" s="87" t="s">
        <v>3488</v>
      </c>
      <c r="DA40" s="14"/>
      <c r="DB40" s="21"/>
      <c r="DC40" s="233"/>
      <c r="DD40" s="21" t="s">
        <v>3293</v>
      </c>
      <c r="DE40" s="21"/>
      <c r="DF40" s="14"/>
      <c r="DG40" s="14" t="s">
        <v>3622</v>
      </c>
      <c r="DH40" s="14">
        <v>1</v>
      </c>
      <c r="DI40" s="110" t="s">
        <v>3812</v>
      </c>
      <c r="DJ40" s="14" t="s">
        <v>3735</v>
      </c>
      <c r="DK40" s="87" t="s">
        <v>3736</v>
      </c>
      <c r="DL40" s="87" t="s">
        <v>3488</v>
      </c>
      <c r="DM40" s="14"/>
      <c r="DN40" s="21"/>
      <c r="DO40" s="233"/>
      <c r="DP40" s="21"/>
      <c r="DQ40" s="21"/>
      <c r="DR40" s="14"/>
      <c r="DS40" s="14"/>
      <c r="DT40" s="14"/>
      <c r="DU40" s="110"/>
      <c r="DV40" s="14"/>
      <c r="DW40" s="87"/>
      <c r="DX40" s="87"/>
      <c r="DY40" s="14"/>
      <c r="DZ40" s="233"/>
      <c r="EA40" s="233"/>
      <c r="EB40" s="21" t="s">
        <v>3450</v>
      </c>
      <c r="EC40" s="21"/>
      <c r="ED40" s="14"/>
      <c r="EE40" s="14" t="s">
        <v>3542</v>
      </c>
      <c r="EF40" s="14">
        <v>2</v>
      </c>
      <c r="EG40" s="110" t="s">
        <v>3451</v>
      </c>
      <c r="EH40" s="14" t="s">
        <v>3898</v>
      </c>
      <c r="EI40" s="87" t="s">
        <v>3452</v>
      </c>
      <c r="EJ40" s="87" t="s">
        <v>3453</v>
      </c>
      <c r="EK40" s="14"/>
      <c r="EL40" s="233"/>
      <c r="EM40" s="233"/>
      <c r="EN40" s="21" t="s">
        <v>3293</v>
      </c>
      <c r="EO40" s="21"/>
      <c r="EP40" s="14"/>
      <c r="EQ40" s="14" t="s">
        <v>3622</v>
      </c>
      <c r="ER40" s="14">
        <v>1</v>
      </c>
      <c r="ES40" s="110" t="s">
        <v>3812</v>
      </c>
      <c r="ET40" s="14" t="s">
        <v>3735</v>
      </c>
      <c r="EU40" s="87" t="s">
        <v>3736</v>
      </c>
      <c r="EV40" s="87" t="s">
        <v>3488</v>
      </c>
      <c r="EW40" s="14"/>
      <c r="EX40" s="21"/>
      <c r="EY40" s="233"/>
      <c r="EZ40" s="233"/>
      <c r="FA40" s="233"/>
      <c r="FB40" s="233"/>
      <c r="FC40" s="233"/>
      <c r="FD40" s="233"/>
    </row>
    <row r="41" spans="1:160">
      <c r="A41" s="20" t="s">
        <v>3839</v>
      </c>
      <c r="B41" s="14">
        <v>1</v>
      </c>
      <c r="C41" s="14" t="s">
        <v>3840</v>
      </c>
      <c r="D41" s="14" t="s">
        <v>5036</v>
      </c>
      <c r="E41" s="197" t="s">
        <v>3841</v>
      </c>
      <c r="F41" s="14" t="s">
        <v>3487</v>
      </c>
      <c r="G41" s="111" t="s">
        <v>3736</v>
      </c>
      <c r="H41" s="111" t="s">
        <v>3488</v>
      </c>
      <c r="I41" s="44" t="s">
        <v>3900</v>
      </c>
      <c r="J41" s="28" t="s">
        <v>4369</v>
      </c>
      <c r="K41" s="111"/>
      <c r="L41" s="21" t="s">
        <v>3298</v>
      </c>
      <c r="M41" s="14"/>
      <c r="N41" s="21"/>
      <c r="O41" s="14" t="s">
        <v>3752</v>
      </c>
      <c r="P41" s="14">
        <v>1</v>
      </c>
      <c r="Q41" s="110" t="s">
        <v>3569</v>
      </c>
      <c r="R41" s="14" t="s">
        <v>3898</v>
      </c>
      <c r="S41" s="44" t="s">
        <v>3901</v>
      </c>
      <c r="T41" s="44" t="s">
        <v>3299</v>
      </c>
      <c r="U41" s="14"/>
      <c r="V41" s="21"/>
      <c r="W41" s="21"/>
      <c r="X41" s="21" t="s">
        <v>3300</v>
      </c>
      <c r="Y41" s="21"/>
      <c r="Z41" s="14"/>
      <c r="AA41" s="14" t="s">
        <v>3622</v>
      </c>
      <c r="AB41" s="14" t="s">
        <v>3478</v>
      </c>
      <c r="AC41" s="14" t="s">
        <v>3415</v>
      </c>
      <c r="AD41" s="14" t="s">
        <v>3898</v>
      </c>
      <c r="AE41" s="87" t="s">
        <v>3765</v>
      </c>
      <c r="AF41" s="87" t="s">
        <v>3479</v>
      </c>
      <c r="AG41" s="14"/>
      <c r="AH41" s="21"/>
      <c r="AI41" s="21"/>
      <c r="AJ41" s="21" t="s">
        <v>3298</v>
      </c>
      <c r="AK41" s="21"/>
      <c r="AL41" s="14"/>
      <c r="AM41" s="14" t="s">
        <v>3752</v>
      </c>
      <c r="AN41" s="14">
        <v>1</v>
      </c>
      <c r="AO41" s="14" t="s">
        <v>3569</v>
      </c>
      <c r="AP41" s="14" t="s">
        <v>3898</v>
      </c>
      <c r="AQ41" s="87" t="s">
        <v>3901</v>
      </c>
      <c r="AR41" s="87" t="s">
        <v>3299</v>
      </c>
      <c r="AS41" s="14"/>
      <c r="AT41" s="21"/>
      <c r="AU41" s="21"/>
      <c r="AV41" s="21" t="s">
        <v>3627</v>
      </c>
      <c r="AW41" s="21"/>
      <c r="AX41" s="14"/>
      <c r="AY41" s="14" t="s">
        <v>3785</v>
      </c>
      <c r="AZ41" s="14">
        <v>1</v>
      </c>
      <c r="BA41" s="110" t="s">
        <v>3807</v>
      </c>
      <c r="BB41" s="14" t="s">
        <v>3548</v>
      </c>
      <c r="BC41" s="87" t="s">
        <v>3759</v>
      </c>
      <c r="BD41" s="87" t="s">
        <v>3728</v>
      </c>
      <c r="BE41" s="14"/>
      <c r="BF41" s="21"/>
      <c r="BG41" s="21"/>
      <c r="BH41" s="21" t="s">
        <v>3296</v>
      </c>
      <c r="BI41" s="21"/>
      <c r="BJ41" s="14"/>
      <c r="BK41" s="14" t="s">
        <v>3295</v>
      </c>
      <c r="BL41" s="14">
        <v>1</v>
      </c>
      <c r="BM41" s="110" t="s">
        <v>3749</v>
      </c>
      <c r="BN41" s="14" t="s">
        <v>3851</v>
      </c>
      <c r="BO41" s="111" t="s">
        <v>3948</v>
      </c>
      <c r="BP41" s="111" t="s">
        <v>3297</v>
      </c>
      <c r="BQ41" s="14"/>
      <c r="BR41" s="21"/>
      <c r="BS41" s="233"/>
      <c r="BT41" s="21"/>
      <c r="BU41" s="21"/>
      <c r="BV41" s="14"/>
      <c r="BW41" s="14"/>
      <c r="BX41" s="14"/>
      <c r="BY41" s="110"/>
      <c r="BZ41" s="14"/>
      <c r="CA41" s="14"/>
      <c r="CB41" s="87"/>
      <c r="CC41" s="233"/>
      <c r="CD41" s="233"/>
      <c r="CE41" s="233"/>
      <c r="CF41" s="21" t="s">
        <v>3296</v>
      </c>
      <c r="CG41" s="21"/>
      <c r="CH41" s="14"/>
      <c r="CI41" s="14" t="s">
        <v>3295</v>
      </c>
      <c r="CJ41" s="14">
        <v>1</v>
      </c>
      <c r="CK41" s="110" t="s">
        <v>3749</v>
      </c>
      <c r="CL41" s="14" t="s">
        <v>3851</v>
      </c>
      <c r="CM41" s="111" t="s">
        <v>3948</v>
      </c>
      <c r="CN41" s="111" t="s">
        <v>3297</v>
      </c>
      <c r="CO41" s="233"/>
      <c r="CP41" s="233"/>
      <c r="CQ41" s="233"/>
      <c r="CR41" s="21" t="s">
        <v>3300</v>
      </c>
      <c r="CS41" s="21"/>
      <c r="CT41" s="14"/>
      <c r="CU41" s="14" t="s">
        <v>3622</v>
      </c>
      <c r="CV41" s="14" t="s">
        <v>3478</v>
      </c>
      <c r="CW41" s="14" t="s">
        <v>3415</v>
      </c>
      <c r="CX41" s="14" t="s">
        <v>3898</v>
      </c>
      <c r="CY41" s="87" t="s">
        <v>3765</v>
      </c>
      <c r="CZ41" s="87" t="s">
        <v>3479</v>
      </c>
      <c r="DA41" s="14"/>
      <c r="DB41" s="21"/>
      <c r="DC41" s="233"/>
      <c r="DD41" s="21" t="s">
        <v>3300</v>
      </c>
      <c r="DE41" s="21"/>
      <c r="DF41" s="14"/>
      <c r="DG41" s="14" t="s">
        <v>3622</v>
      </c>
      <c r="DH41" s="14" t="s">
        <v>3478</v>
      </c>
      <c r="DI41" s="14" t="s">
        <v>3415</v>
      </c>
      <c r="DJ41" s="14" t="s">
        <v>3898</v>
      </c>
      <c r="DK41" s="87" t="s">
        <v>3765</v>
      </c>
      <c r="DL41" s="87" t="s">
        <v>3479</v>
      </c>
      <c r="DM41" s="14"/>
      <c r="DN41" s="21"/>
      <c r="DO41" s="233"/>
      <c r="DP41" s="21"/>
      <c r="DQ41" s="21"/>
      <c r="DR41" s="14"/>
      <c r="DS41" s="14"/>
      <c r="DT41" s="14"/>
      <c r="DU41" s="14"/>
      <c r="DV41" s="14"/>
      <c r="DW41" s="87"/>
      <c r="DX41" s="87"/>
      <c r="DY41" s="14"/>
      <c r="DZ41" s="233"/>
      <c r="EA41" s="233"/>
      <c r="EB41" s="21" t="s">
        <v>3298</v>
      </c>
      <c r="EC41" s="21"/>
      <c r="ED41" s="14"/>
      <c r="EE41" s="14" t="s">
        <v>3752</v>
      </c>
      <c r="EF41" s="14">
        <v>1</v>
      </c>
      <c r="EG41" s="14" t="s">
        <v>3569</v>
      </c>
      <c r="EH41" s="14" t="s">
        <v>3898</v>
      </c>
      <c r="EI41" s="87" t="s">
        <v>3901</v>
      </c>
      <c r="EJ41" s="87" t="s">
        <v>3299</v>
      </c>
      <c r="EK41" s="14"/>
      <c r="EL41" s="233"/>
      <c r="EM41" s="233"/>
      <c r="EN41" s="21" t="s">
        <v>3300</v>
      </c>
      <c r="EO41" s="21"/>
      <c r="EP41" s="14"/>
      <c r="EQ41" s="14" t="s">
        <v>3622</v>
      </c>
      <c r="ER41" s="14" t="s">
        <v>3478</v>
      </c>
      <c r="ES41" s="14" t="s">
        <v>3415</v>
      </c>
      <c r="ET41" s="14" t="s">
        <v>3898</v>
      </c>
      <c r="EU41" s="87" t="s">
        <v>3765</v>
      </c>
      <c r="EV41" s="87" t="s">
        <v>3479</v>
      </c>
      <c r="EW41" s="14"/>
      <c r="EX41" s="21"/>
      <c r="EY41" s="233"/>
      <c r="EZ41" s="233"/>
      <c r="FA41" s="233"/>
      <c r="FB41" s="233"/>
      <c r="FC41" s="233"/>
      <c r="FD41" s="233"/>
    </row>
    <row r="42" spans="1:160">
      <c r="A42" s="20" t="s">
        <v>3842</v>
      </c>
      <c r="B42" s="14">
        <v>1</v>
      </c>
      <c r="C42" s="14" t="s">
        <v>4214</v>
      </c>
      <c r="D42" s="14">
        <v>1</v>
      </c>
      <c r="E42" s="110" t="s">
        <v>3812</v>
      </c>
      <c r="F42" s="14" t="s">
        <v>3898</v>
      </c>
      <c r="G42" s="111" t="s">
        <v>3843</v>
      </c>
      <c r="H42" s="111" t="s">
        <v>3482</v>
      </c>
      <c r="I42" s="44" t="s">
        <v>3900</v>
      </c>
      <c r="J42" s="28" t="s">
        <v>4555</v>
      </c>
      <c r="K42" s="111"/>
      <c r="L42" s="21" t="s">
        <v>3627</v>
      </c>
      <c r="M42" s="14"/>
      <c r="N42" s="21"/>
      <c r="O42" s="14" t="s">
        <v>3785</v>
      </c>
      <c r="P42" s="14">
        <v>1</v>
      </c>
      <c r="Q42" s="110" t="s">
        <v>3807</v>
      </c>
      <c r="R42" s="14" t="s">
        <v>3548</v>
      </c>
      <c r="S42" s="44" t="s">
        <v>3759</v>
      </c>
      <c r="T42" s="44" t="s">
        <v>3728</v>
      </c>
      <c r="U42" s="14"/>
      <c r="V42" s="21"/>
      <c r="W42" s="21"/>
      <c r="X42" s="21" t="s">
        <v>3290</v>
      </c>
      <c r="Y42" s="21"/>
      <c r="Z42" s="14"/>
      <c r="AA42" s="14" t="s">
        <v>3803</v>
      </c>
      <c r="AB42" s="14">
        <v>2</v>
      </c>
      <c r="AC42" s="110" t="s">
        <v>3812</v>
      </c>
      <c r="AD42" s="14" t="s">
        <v>3716</v>
      </c>
      <c r="AE42" s="87" t="s">
        <v>3291</v>
      </c>
      <c r="AF42" s="87" t="s">
        <v>3292</v>
      </c>
      <c r="AG42" s="14"/>
      <c r="AH42" s="21"/>
      <c r="AI42" s="21"/>
      <c r="AJ42" s="21" t="s">
        <v>3483</v>
      </c>
      <c r="AK42" s="21"/>
      <c r="AL42" s="14"/>
      <c r="AM42" s="14" t="s">
        <v>3484</v>
      </c>
      <c r="AN42" s="14">
        <v>1</v>
      </c>
      <c r="AO42" s="110" t="s">
        <v>3569</v>
      </c>
      <c r="AP42" s="14" t="s">
        <v>3485</v>
      </c>
      <c r="AQ42" s="87" t="s">
        <v>3843</v>
      </c>
      <c r="AR42" s="44" t="s">
        <v>3656</v>
      </c>
      <c r="AS42" s="14"/>
      <c r="AT42" s="21"/>
      <c r="AU42" s="21"/>
      <c r="AV42" s="21" t="s">
        <v>3294</v>
      </c>
      <c r="AW42" s="21"/>
      <c r="AX42" s="14"/>
      <c r="AY42" s="14" t="s">
        <v>3295</v>
      </c>
      <c r="AZ42" s="14">
        <v>1</v>
      </c>
      <c r="BA42" s="110" t="s">
        <v>3934</v>
      </c>
      <c r="BB42" s="14" t="s">
        <v>3548</v>
      </c>
      <c r="BC42" s="111" t="s">
        <v>3843</v>
      </c>
      <c r="BD42" s="111" t="s">
        <v>3915</v>
      </c>
      <c r="BE42" s="14"/>
      <c r="BF42" s="21"/>
      <c r="BG42" s="21"/>
      <c r="BH42" s="101" t="s">
        <v>3480</v>
      </c>
      <c r="BI42" s="21"/>
      <c r="BJ42" s="14"/>
      <c r="BK42" s="14" t="s">
        <v>4214</v>
      </c>
      <c r="BL42" s="14">
        <v>1</v>
      </c>
      <c r="BM42" s="110" t="s">
        <v>3749</v>
      </c>
      <c r="BN42" s="14" t="s">
        <v>3481</v>
      </c>
      <c r="BO42" s="14" t="s">
        <v>3550</v>
      </c>
      <c r="BP42" s="14" t="s">
        <v>3915</v>
      </c>
      <c r="BQ42" s="14"/>
      <c r="BR42" s="21"/>
      <c r="BS42" s="233"/>
      <c r="BT42" s="21"/>
      <c r="BU42" s="21"/>
      <c r="BV42" s="14"/>
      <c r="BW42" s="14"/>
      <c r="BX42" s="14"/>
      <c r="BY42" s="110"/>
      <c r="BZ42" s="14"/>
      <c r="CA42" s="14"/>
      <c r="CB42" s="206"/>
      <c r="CC42" s="233"/>
      <c r="CD42" s="233"/>
      <c r="CE42" s="233"/>
      <c r="CF42" s="101" t="s">
        <v>3480</v>
      </c>
      <c r="CG42" s="21"/>
      <c r="CH42" s="14"/>
      <c r="CI42" s="14" t="s">
        <v>4214</v>
      </c>
      <c r="CJ42" s="14">
        <v>1</v>
      </c>
      <c r="CK42" s="110" t="s">
        <v>3749</v>
      </c>
      <c r="CL42" s="14" t="s">
        <v>3481</v>
      </c>
      <c r="CM42" s="14" t="s">
        <v>3550</v>
      </c>
      <c r="CN42" s="14" t="s">
        <v>3915</v>
      </c>
      <c r="CO42" s="233"/>
      <c r="CP42" s="233"/>
      <c r="CQ42" s="233"/>
      <c r="CR42" s="21" t="s">
        <v>3290</v>
      </c>
      <c r="CS42" s="21"/>
      <c r="CT42" s="14"/>
      <c r="CU42" s="14" t="s">
        <v>3803</v>
      </c>
      <c r="CV42" s="14">
        <v>2</v>
      </c>
      <c r="CW42" s="110" t="s">
        <v>3812</v>
      </c>
      <c r="CX42" s="14" t="s">
        <v>3716</v>
      </c>
      <c r="CY42" s="87" t="s">
        <v>3291</v>
      </c>
      <c r="CZ42" s="87" t="s">
        <v>3292</v>
      </c>
      <c r="DA42" s="14"/>
      <c r="DB42" s="21"/>
      <c r="DC42" s="233"/>
      <c r="DD42" s="21" t="s">
        <v>3290</v>
      </c>
      <c r="DE42" s="21"/>
      <c r="DF42" s="14"/>
      <c r="DG42" s="14" t="s">
        <v>3803</v>
      </c>
      <c r="DH42" s="14">
        <v>2</v>
      </c>
      <c r="DI42" s="110" t="s">
        <v>3812</v>
      </c>
      <c r="DJ42" s="14" t="s">
        <v>3716</v>
      </c>
      <c r="DK42" s="87" t="s">
        <v>3291</v>
      </c>
      <c r="DL42" s="87" t="s">
        <v>3292</v>
      </c>
      <c r="DM42" s="14"/>
      <c r="DN42" s="21"/>
      <c r="DO42" s="233"/>
      <c r="DP42" s="21"/>
      <c r="DQ42" s="21"/>
      <c r="DR42" s="14"/>
      <c r="DS42" s="14"/>
      <c r="DT42" s="14"/>
      <c r="DU42" s="110"/>
      <c r="DV42" s="14"/>
      <c r="DW42" s="87"/>
      <c r="DX42" s="44"/>
      <c r="DY42" s="14"/>
      <c r="DZ42" s="233"/>
      <c r="EA42" s="233"/>
      <c r="EB42" s="21" t="s">
        <v>3483</v>
      </c>
      <c r="EC42" s="21"/>
      <c r="ED42" s="14"/>
      <c r="EE42" s="14" t="s">
        <v>3484</v>
      </c>
      <c r="EF42" s="14">
        <v>1</v>
      </c>
      <c r="EG42" s="110" t="s">
        <v>3569</v>
      </c>
      <c r="EH42" s="14" t="s">
        <v>3485</v>
      </c>
      <c r="EI42" s="87" t="s">
        <v>3843</v>
      </c>
      <c r="EJ42" s="44" t="s">
        <v>3656</v>
      </c>
      <c r="EK42" s="14"/>
      <c r="EL42" s="233"/>
      <c r="EM42" s="233"/>
      <c r="EN42" s="21" t="s">
        <v>3290</v>
      </c>
      <c r="EO42" s="21"/>
      <c r="EP42" s="14"/>
      <c r="EQ42" s="14" t="s">
        <v>3803</v>
      </c>
      <c r="ER42" s="14">
        <v>2</v>
      </c>
      <c r="ES42" s="110" t="s">
        <v>3812</v>
      </c>
      <c r="ET42" s="14" t="s">
        <v>3716</v>
      </c>
      <c r="EU42" s="87" t="s">
        <v>3291</v>
      </c>
      <c r="EV42" s="87" t="s">
        <v>3292</v>
      </c>
      <c r="EW42" s="14"/>
      <c r="EX42" s="21"/>
      <c r="EY42" s="233"/>
      <c r="EZ42" s="233"/>
      <c r="FA42" s="233"/>
      <c r="FB42" s="233"/>
      <c r="FC42" s="233"/>
      <c r="FD42" s="233"/>
    </row>
    <row r="43" spans="1:160">
      <c r="A43" s="20" t="s">
        <v>3834</v>
      </c>
      <c r="B43" s="14">
        <v>1</v>
      </c>
      <c r="C43" s="14" t="s">
        <v>3907</v>
      </c>
      <c r="D43" s="14">
        <v>1</v>
      </c>
      <c r="E43" s="110" t="s">
        <v>3569</v>
      </c>
      <c r="F43" s="14" t="s">
        <v>3947</v>
      </c>
      <c r="G43" s="44" t="s">
        <v>3835</v>
      </c>
      <c r="H43" s="44" t="s">
        <v>3836</v>
      </c>
      <c r="I43" s="44" t="s">
        <v>3657</v>
      </c>
      <c r="J43" s="28" t="s">
        <v>3658</v>
      </c>
      <c r="K43" s="111"/>
      <c r="L43" s="21" t="s">
        <v>3659</v>
      </c>
      <c r="M43" s="14"/>
      <c r="N43" s="21"/>
      <c r="O43" s="14" t="s">
        <v>3940</v>
      </c>
      <c r="P43" s="14">
        <v>1</v>
      </c>
      <c r="Q43" s="110" t="s">
        <v>3569</v>
      </c>
      <c r="R43" s="14" t="s">
        <v>3914</v>
      </c>
      <c r="S43" s="44" t="s">
        <v>3759</v>
      </c>
      <c r="T43" s="44" t="s">
        <v>3660</v>
      </c>
      <c r="U43" s="14"/>
      <c r="V43" s="21"/>
      <c r="W43" s="21"/>
      <c r="X43" s="21" t="s">
        <v>3661</v>
      </c>
      <c r="Y43" s="21"/>
      <c r="Z43" s="14"/>
      <c r="AA43" s="14" t="s">
        <v>3940</v>
      </c>
      <c r="AB43" s="14">
        <v>1</v>
      </c>
      <c r="AC43" s="110" t="s">
        <v>3569</v>
      </c>
      <c r="AD43" s="14" t="s">
        <v>3898</v>
      </c>
      <c r="AE43" s="87" t="s">
        <v>3550</v>
      </c>
      <c r="AF43" s="206" t="s">
        <v>3318</v>
      </c>
      <c r="AG43" s="14"/>
      <c r="AH43" s="21"/>
      <c r="AI43" s="21"/>
      <c r="AJ43" s="21" t="s">
        <v>3319</v>
      </c>
      <c r="AK43" s="21"/>
      <c r="AL43" s="14"/>
      <c r="AM43" s="14" t="s">
        <v>3320</v>
      </c>
      <c r="AN43" s="14">
        <v>2</v>
      </c>
      <c r="AO43" s="110" t="s">
        <v>3654</v>
      </c>
      <c r="AP43" s="14" t="s">
        <v>3898</v>
      </c>
      <c r="AQ43" s="87" t="s">
        <v>3321</v>
      </c>
      <c r="AR43" s="87" t="s">
        <v>3915</v>
      </c>
      <c r="AS43" s="14"/>
      <c r="AT43" s="21"/>
      <c r="AU43" s="21"/>
      <c r="AV43" s="21"/>
      <c r="AW43" s="21"/>
      <c r="AX43" s="14"/>
      <c r="AY43" s="14"/>
      <c r="AZ43" s="14"/>
      <c r="BA43" s="110"/>
      <c r="BB43" s="14"/>
      <c r="BC43" s="14"/>
      <c r="BD43" s="87"/>
      <c r="BE43" s="14"/>
      <c r="BF43" s="21"/>
      <c r="BG43" s="21"/>
      <c r="BH43" s="21"/>
      <c r="BI43" s="21"/>
      <c r="BJ43" s="14"/>
      <c r="BK43" s="14"/>
      <c r="BL43" s="14"/>
      <c r="BM43" s="110"/>
      <c r="BN43" s="14"/>
      <c r="BO43" s="14"/>
      <c r="BP43" s="87"/>
      <c r="BQ43" s="14"/>
      <c r="BR43" s="21"/>
      <c r="BS43" s="233"/>
      <c r="BT43" s="21"/>
      <c r="BU43" s="21"/>
      <c r="BV43" s="14"/>
      <c r="BW43" s="14"/>
      <c r="BX43" s="14"/>
      <c r="BY43" s="110"/>
      <c r="BZ43" s="14"/>
      <c r="CA43" s="14"/>
      <c r="CB43" s="87"/>
      <c r="CC43" s="233"/>
      <c r="CD43" s="233"/>
      <c r="CE43" s="233"/>
      <c r="CF43" s="21"/>
      <c r="CG43" s="21"/>
      <c r="CH43" s="14"/>
      <c r="CI43" s="14"/>
      <c r="CJ43" s="14"/>
      <c r="CK43" s="110"/>
      <c r="CL43" s="14"/>
      <c r="CM43" s="14"/>
      <c r="CN43" s="87"/>
      <c r="CO43" s="233"/>
      <c r="CP43" s="233"/>
      <c r="CQ43" s="233"/>
      <c r="CR43" s="21" t="s">
        <v>3661</v>
      </c>
      <c r="CS43" s="21"/>
      <c r="CT43" s="14"/>
      <c r="CU43" s="14" t="s">
        <v>3940</v>
      </c>
      <c r="CV43" s="14">
        <v>1</v>
      </c>
      <c r="CW43" s="110" t="s">
        <v>3569</v>
      </c>
      <c r="CX43" s="14" t="s">
        <v>3898</v>
      </c>
      <c r="CY43" s="87" t="s">
        <v>3550</v>
      </c>
      <c r="CZ43" s="206" t="s">
        <v>3318</v>
      </c>
      <c r="DA43" s="14"/>
      <c r="DB43" s="21"/>
      <c r="DC43" s="233"/>
      <c r="DD43" s="21" t="s">
        <v>3661</v>
      </c>
      <c r="DE43" s="21"/>
      <c r="DF43" s="14"/>
      <c r="DG43" s="14" t="s">
        <v>3940</v>
      </c>
      <c r="DH43" s="14">
        <v>1</v>
      </c>
      <c r="DI43" s="110" t="s">
        <v>3569</v>
      </c>
      <c r="DJ43" s="14" t="s">
        <v>3898</v>
      </c>
      <c r="DK43" s="87" t="s">
        <v>3550</v>
      </c>
      <c r="DL43" s="206" t="s">
        <v>3318</v>
      </c>
      <c r="DM43" s="14"/>
      <c r="DN43" s="21"/>
      <c r="DO43" s="233"/>
      <c r="DP43" s="21"/>
      <c r="DQ43" s="21"/>
      <c r="DR43" s="14"/>
      <c r="DS43" s="14"/>
      <c r="DT43" s="14"/>
      <c r="DU43" s="110"/>
      <c r="DV43" s="14"/>
      <c r="DW43" s="87"/>
      <c r="DX43" s="87"/>
      <c r="DY43" s="14"/>
      <c r="DZ43" s="233"/>
      <c r="EA43" s="233"/>
      <c r="EB43" s="21" t="s">
        <v>3319</v>
      </c>
      <c r="EC43" s="21"/>
      <c r="ED43" s="14"/>
      <c r="EE43" s="14" t="s">
        <v>3320</v>
      </c>
      <c r="EF43" s="14">
        <v>2</v>
      </c>
      <c r="EG43" s="110" t="s">
        <v>3654</v>
      </c>
      <c r="EH43" s="14" t="s">
        <v>3898</v>
      </c>
      <c r="EI43" s="87" t="s">
        <v>3321</v>
      </c>
      <c r="EJ43" s="87" t="s">
        <v>3915</v>
      </c>
      <c r="EK43" s="14"/>
      <c r="EL43" s="233"/>
      <c r="EM43" s="233"/>
      <c r="EN43" s="21" t="s">
        <v>3661</v>
      </c>
      <c r="EO43" s="21"/>
      <c r="EP43" s="14"/>
      <c r="EQ43" s="14" t="s">
        <v>3940</v>
      </c>
      <c r="ER43" s="14">
        <v>1</v>
      </c>
      <c r="ES43" s="110" t="s">
        <v>3569</v>
      </c>
      <c r="ET43" s="14" t="s">
        <v>3898</v>
      </c>
      <c r="EU43" s="87" t="s">
        <v>3550</v>
      </c>
      <c r="EV43" s="206" t="s">
        <v>3318</v>
      </c>
      <c r="EW43" s="14"/>
      <c r="EX43" s="21"/>
      <c r="EY43" s="233"/>
      <c r="EZ43" s="233"/>
      <c r="FA43" s="233"/>
      <c r="FB43" s="233"/>
      <c r="FC43" s="233"/>
      <c r="FD43" s="233"/>
    </row>
    <row r="44" spans="1:160">
      <c r="A44" s="20" t="s">
        <v>3853</v>
      </c>
      <c r="B44" s="14">
        <v>1</v>
      </c>
      <c r="C44" s="14" t="s">
        <v>3620</v>
      </c>
      <c r="D44" s="14" t="s">
        <v>5036</v>
      </c>
      <c r="E44" s="14" t="s">
        <v>3904</v>
      </c>
      <c r="F44" s="14" t="s">
        <v>3854</v>
      </c>
      <c r="G44" s="44" t="s">
        <v>3736</v>
      </c>
      <c r="H44" s="44" t="s">
        <v>4212</v>
      </c>
      <c r="I44" s="44" t="s">
        <v>3916</v>
      </c>
      <c r="J44" s="28" t="s">
        <v>3890</v>
      </c>
      <c r="K44" s="111"/>
      <c r="L44" s="21" t="s">
        <v>3613</v>
      </c>
      <c r="M44" s="14"/>
      <c r="N44" s="21"/>
      <c r="O44" s="14" t="s">
        <v>3546</v>
      </c>
      <c r="P44" s="14">
        <v>1</v>
      </c>
      <c r="Q44" s="110" t="s">
        <v>3925</v>
      </c>
      <c r="R44" s="14" t="s">
        <v>3573</v>
      </c>
      <c r="S44" s="44" t="s">
        <v>3759</v>
      </c>
      <c r="T44" s="44" t="s">
        <v>3915</v>
      </c>
      <c r="U44" s="14"/>
      <c r="V44" s="21"/>
      <c r="W44" s="21"/>
      <c r="X44" s="21" t="s">
        <v>3322</v>
      </c>
      <c r="Y44" s="21"/>
      <c r="Z44" s="14"/>
      <c r="AA44" s="14" t="s">
        <v>3803</v>
      </c>
      <c r="AB44" s="14">
        <v>1</v>
      </c>
      <c r="AC44" s="110" t="s">
        <v>3323</v>
      </c>
      <c r="AD44" s="14" t="s">
        <v>3716</v>
      </c>
      <c r="AE44" s="87" t="s">
        <v>3490</v>
      </c>
      <c r="AF44" s="87" t="s">
        <v>3491</v>
      </c>
      <c r="AG44" s="14"/>
      <c r="AH44" s="21"/>
      <c r="AI44" s="21"/>
      <c r="AJ44" s="21" t="s">
        <v>3492</v>
      </c>
      <c r="AK44" s="21"/>
      <c r="AL44" s="21"/>
      <c r="AM44" s="14" t="s">
        <v>3505</v>
      </c>
      <c r="AN44" s="14">
        <v>1</v>
      </c>
      <c r="AO44" s="110" t="s">
        <v>3749</v>
      </c>
      <c r="AP44" s="14" t="s">
        <v>3851</v>
      </c>
      <c r="AQ44" s="111" t="s">
        <v>3843</v>
      </c>
      <c r="AR44" s="111" t="s">
        <v>3496</v>
      </c>
      <c r="AS44" s="14"/>
      <c r="AT44" s="21"/>
      <c r="AU44" s="21"/>
      <c r="AV44" s="21"/>
      <c r="AW44" s="21"/>
      <c r="AX44" s="14"/>
      <c r="AY44" s="14"/>
      <c r="AZ44" s="14"/>
      <c r="BA44" s="110"/>
      <c r="BB44" s="14"/>
      <c r="BC44" s="14"/>
      <c r="BD44" s="87"/>
      <c r="BE44" s="14"/>
      <c r="BF44" s="21"/>
      <c r="BG44" s="21"/>
      <c r="BH44" s="21"/>
      <c r="BI44" s="21"/>
      <c r="BJ44" s="14"/>
      <c r="BK44" s="14"/>
      <c r="BL44" s="14"/>
      <c r="BM44" s="110"/>
      <c r="BN44" s="14"/>
      <c r="BO44" s="14"/>
      <c r="BP44" s="87"/>
      <c r="BQ44" s="14"/>
      <c r="BR44" s="21"/>
      <c r="BS44" s="233"/>
      <c r="BT44" s="21"/>
      <c r="BU44" s="21"/>
      <c r="BV44" s="14"/>
      <c r="BW44" s="14"/>
      <c r="BX44" s="14"/>
      <c r="BY44" s="110"/>
      <c r="BZ44" s="14"/>
      <c r="CA44" s="14"/>
      <c r="CB44" s="87"/>
      <c r="CC44" s="233"/>
      <c r="CD44" s="233"/>
      <c r="CE44" s="233"/>
      <c r="CF44" s="21"/>
      <c r="CG44" s="21"/>
      <c r="CH44" s="14"/>
      <c r="CI44" s="14"/>
      <c r="CJ44" s="14"/>
      <c r="CK44" s="110"/>
      <c r="CL44" s="14"/>
      <c r="CM44" s="14"/>
      <c r="CN44" s="87"/>
      <c r="CO44" s="233"/>
      <c r="CP44" s="233"/>
      <c r="CQ44" s="233"/>
      <c r="CR44" s="21" t="s">
        <v>3322</v>
      </c>
      <c r="CS44" s="21"/>
      <c r="CT44" s="14"/>
      <c r="CU44" s="14" t="s">
        <v>3803</v>
      </c>
      <c r="CV44" s="14">
        <v>1</v>
      </c>
      <c r="CW44" s="110" t="s">
        <v>3323</v>
      </c>
      <c r="CX44" s="14" t="s">
        <v>3716</v>
      </c>
      <c r="CY44" s="87" t="s">
        <v>3490</v>
      </c>
      <c r="CZ44" s="87" t="s">
        <v>3491</v>
      </c>
      <c r="DA44" s="14"/>
      <c r="DB44" s="21"/>
      <c r="DC44" s="233"/>
      <c r="DD44" s="21" t="s">
        <v>3322</v>
      </c>
      <c r="DE44" s="21"/>
      <c r="DF44" s="14"/>
      <c r="DG44" s="14" t="s">
        <v>3803</v>
      </c>
      <c r="DH44" s="14">
        <v>1</v>
      </c>
      <c r="DI44" s="110" t="s">
        <v>3323</v>
      </c>
      <c r="DJ44" s="14" t="s">
        <v>3716</v>
      </c>
      <c r="DK44" s="87" t="s">
        <v>3490</v>
      </c>
      <c r="DL44" s="87" t="s">
        <v>3491</v>
      </c>
      <c r="DM44" s="14"/>
      <c r="DN44" s="21"/>
      <c r="DO44" s="233"/>
      <c r="DP44" s="21"/>
      <c r="DQ44" s="21"/>
      <c r="DR44" s="21"/>
      <c r="DS44" s="14"/>
      <c r="DT44" s="14"/>
      <c r="DU44" s="110"/>
      <c r="DV44" s="14"/>
      <c r="DW44" s="111"/>
      <c r="DX44" s="111"/>
      <c r="DY44" s="14"/>
      <c r="DZ44" s="233"/>
      <c r="EA44" s="233"/>
      <c r="EB44" s="21" t="s">
        <v>3492</v>
      </c>
      <c r="EC44" s="21"/>
      <c r="ED44" s="21"/>
      <c r="EE44" s="14" t="s">
        <v>3505</v>
      </c>
      <c r="EF44" s="14">
        <v>1</v>
      </c>
      <c r="EG44" s="110" t="s">
        <v>3749</v>
      </c>
      <c r="EH44" s="14" t="s">
        <v>3851</v>
      </c>
      <c r="EI44" s="111" t="s">
        <v>3843</v>
      </c>
      <c r="EJ44" s="111" t="s">
        <v>3496</v>
      </c>
      <c r="EK44" s="14"/>
      <c r="EL44" s="233"/>
      <c r="EM44" s="233"/>
      <c r="EN44" s="21" t="s">
        <v>3322</v>
      </c>
      <c r="EO44" s="21"/>
      <c r="EP44" s="14"/>
      <c r="EQ44" s="14" t="s">
        <v>3803</v>
      </c>
      <c r="ER44" s="14">
        <v>1</v>
      </c>
      <c r="ES44" s="110" t="s">
        <v>3323</v>
      </c>
      <c r="ET44" s="14" t="s">
        <v>3716</v>
      </c>
      <c r="EU44" s="87" t="s">
        <v>3490</v>
      </c>
      <c r="EV44" s="87" t="s">
        <v>3491</v>
      </c>
      <c r="EW44" s="14"/>
      <c r="EX44" s="21"/>
      <c r="EY44" s="233"/>
      <c r="EZ44" s="233"/>
      <c r="FA44" s="233"/>
      <c r="FB44" s="233"/>
      <c r="FC44" s="233"/>
      <c r="FD44" s="233"/>
    </row>
    <row r="45" spans="1:160">
      <c r="A45" s="20" t="s">
        <v>3493</v>
      </c>
      <c r="B45" s="14">
        <v>1</v>
      </c>
      <c r="C45" s="14" t="s">
        <v>3494</v>
      </c>
      <c r="D45" s="14">
        <v>1</v>
      </c>
      <c r="E45" s="106" t="s">
        <v>3807</v>
      </c>
      <c r="F45" s="14" t="s">
        <v>3548</v>
      </c>
      <c r="G45" s="44" t="s">
        <v>3495</v>
      </c>
      <c r="H45" s="44" t="s">
        <v>3847</v>
      </c>
      <c r="I45" s="44" t="s">
        <v>3900</v>
      </c>
      <c r="J45" s="28" t="s">
        <v>4773</v>
      </c>
      <c r="K45" s="111"/>
      <c r="L45" s="21" t="s">
        <v>3497</v>
      </c>
      <c r="M45" s="14"/>
      <c r="N45" s="21"/>
      <c r="O45" s="14" t="s">
        <v>3320</v>
      </c>
      <c r="P45" s="14">
        <v>1</v>
      </c>
      <c r="Q45" s="110" t="s">
        <v>3498</v>
      </c>
      <c r="R45" s="14" t="s">
        <v>3898</v>
      </c>
      <c r="S45" s="44" t="s">
        <v>3321</v>
      </c>
      <c r="T45" s="44" t="s">
        <v>3488</v>
      </c>
      <c r="U45" s="14"/>
      <c r="V45" s="21"/>
      <c r="W45" s="21"/>
      <c r="X45" s="21" t="s">
        <v>3659</v>
      </c>
      <c r="Y45" s="21"/>
      <c r="Z45" s="14"/>
      <c r="AA45" s="14" t="s">
        <v>3940</v>
      </c>
      <c r="AB45" s="14">
        <v>1</v>
      </c>
      <c r="AC45" s="110" t="s">
        <v>3569</v>
      </c>
      <c r="AD45" s="14" t="s">
        <v>3914</v>
      </c>
      <c r="AE45" s="87" t="s">
        <v>3759</v>
      </c>
      <c r="AF45" s="87" t="s">
        <v>3660</v>
      </c>
      <c r="AG45" s="14"/>
      <c r="AH45" s="21"/>
      <c r="AI45" s="21"/>
      <c r="AJ45" s="21" t="s">
        <v>3499</v>
      </c>
      <c r="AK45" s="21"/>
      <c r="AL45" s="14"/>
      <c r="AM45" s="14" t="s">
        <v>3320</v>
      </c>
      <c r="AN45" s="14" t="s">
        <v>5036</v>
      </c>
      <c r="AO45" s="110" t="s">
        <v>3415</v>
      </c>
      <c r="AP45" s="14" t="s">
        <v>3716</v>
      </c>
      <c r="AQ45" s="87" t="s">
        <v>3736</v>
      </c>
      <c r="AR45" s="206" t="s">
        <v>3488</v>
      </c>
      <c r="AS45" s="14"/>
      <c r="AT45" s="21"/>
      <c r="AU45" s="21"/>
      <c r="AV45" s="21"/>
      <c r="AW45" s="21"/>
      <c r="AX45" s="14"/>
      <c r="AY45" s="14"/>
      <c r="AZ45" s="14"/>
      <c r="BA45" s="110"/>
      <c r="BB45" s="14"/>
      <c r="BC45" s="14"/>
      <c r="BD45" s="87"/>
      <c r="BE45" s="14"/>
      <c r="BF45" s="21"/>
      <c r="BG45" s="21"/>
      <c r="BH45" s="21"/>
      <c r="BI45" s="21"/>
      <c r="BJ45" s="14"/>
      <c r="BK45" s="14"/>
      <c r="BL45" s="14"/>
      <c r="BM45" s="110"/>
      <c r="BN45" s="14"/>
      <c r="BO45" s="14"/>
      <c r="BP45" s="87"/>
      <c r="BQ45" s="14"/>
      <c r="BR45" s="21"/>
      <c r="BS45" s="233"/>
      <c r="BT45" s="21"/>
      <c r="BU45" s="21"/>
      <c r="BV45" s="14"/>
      <c r="BW45" s="14"/>
      <c r="BX45" s="14"/>
      <c r="BY45" s="110"/>
      <c r="BZ45" s="14"/>
      <c r="CA45" s="14"/>
      <c r="CB45" s="87"/>
      <c r="CC45" s="233"/>
      <c r="CD45" s="233"/>
      <c r="CE45" s="233"/>
      <c r="CF45" s="21"/>
      <c r="CG45" s="21"/>
      <c r="CH45" s="14"/>
      <c r="CI45" s="14"/>
      <c r="CJ45" s="14"/>
      <c r="CK45" s="110"/>
      <c r="CL45" s="14"/>
      <c r="CM45" s="14"/>
      <c r="CN45" s="87"/>
      <c r="CO45" s="233"/>
      <c r="CP45" s="233"/>
      <c r="CQ45" s="233"/>
      <c r="CR45" s="21" t="s">
        <v>3659</v>
      </c>
      <c r="CS45" s="21"/>
      <c r="CT45" s="14"/>
      <c r="CU45" s="14" t="s">
        <v>3940</v>
      </c>
      <c r="CV45" s="14">
        <v>1</v>
      </c>
      <c r="CW45" s="110" t="s">
        <v>3569</v>
      </c>
      <c r="CX45" s="14" t="s">
        <v>3914</v>
      </c>
      <c r="CY45" s="87" t="s">
        <v>3759</v>
      </c>
      <c r="CZ45" s="87" t="s">
        <v>3660</v>
      </c>
      <c r="DA45" s="14"/>
      <c r="DB45" s="21"/>
      <c r="DC45" s="233"/>
      <c r="DD45" s="21" t="s">
        <v>3659</v>
      </c>
      <c r="DE45" s="21"/>
      <c r="DF45" s="14"/>
      <c r="DG45" s="14" t="s">
        <v>3940</v>
      </c>
      <c r="DH45" s="14">
        <v>1</v>
      </c>
      <c r="DI45" s="110" t="s">
        <v>3569</v>
      </c>
      <c r="DJ45" s="14" t="s">
        <v>3914</v>
      </c>
      <c r="DK45" s="87" t="s">
        <v>3759</v>
      </c>
      <c r="DL45" s="87" t="s">
        <v>3660</v>
      </c>
      <c r="DM45" s="14"/>
      <c r="DN45" s="21"/>
      <c r="DO45" s="233"/>
      <c r="DP45" s="21"/>
      <c r="DQ45" s="21"/>
      <c r="DR45" s="14"/>
      <c r="DS45" s="14"/>
      <c r="DT45" s="14"/>
      <c r="DU45" s="110"/>
      <c r="DV45" s="14"/>
      <c r="DW45" s="87"/>
      <c r="DX45" s="206"/>
      <c r="DY45" s="14"/>
      <c r="DZ45" s="233"/>
      <c r="EA45" s="233"/>
      <c r="EB45" s="21" t="s">
        <v>3499</v>
      </c>
      <c r="EC45" s="21"/>
      <c r="ED45" s="14"/>
      <c r="EE45" s="14" t="s">
        <v>3320</v>
      </c>
      <c r="EF45" s="14" t="s">
        <v>5036</v>
      </c>
      <c r="EG45" s="110" t="s">
        <v>3415</v>
      </c>
      <c r="EH45" s="14" t="s">
        <v>3716</v>
      </c>
      <c r="EI45" s="87" t="s">
        <v>3736</v>
      </c>
      <c r="EJ45" s="206" t="s">
        <v>3488</v>
      </c>
      <c r="EK45" s="14"/>
      <c r="EL45" s="233"/>
      <c r="EM45" s="233"/>
      <c r="EN45" s="21" t="s">
        <v>3659</v>
      </c>
      <c r="EO45" s="21"/>
      <c r="EP45" s="14"/>
      <c r="EQ45" s="14" t="s">
        <v>3940</v>
      </c>
      <c r="ER45" s="14">
        <v>1</v>
      </c>
      <c r="ES45" s="110" t="s">
        <v>3569</v>
      </c>
      <c r="ET45" s="14" t="s">
        <v>3914</v>
      </c>
      <c r="EU45" s="87" t="s">
        <v>3759</v>
      </c>
      <c r="EV45" s="87" t="s">
        <v>3660</v>
      </c>
      <c r="EW45" s="14"/>
      <c r="EX45" s="21"/>
      <c r="EY45" s="233"/>
      <c r="EZ45" s="233"/>
      <c r="FA45" s="233"/>
      <c r="FB45" s="233"/>
      <c r="FC45" s="233"/>
      <c r="FD45" s="233"/>
    </row>
    <row r="46" spans="1:160">
      <c r="A46" s="20" t="s">
        <v>3634</v>
      </c>
      <c r="B46" s="14">
        <v>1</v>
      </c>
      <c r="C46" s="14" t="s">
        <v>3902</v>
      </c>
      <c r="D46" s="14">
        <v>0</v>
      </c>
      <c r="E46" s="14" t="s">
        <v>3897</v>
      </c>
      <c r="F46" s="14" t="s">
        <v>3947</v>
      </c>
      <c r="G46" s="44" t="s">
        <v>3635</v>
      </c>
      <c r="H46" s="44" t="s">
        <v>3636</v>
      </c>
      <c r="I46" s="44">
        <v>4</v>
      </c>
      <c r="J46" s="28" t="s">
        <v>5232</v>
      </c>
      <c r="K46" s="111"/>
      <c r="L46" s="21"/>
      <c r="M46" s="14"/>
      <c r="N46" s="21"/>
      <c r="O46" s="14"/>
      <c r="P46" s="14"/>
      <c r="Q46" s="110"/>
      <c r="R46" s="14"/>
      <c r="S46" s="44"/>
      <c r="T46" s="44"/>
      <c r="U46" s="14"/>
      <c r="V46" s="21"/>
      <c r="W46" s="21"/>
      <c r="X46" s="21" t="s">
        <v>3788</v>
      </c>
      <c r="Y46" s="21"/>
      <c r="Z46" s="14"/>
      <c r="AA46" s="14" t="s">
        <v>3803</v>
      </c>
      <c r="AB46" s="14">
        <v>1</v>
      </c>
      <c r="AC46" s="110" t="s">
        <v>3557</v>
      </c>
      <c r="AD46" s="14" t="s">
        <v>3947</v>
      </c>
      <c r="AE46" s="87" t="s">
        <v>3736</v>
      </c>
      <c r="AF46" s="87" t="s">
        <v>4209</v>
      </c>
      <c r="AG46" s="14"/>
      <c r="AH46" s="21"/>
      <c r="AI46" s="21"/>
      <c r="AJ46" s="21" t="s">
        <v>3497</v>
      </c>
      <c r="AK46" s="21"/>
      <c r="AL46" s="14"/>
      <c r="AM46" s="14" t="s">
        <v>3320</v>
      </c>
      <c r="AN46" s="14">
        <v>1</v>
      </c>
      <c r="AO46" s="110" t="s">
        <v>3498</v>
      </c>
      <c r="AP46" s="14" t="s">
        <v>3898</v>
      </c>
      <c r="AQ46" s="87" t="s">
        <v>3321</v>
      </c>
      <c r="AR46" s="87" t="s">
        <v>3488</v>
      </c>
      <c r="AS46" s="14"/>
      <c r="AT46" s="21"/>
      <c r="AU46" s="21"/>
      <c r="AV46" s="21"/>
      <c r="AW46" s="21"/>
      <c r="AX46" s="14"/>
      <c r="AY46" s="14"/>
      <c r="AZ46" s="14"/>
      <c r="BA46" s="110"/>
      <c r="BB46" s="14"/>
      <c r="BC46" s="14"/>
      <c r="BD46" s="87"/>
      <c r="BE46" s="14"/>
      <c r="BF46" s="21"/>
      <c r="BG46" s="21"/>
      <c r="BH46" s="21"/>
      <c r="BI46" s="21"/>
      <c r="BJ46" s="14"/>
      <c r="BK46" s="14"/>
      <c r="BL46" s="14"/>
      <c r="BM46" s="110"/>
      <c r="BN46" s="14"/>
      <c r="BO46" s="14"/>
      <c r="BP46" s="87"/>
      <c r="BQ46" s="14"/>
      <c r="BR46" s="21"/>
      <c r="BS46" s="233"/>
      <c r="BT46" s="21"/>
      <c r="BU46" s="21"/>
      <c r="BV46" s="14"/>
      <c r="BW46" s="14"/>
      <c r="BX46" s="14"/>
      <c r="BY46" s="110"/>
      <c r="BZ46" s="14"/>
      <c r="CA46" s="14"/>
      <c r="CB46" s="87"/>
      <c r="CC46" s="233"/>
      <c r="CD46" s="233"/>
      <c r="CE46" s="233"/>
      <c r="CF46" s="21"/>
      <c r="CG46" s="21"/>
      <c r="CH46" s="14"/>
      <c r="CI46" s="14"/>
      <c r="CJ46" s="14"/>
      <c r="CK46" s="110"/>
      <c r="CL46" s="14"/>
      <c r="CM46" s="14"/>
      <c r="CN46" s="87"/>
      <c r="CO46" s="233"/>
      <c r="CP46" s="233"/>
      <c r="CQ46" s="233"/>
      <c r="CR46" s="21" t="s">
        <v>3788</v>
      </c>
      <c r="CS46" s="21"/>
      <c r="CT46" s="14"/>
      <c r="CU46" s="14" t="s">
        <v>3803</v>
      </c>
      <c r="CV46" s="14">
        <v>1</v>
      </c>
      <c r="CW46" s="110" t="s">
        <v>3557</v>
      </c>
      <c r="CX46" s="14" t="s">
        <v>3947</v>
      </c>
      <c r="CY46" s="87" t="s">
        <v>3736</v>
      </c>
      <c r="CZ46" s="87" t="s">
        <v>4209</v>
      </c>
      <c r="DA46" s="14"/>
      <c r="DB46" s="21"/>
      <c r="DC46" s="233"/>
      <c r="DD46" s="21" t="s">
        <v>3788</v>
      </c>
      <c r="DE46" s="21"/>
      <c r="DF46" s="14"/>
      <c r="DG46" s="14" t="s">
        <v>3803</v>
      </c>
      <c r="DH46" s="14">
        <v>1</v>
      </c>
      <c r="DI46" s="110" t="s">
        <v>3557</v>
      </c>
      <c r="DJ46" s="14" t="s">
        <v>3947</v>
      </c>
      <c r="DK46" s="87" t="s">
        <v>3736</v>
      </c>
      <c r="DL46" s="87" t="s">
        <v>4209</v>
      </c>
      <c r="DM46" s="14"/>
      <c r="DN46" s="21"/>
      <c r="DO46" s="233"/>
      <c r="DP46" s="21"/>
      <c r="DQ46" s="21"/>
      <c r="DR46" s="14"/>
      <c r="DS46" s="14"/>
      <c r="DT46" s="14"/>
      <c r="DU46" s="110"/>
      <c r="DV46" s="14"/>
      <c r="DW46" s="87"/>
      <c r="DX46" s="87"/>
      <c r="DY46" s="14"/>
      <c r="DZ46" s="233"/>
      <c r="EA46" s="233"/>
      <c r="EB46" s="21" t="s">
        <v>3497</v>
      </c>
      <c r="EC46" s="21"/>
      <c r="ED46" s="14"/>
      <c r="EE46" s="14" t="s">
        <v>3320</v>
      </c>
      <c r="EF46" s="14">
        <v>1</v>
      </c>
      <c r="EG46" s="110" t="s">
        <v>3498</v>
      </c>
      <c r="EH46" s="14" t="s">
        <v>3898</v>
      </c>
      <c r="EI46" s="87" t="s">
        <v>3321</v>
      </c>
      <c r="EJ46" s="87" t="s">
        <v>3488</v>
      </c>
      <c r="EK46" s="14"/>
      <c r="EL46" s="233"/>
      <c r="EM46" s="233"/>
      <c r="EN46" s="21" t="s">
        <v>3788</v>
      </c>
      <c r="EO46" s="21"/>
      <c r="EP46" s="14"/>
      <c r="EQ46" s="14" t="s">
        <v>3803</v>
      </c>
      <c r="ER46" s="14">
        <v>1</v>
      </c>
      <c r="ES46" s="110" t="s">
        <v>3557</v>
      </c>
      <c r="ET46" s="14" t="s">
        <v>3947</v>
      </c>
      <c r="EU46" s="87" t="s">
        <v>3736</v>
      </c>
      <c r="EV46" s="87" t="s">
        <v>4209</v>
      </c>
      <c r="EW46" s="14"/>
      <c r="EX46" s="21"/>
      <c r="EY46" s="233"/>
      <c r="EZ46" s="233"/>
      <c r="FA46" s="233"/>
      <c r="FB46" s="233"/>
      <c r="FC46" s="233"/>
      <c r="FD46" s="233"/>
    </row>
    <row r="47" spans="1:160">
      <c r="A47" s="20" t="s">
        <v>463</v>
      </c>
      <c r="B47" s="14">
        <v>1</v>
      </c>
      <c r="C47" s="14" t="s">
        <v>464</v>
      </c>
      <c r="D47" s="14">
        <v>1</v>
      </c>
      <c r="E47" s="106" t="s">
        <v>4211</v>
      </c>
      <c r="F47" s="14" t="s">
        <v>3573</v>
      </c>
      <c r="G47" s="44" t="s">
        <v>3753</v>
      </c>
      <c r="H47" s="44" t="s">
        <v>466</v>
      </c>
      <c r="I47" s="44" t="s">
        <v>3900</v>
      </c>
      <c r="J47" s="28" t="s">
        <v>4447</v>
      </c>
      <c r="K47" s="111"/>
      <c r="L47" s="21"/>
      <c r="M47" s="21"/>
      <c r="N47" s="21"/>
      <c r="O47" s="14"/>
      <c r="P47" s="14"/>
      <c r="Q47" s="14"/>
      <c r="R47" s="14"/>
      <c r="S47" s="14"/>
      <c r="T47" s="87"/>
      <c r="U47" s="21"/>
      <c r="V47" s="21"/>
      <c r="W47" s="21"/>
      <c r="X47" s="21" t="s">
        <v>3675</v>
      </c>
      <c r="Y47" s="21"/>
      <c r="Z47" s="14"/>
      <c r="AA47" s="14" t="s">
        <v>3803</v>
      </c>
      <c r="AB47" s="14">
        <v>1</v>
      </c>
      <c r="AC47" s="110" t="s">
        <v>4211</v>
      </c>
      <c r="AD47" s="14" t="s">
        <v>3914</v>
      </c>
      <c r="AE47" s="87" t="s">
        <v>3765</v>
      </c>
      <c r="AF47" s="87" t="s">
        <v>4209</v>
      </c>
      <c r="AG47" s="21"/>
      <c r="AH47" s="21"/>
      <c r="AI47" s="21"/>
      <c r="AJ47" s="21" t="s">
        <v>3676</v>
      </c>
      <c r="AK47" s="21"/>
      <c r="AL47" s="14"/>
      <c r="AM47" s="14" t="s">
        <v>3752</v>
      </c>
      <c r="AN47" s="14">
        <v>1</v>
      </c>
      <c r="AO47" s="110" t="s">
        <v>3569</v>
      </c>
      <c r="AP47" s="14" t="s">
        <v>3548</v>
      </c>
      <c r="AQ47" s="87" t="s">
        <v>3927</v>
      </c>
      <c r="AR47" s="87" t="s">
        <v>3677</v>
      </c>
      <c r="AS47" s="21"/>
      <c r="AT47" s="21"/>
      <c r="AU47" s="21"/>
      <c r="AV47" s="21"/>
      <c r="AW47" s="21"/>
      <c r="AX47" s="21"/>
      <c r="AY47" s="14"/>
      <c r="AZ47" s="14"/>
      <c r="BA47" s="14"/>
      <c r="BB47" s="14"/>
      <c r="BC47" s="14"/>
      <c r="BD47" s="87"/>
      <c r="BE47" s="21"/>
      <c r="BF47" s="21"/>
      <c r="BG47" s="21"/>
      <c r="BH47" s="21"/>
      <c r="BI47" s="21"/>
      <c r="BJ47" s="21"/>
      <c r="BK47" s="14"/>
      <c r="BL47" s="14"/>
      <c r="BM47" s="14"/>
      <c r="BN47" s="14"/>
      <c r="BO47" s="14"/>
      <c r="BP47" s="87"/>
      <c r="BQ47" s="21"/>
      <c r="BR47" s="21"/>
      <c r="BS47" s="233"/>
      <c r="BT47" s="21"/>
      <c r="BU47" s="21"/>
      <c r="BV47" s="21"/>
      <c r="BW47" s="14"/>
      <c r="BX47" s="14"/>
      <c r="BY47" s="14"/>
      <c r="BZ47" s="14"/>
      <c r="CA47" s="14"/>
      <c r="CB47" s="87"/>
      <c r="CC47" s="233"/>
      <c r="CD47" s="233"/>
      <c r="CE47" s="233"/>
      <c r="CF47" s="21"/>
      <c r="CG47" s="21"/>
      <c r="CH47" s="21"/>
      <c r="CI47" s="14"/>
      <c r="CJ47" s="14"/>
      <c r="CK47" s="14"/>
      <c r="CL47" s="14"/>
      <c r="CM47" s="14"/>
      <c r="CN47" s="87"/>
      <c r="CO47" s="233"/>
      <c r="CP47" s="233"/>
      <c r="CQ47" s="233"/>
      <c r="CR47" s="21" t="s">
        <v>3675</v>
      </c>
      <c r="CS47" s="21"/>
      <c r="CT47" s="14"/>
      <c r="CU47" s="14" t="s">
        <v>3803</v>
      </c>
      <c r="CV47" s="14">
        <v>1</v>
      </c>
      <c r="CW47" s="110" t="s">
        <v>4211</v>
      </c>
      <c r="CX47" s="14" t="s">
        <v>3914</v>
      </c>
      <c r="CY47" s="87" t="s">
        <v>3765</v>
      </c>
      <c r="CZ47" s="87" t="s">
        <v>4209</v>
      </c>
      <c r="DA47" s="21"/>
      <c r="DB47" s="21"/>
      <c r="DC47" s="233"/>
      <c r="DD47" s="21" t="s">
        <v>3675</v>
      </c>
      <c r="DE47" s="21"/>
      <c r="DF47" s="14"/>
      <c r="DG47" s="14" t="s">
        <v>3803</v>
      </c>
      <c r="DH47" s="14">
        <v>1</v>
      </c>
      <c r="DI47" s="110" t="s">
        <v>4211</v>
      </c>
      <c r="DJ47" s="14" t="s">
        <v>3914</v>
      </c>
      <c r="DK47" s="87" t="s">
        <v>3765</v>
      </c>
      <c r="DL47" s="87" t="s">
        <v>4209</v>
      </c>
      <c r="DM47" s="21"/>
      <c r="DN47" s="21"/>
      <c r="DO47" s="233"/>
      <c r="DP47" s="21"/>
      <c r="DQ47" s="21"/>
      <c r="DR47" s="14"/>
      <c r="DS47" s="14"/>
      <c r="DT47" s="14"/>
      <c r="DU47" s="110"/>
      <c r="DV47" s="14"/>
      <c r="DW47" s="87"/>
      <c r="DX47" s="87"/>
      <c r="DY47" s="21"/>
      <c r="DZ47" s="233"/>
      <c r="EA47" s="233"/>
      <c r="EB47" s="21" t="s">
        <v>3676</v>
      </c>
      <c r="EC47" s="21"/>
      <c r="ED47" s="14"/>
      <c r="EE47" s="14" t="s">
        <v>3752</v>
      </c>
      <c r="EF47" s="14">
        <v>1</v>
      </c>
      <c r="EG47" s="110" t="s">
        <v>3569</v>
      </c>
      <c r="EH47" s="14" t="s">
        <v>3548</v>
      </c>
      <c r="EI47" s="87" t="s">
        <v>3927</v>
      </c>
      <c r="EJ47" s="87" t="s">
        <v>3677</v>
      </c>
      <c r="EK47" s="21"/>
      <c r="EL47" s="233"/>
      <c r="EM47" s="233"/>
      <c r="EN47" s="21" t="s">
        <v>3675</v>
      </c>
      <c r="EO47" s="21"/>
      <c r="EP47" s="14"/>
      <c r="EQ47" s="14" t="s">
        <v>3803</v>
      </c>
      <c r="ER47" s="14">
        <v>1</v>
      </c>
      <c r="ES47" s="110" t="s">
        <v>4211</v>
      </c>
      <c r="ET47" s="14" t="s">
        <v>3914</v>
      </c>
      <c r="EU47" s="87" t="s">
        <v>3765</v>
      </c>
      <c r="EV47" s="87" t="s">
        <v>4209</v>
      </c>
      <c r="EW47" s="21"/>
      <c r="EX47" s="21"/>
      <c r="EY47" s="233"/>
      <c r="EZ47" s="233"/>
      <c r="FA47" s="233"/>
      <c r="FB47" s="233"/>
      <c r="FC47" s="233"/>
      <c r="FD47" s="233"/>
    </row>
    <row r="48" spans="1:160">
      <c r="A48" s="20" t="s">
        <v>4149</v>
      </c>
      <c r="B48" s="14">
        <v>1</v>
      </c>
      <c r="C48" s="14" t="s">
        <v>3907</v>
      </c>
      <c r="D48" s="14" t="s">
        <v>5036</v>
      </c>
      <c r="E48" s="14" t="s">
        <v>4150</v>
      </c>
      <c r="F48" s="14" t="s">
        <v>3898</v>
      </c>
      <c r="G48" s="44" t="s">
        <v>3467</v>
      </c>
      <c r="H48" s="44" t="s">
        <v>3915</v>
      </c>
      <c r="I48" s="44" t="s">
        <v>3900</v>
      </c>
      <c r="J48" s="28" t="s">
        <v>4369</v>
      </c>
      <c r="K48" s="111"/>
      <c r="L48" s="26" t="s">
        <v>5024</v>
      </c>
      <c r="M48" s="21"/>
      <c r="N48" s="108" t="s">
        <v>5018</v>
      </c>
      <c r="O48" s="108" t="s">
        <v>5701</v>
      </c>
      <c r="P48" s="108" t="s">
        <v>5019</v>
      </c>
      <c r="Q48" s="108" t="s">
        <v>5020</v>
      </c>
      <c r="R48" s="108" t="s">
        <v>5021</v>
      </c>
      <c r="S48" s="108" t="s">
        <v>5022</v>
      </c>
      <c r="T48" s="282" t="s">
        <v>5316</v>
      </c>
      <c r="U48" s="26"/>
      <c r="V48" s="21"/>
      <c r="W48" s="21"/>
      <c r="X48" s="26" t="s">
        <v>5024</v>
      </c>
      <c r="Y48" s="21"/>
      <c r="Z48" s="108" t="s">
        <v>5018</v>
      </c>
      <c r="AA48" s="108" t="s">
        <v>5701</v>
      </c>
      <c r="AB48" s="108" t="s">
        <v>5019</v>
      </c>
      <c r="AC48" s="108" t="s">
        <v>5020</v>
      </c>
      <c r="AD48" s="108" t="s">
        <v>5021</v>
      </c>
      <c r="AE48" s="108" t="s">
        <v>5022</v>
      </c>
      <c r="AF48" s="282" t="s">
        <v>5316</v>
      </c>
      <c r="AG48" s="26"/>
      <c r="AH48" s="21"/>
      <c r="AI48" s="21"/>
      <c r="AJ48" s="26" t="s">
        <v>5024</v>
      </c>
      <c r="AK48" s="21"/>
      <c r="AL48" s="108" t="s">
        <v>5018</v>
      </c>
      <c r="AM48" s="108" t="s">
        <v>5701</v>
      </c>
      <c r="AN48" s="108" t="s">
        <v>5019</v>
      </c>
      <c r="AO48" s="108" t="s">
        <v>5020</v>
      </c>
      <c r="AP48" s="108" t="s">
        <v>5021</v>
      </c>
      <c r="AQ48" s="108" t="s">
        <v>5022</v>
      </c>
      <c r="AR48" s="282" t="s">
        <v>5316</v>
      </c>
      <c r="AS48" s="26"/>
      <c r="AT48" s="21"/>
      <c r="AU48" s="21"/>
      <c r="AV48" s="26" t="s">
        <v>5024</v>
      </c>
      <c r="AW48" s="21"/>
      <c r="AX48" s="108" t="s">
        <v>5018</v>
      </c>
      <c r="AY48" s="108" t="s">
        <v>5701</v>
      </c>
      <c r="AZ48" s="108" t="s">
        <v>5019</v>
      </c>
      <c r="BA48" s="108" t="s">
        <v>5020</v>
      </c>
      <c r="BB48" s="108" t="s">
        <v>5021</v>
      </c>
      <c r="BC48" s="108" t="s">
        <v>5022</v>
      </c>
      <c r="BD48" s="282" t="s">
        <v>5316</v>
      </c>
      <c r="BE48" s="26"/>
      <c r="BF48" s="21"/>
      <c r="BG48" s="21"/>
      <c r="BH48" s="26" t="s">
        <v>5024</v>
      </c>
      <c r="BI48" s="21"/>
      <c r="BJ48" s="108" t="s">
        <v>5018</v>
      </c>
      <c r="BK48" s="108" t="s">
        <v>5701</v>
      </c>
      <c r="BL48" s="108" t="s">
        <v>5019</v>
      </c>
      <c r="BM48" s="108" t="s">
        <v>5020</v>
      </c>
      <c r="BN48" s="108" t="s">
        <v>5021</v>
      </c>
      <c r="BO48" s="108" t="s">
        <v>5022</v>
      </c>
      <c r="BP48" s="282" t="s">
        <v>5316</v>
      </c>
      <c r="BQ48" s="26"/>
      <c r="BR48" s="21"/>
      <c r="BS48" s="233"/>
      <c r="BT48" s="26" t="s">
        <v>5024</v>
      </c>
      <c r="BU48" s="21"/>
      <c r="BV48" s="108" t="s">
        <v>5018</v>
      </c>
      <c r="BW48" s="108" t="s">
        <v>5701</v>
      </c>
      <c r="BX48" s="108" t="s">
        <v>5019</v>
      </c>
      <c r="BY48" s="108" t="s">
        <v>5020</v>
      </c>
      <c r="BZ48" s="108" t="s">
        <v>5021</v>
      </c>
      <c r="CA48" s="108" t="s">
        <v>5022</v>
      </c>
      <c r="CB48" s="282" t="s">
        <v>5316</v>
      </c>
      <c r="CC48" s="233"/>
      <c r="CD48" s="233"/>
      <c r="CE48" s="233"/>
      <c r="CF48" s="26" t="s">
        <v>5024</v>
      </c>
      <c r="CG48" s="21"/>
      <c r="CH48" s="108" t="s">
        <v>5018</v>
      </c>
      <c r="CI48" s="108" t="s">
        <v>5701</v>
      </c>
      <c r="CJ48" s="108" t="s">
        <v>5019</v>
      </c>
      <c r="CK48" s="108" t="s">
        <v>5020</v>
      </c>
      <c r="CL48" s="108" t="s">
        <v>5021</v>
      </c>
      <c r="CM48" s="108" t="s">
        <v>5022</v>
      </c>
      <c r="CN48" s="282" t="s">
        <v>5316</v>
      </c>
      <c r="CO48" s="233"/>
      <c r="CP48" s="233"/>
      <c r="CQ48" s="233"/>
      <c r="CR48" s="26" t="s">
        <v>5024</v>
      </c>
      <c r="CS48" s="21"/>
      <c r="CT48" s="108" t="s">
        <v>5018</v>
      </c>
      <c r="CU48" s="108" t="s">
        <v>5701</v>
      </c>
      <c r="CV48" s="108" t="s">
        <v>5019</v>
      </c>
      <c r="CW48" s="108" t="s">
        <v>5020</v>
      </c>
      <c r="CX48" s="108" t="s">
        <v>5021</v>
      </c>
      <c r="CY48" s="108" t="s">
        <v>5022</v>
      </c>
      <c r="CZ48" s="282" t="s">
        <v>5316</v>
      </c>
      <c r="DA48" s="26"/>
      <c r="DB48" s="21"/>
      <c r="DC48" s="233"/>
      <c r="DD48" s="26" t="s">
        <v>5024</v>
      </c>
      <c r="DE48" s="21"/>
      <c r="DF48" s="108" t="s">
        <v>5018</v>
      </c>
      <c r="DG48" s="108" t="s">
        <v>5701</v>
      </c>
      <c r="DH48" s="108" t="s">
        <v>5019</v>
      </c>
      <c r="DI48" s="108" t="s">
        <v>5020</v>
      </c>
      <c r="DJ48" s="108" t="s">
        <v>5021</v>
      </c>
      <c r="DK48" s="108" t="s">
        <v>5022</v>
      </c>
      <c r="DL48" s="282" t="s">
        <v>5316</v>
      </c>
      <c r="DM48" s="26"/>
      <c r="DN48" s="21"/>
      <c r="DO48" s="233"/>
      <c r="DP48" s="26" t="s">
        <v>5024</v>
      </c>
      <c r="DQ48" s="21"/>
      <c r="DR48" s="108" t="s">
        <v>5018</v>
      </c>
      <c r="DS48" s="108" t="s">
        <v>5701</v>
      </c>
      <c r="DT48" s="108" t="s">
        <v>5019</v>
      </c>
      <c r="DU48" s="108" t="s">
        <v>5020</v>
      </c>
      <c r="DV48" s="108" t="s">
        <v>5021</v>
      </c>
      <c r="DW48" s="108" t="s">
        <v>5022</v>
      </c>
      <c r="DX48" s="282" t="s">
        <v>5316</v>
      </c>
      <c r="DY48" s="26"/>
      <c r="DZ48" s="233"/>
      <c r="EA48" s="233"/>
      <c r="EB48" s="26" t="s">
        <v>5024</v>
      </c>
      <c r="EC48" s="21"/>
      <c r="ED48" s="108" t="s">
        <v>5018</v>
      </c>
      <c r="EE48" s="108" t="s">
        <v>5701</v>
      </c>
      <c r="EF48" s="108" t="s">
        <v>5019</v>
      </c>
      <c r="EG48" s="108" t="s">
        <v>5020</v>
      </c>
      <c r="EH48" s="108" t="s">
        <v>5021</v>
      </c>
      <c r="EI48" s="108" t="s">
        <v>5022</v>
      </c>
      <c r="EJ48" s="282" t="s">
        <v>5316</v>
      </c>
      <c r="EK48" s="26"/>
      <c r="EL48" s="233"/>
      <c r="EM48" s="233"/>
      <c r="EN48" s="26" t="s">
        <v>5024</v>
      </c>
      <c r="EO48" s="21"/>
      <c r="EP48" s="108" t="s">
        <v>5018</v>
      </c>
      <c r="EQ48" s="108" t="s">
        <v>5701</v>
      </c>
      <c r="ER48" s="108" t="s">
        <v>5019</v>
      </c>
      <c r="ES48" s="108" t="s">
        <v>5020</v>
      </c>
      <c r="ET48" s="108" t="s">
        <v>5021</v>
      </c>
      <c r="EU48" s="108" t="s">
        <v>5022</v>
      </c>
      <c r="EV48" s="282" t="s">
        <v>5316</v>
      </c>
      <c r="EW48" s="26"/>
      <c r="EX48" s="21"/>
      <c r="EY48" s="233"/>
      <c r="EZ48" s="233"/>
      <c r="FA48" s="233"/>
      <c r="FB48" s="233"/>
      <c r="FC48" s="233"/>
      <c r="FD48" s="233"/>
    </row>
    <row r="49" spans="1:160">
      <c r="A49" s="20" t="s">
        <v>3893</v>
      </c>
      <c r="B49" s="14">
        <v>1</v>
      </c>
      <c r="C49" s="14" t="s">
        <v>3649</v>
      </c>
      <c r="D49" s="14">
        <v>1</v>
      </c>
      <c r="E49" s="106" t="s">
        <v>3934</v>
      </c>
      <c r="F49" s="14" t="s">
        <v>3947</v>
      </c>
      <c r="G49" s="44" t="s">
        <v>3550</v>
      </c>
      <c r="H49" s="44" t="s">
        <v>3746</v>
      </c>
      <c r="I49" s="44" t="s">
        <v>3633</v>
      </c>
      <c r="J49" s="28" t="s">
        <v>4369</v>
      </c>
      <c r="K49" s="111"/>
      <c r="L49" s="21" t="s">
        <v>3679</v>
      </c>
      <c r="M49" s="14"/>
      <c r="N49" s="21"/>
      <c r="O49" s="14" t="s">
        <v>3737</v>
      </c>
      <c r="P49" s="14">
        <v>1</v>
      </c>
      <c r="Q49" s="110" t="s">
        <v>3749</v>
      </c>
      <c r="R49" s="14" t="s">
        <v>3898</v>
      </c>
      <c r="S49" s="44" t="s">
        <v>3736</v>
      </c>
      <c r="T49" s="44" t="s">
        <v>3680</v>
      </c>
      <c r="U49" s="14"/>
      <c r="V49" s="21"/>
      <c r="W49" s="21"/>
      <c r="X49" s="21" t="s">
        <v>3909</v>
      </c>
      <c r="Y49" s="21"/>
      <c r="Z49" s="14"/>
      <c r="AA49" s="14" t="s">
        <v>3564</v>
      </c>
      <c r="AB49" s="14">
        <v>2</v>
      </c>
      <c r="AC49" s="110" t="s">
        <v>3715</v>
      </c>
      <c r="AD49" s="14" t="s">
        <v>3716</v>
      </c>
      <c r="AE49" s="87" t="s">
        <v>3730</v>
      </c>
      <c r="AF49" s="87" t="s">
        <v>3728</v>
      </c>
      <c r="AG49" s="14"/>
      <c r="AH49" s="21"/>
      <c r="AI49" s="21"/>
      <c r="AJ49" s="21" t="s">
        <v>3681</v>
      </c>
      <c r="AK49" s="21"/>
      <c r="AL49" s="14"/>
      <c r="AM49" s="14" t="s">
        <v>3320</v>
      </c>
      <c r="AN49" s="14">
        <v>1</v>
      </c>
      <c r="AO49" s="110" t="s">
        <v>3682</v>
      </c>
      <c r="AP49" s="14" t="s">
        <v>3573</v>
      </c>
      <c r="AQ49" s="87" t="s">
        <v>3927</v>
      </c>
      <c r="AR49" s="87" t="s">
        <v>3915</v>
      </c>
      <c r="AS49" s="14"/>
      <c r="AT49" s="21"/>
      <c r="AU49" s="21"/>
      <c r="AV49" s="21" t="s">
        <v>3679</v>
      </c>
      <c r="AW49" s="21"/>
      <c r="AX49" s="14"/>
      <c r="AY49" s="14" t="s">
        <v>3737</v>
      </c>
      <c r="AZ49" s="14">
        <v>1</v>
      </c>
      <c r="BA49" s="110" t="s">
        <v>3749</v>
      </c>
      <c r="BB49" s="14" t="s">
        <v>3898</v>
      </c>
      <c r="BC49" s="87" t="s">
        <v>3736</v>
      </c>
      <c r="BD49" s="87" t="s">
        <v>3680</v>
      </c>
      <c r="BE49" s="14"/>
      <c r="BF49" s="21"/>
      <c r="BG49" s="21"/>
      <c r="BH49" s="21" t="s">
        <v>391</v>
      </c>
      <c r="BI49" s="21"/>
      <c r="BJ49" s="14"/>
      <c r="BK49" s="112" t="s">
        <v>5880</v>
      </c>
      <c r="BL49" s="14" t="s">
        <v>5036</v>
      </c>
      <c r="BM49" s="106" t="s">
        <v>3858</v>
      </c>
      <c r="BN49" s="14" t="s">
        <v>3548</v>
      </c>
      <c r="BO49" s="44" t="s">
        <v>3843</v>
      </c>
      <c r="BP49" s="107" t="s">
        <v>299</v>
      </c>
      <c r="BQ49" s="14"/>
      <c r="BR49" s="21"/>
      <c r="BS49" s="233"/>
      <c r="BT49" s="21" t="s">
        <v>3681</v>
      </c>
      <c r="BU49" s="21"/>
      <c r="BV49" s="14"/>
      <c r="BW49" s="14" t="s">
        <v>3320</v>
      </c>
      <c r="BX49" s="14">
        <v>1</v>
      </c>
      <c r="BY49" s="110" t="s">
        <v>3682</v>
      </c>
      <c r="BZ49" s="14" t="s">
        <v>3573</v>
      </c>
      <c r="CA49" s="87" t="s">
        <v>3927</v>
      </c>
      <c r="CB49" s="87" t="s">
        <v>3915</v>
      </c>
      <c r="CC49" s="233"/>
      <c r="CD49" s="233"/>
      <c r="CE49" s="233"/>
      <c r="CF49" s="21" t="s">
        <v>391</v>
      </c>
      <c r="CG49" s="21"/>
      <c r="CH49" s="14"/>
      <c r="CI49" s="112" t="s">
        <v>5880</v>
      </c>
      <c r="CJ49" s="14" t="s">
        <v>5036</v>
      </c>
      <c r="CK49" s="106" t="s">
        <v>3858</v>
      </c>
      <c r="CL49" s="14" t="s">
        <v>3548</v>
      </c>
      <c r="CM49" s="44" t="s">
        <v>3843</v>
      </c>
      <c r="CN49" s="107" t="s">
        <v>299</v>
      </c>
      <c r="CO49" s="233"/>
      <c r="CP49" s="233"/>
      <c r="CQ49" s="233"/>
      <c r="CR49" s="21" t="s">
        <v>3909</v>
      </c>
      <c r="CS49" s="21"/>
      <c r="CT49" s="14"/>
      <c r="CU49" s="14" t="s">
        <v>3564</v>
      </c>
      <c r="CV49" s="14">
        <v>2</v>
      </c>
      <c r="CW49" s="110" t="s">
        <v>3715</v>
      </c>
      <c r="CX49" s="14" t="s">
        <v>3716</v>
      </c>
      <c r="CY49" s="87" t="s">
        <v>3730</v>
      </c>
      <c r="CZ49" s="87" t="s">
        <v>3728</v>
      </c>
      <c r="DA49" s="14"/>
      <c r="DB49" s="21"/>
      <c r="DC49" s="233"/>
      <c r="DD49" s="21" t="s">
        <v>3909</v>
      </c>
      <c r="DE49" s="21"/>
      <c r="DF49" s="14"/>
      <c r="DG49" s="14" t="s">
        <v>3564</v>
      </c>
      <c r="DH49" s="14">
        <v>2</v>
      </c>
      <c r="DI49" s="110" t="s">
        <v>3715</v>
      </c>
      <c r="DJ49" s="14" t="s">
        <v>3716</v>
      </c>
      <c r="DK49" s="87" t="s">
        <v>3730</v>
      </c>
      <c r="DL49" s="87" t="s">
        <v>3728</v>
      </c>
      <c r="DM49" s="14"/>
      <c r="DN49" s="21"/>
      <c r="DO49" s="233"/>
      <c r="DP49" s="21" t="s">
        <v>3545</v>
      </c>
      <c r="DQ49" s="21"/>
      <c r="DR49" s="14"/>
      <c r="DS49" s="14" t="s">
        <v>3546</v>
      </c>
      <c r="DT49" s="14" t="s">
        <v>5036</v>
      </c>
      <c r="DU49" s="110" t="s">
        <v>3904</v>
      </c>
      <c r="DV49" s="14" t="s">
        <v>3898</v>
      </c>
      <c r="DW49" s="87" t="s">
        <v>3378</v>
      </c>
      <c r="DX49" s="87" t="s">
        <v>3379</v>
      </c>
      <c r="DY49" s="14"/>
      <c r="DZ49" s="233"/>
      <c r="EA49" s="233"/>
      <c r="EB49" s="21" t="s">
        <v>3681</v>
      </c>
      <c r="EC49" s="21"/>
      <c r="ED49" s="14"/>
      <c r="EE49" s="14" t="s">
        <v>3320</v>
      </c>
      <c r="EF49" s="14">
        <v>1</v>
      </c>
      <c r="EG49" s="110" t="s">
        <v>3682</v>
      </c>
      <c r="EH49" s="14" t="s">
        <v>3573</v>
      </c>
      <c r="EI49" s="87" t="s">
        <v>3927</v>
      </c>
      <c r="EJ49" s="87" t="s">
        <v>3915</v>
      </c>
      <c r="EK49" s="14"/>
      <c r="EL49" s="233"/>
      <c r="EM49" s="233"/>
      <c r="EN49" s="21" t="s">
        <v>3909</v>
      </c>
      <c r="EO49" s="21"/>
      <c r="EP49" s="14"/>
      <c r="EQ49" s="14" t="s">
        <v>3564</v>
      </c>
      <c r="ER49" s="14">
        <v>2</v>
      </c>
      <c r="ES49" s="110" t="s">
        <v>3715</v>
      </c>
      <c r="ET49" s="14" t="s">
        <v>3716</v>
      </c>
      <c r="EU49" s="87" t="s">
        <v>3730</v>
      </c>
      <c r="EV49" s="87" t="s">
        <v>3728</v>
      </c>
      <c r="EW49" s="14"/>
      <c r="EX49" s="21"/>
      <c r="EY49" s="233"/>
      <c r="EZ49" s="233"/>
      <c r="FA49" s="233"/>
      <c r="FB49" s="233"/>
      <c r="FC49" s="233"/>
      <c r="FD49" s="233"/>
    </row>
    <row r="50" spans="1:160">
      <c r="A50" s="20" t="s">
        <v>3710</v>
      </c>
      <c r="B50" s="14">
        <v>1</v>
      </c>
      <c r="C50" s="14" t="s">
        <v>3649</v>
      </c>
      <c r="D50" s="14">
        <v>0</v>
      </c>
      <c r="E50" s="14" t="s">
        <v>3745</v>
      </c>
      <c r="F50" s="14" t="s">
        <v>3898</v>
      </c>
      <c r="G50" s="44" t="s">
        <v>3678</v>
      </c>
      <c r="H50" s="44" t="s">
        <v>3488</v>
      </c>
      <c r="I50" s="44" t="s">
        <v>3633</v>
      </c>
      <c r="J50" s="28" t="s">
        <v>4369</v>
      </c>
      <c r="K50" s="111"/>
      <c r="L50" s="21" t="s">
        <v>3857</v>
      </c>
      <c r="M50" s="14"/>
      <c r="N50" s="21"/>
      <c r="O50" s="14" t="s">
        <v>3551</v>
      </c>
      <c r="P50" s="14">
        <v>1</v>
      </c>
      <c r="Q50" s="110" t="s">
        <v>3858</v>
      </c>
      <c r="R50" s="14" t="s">
        <v>3854</v>
      </c>
      <c r="S50" s="44" t="s">
        <v>3736</v>
      </c>
      <c r="T50" s="44" t="s">
        <v>3859</v>
      </c>
      <c r="U50" s="14"/>
      <c r="V50" s="21"/>
      <c r="W50" s="21"/>
      <c r="X50" s="21" t="s">
        <v>3662</v>
      </c>
      <c r="Y50" s="21"/>
      <c r="Z50" s="14"/>
      <c r="AA50" s="14" t="s">
        <v>3803</v>
      </c>
      <c r="AB50" s="14">
        <v>2</v>
      </c>
      <c r="AC50" s="110" t="s">
        <v>3663</v>
      </c>
      <c r="AD50" s="14" t="s">
        <v>3898</v>
      </c>
      <c r="AE50" s="87" t="s">
        <v>3664</v>
      </c>
      <c r="AF50" s="87" t="s">
        <v>3665</v>
      </c>
      <c r="AG50" s="14"/>
      <c r="AH50" s="21"/>
      <c r="AI50" s="21"/>
      <c r="AJ50" s="21" t="s">
        <v>300</v>
      </c>
      <c r="AK50" s="21"/>
      <c r="AL50" s="14"/>
      <c r="AM50" s="14" t="s">
        <v>3666</v>
      </c>
      <c r="AN50" s="14">
        <v>1</v>
      </c>
      <c r="AO50" s="110" t="s">
        <v>3667</v>
      </c>
      <c r="AP50" s="14" t="s">
        <v>3548</v>
      </c>
      <c r="AQ50" s="87" t="s">
        <v>3736</v>
      </c>
      <c r="AR50" s="87" t="s">
        <v>3888</v>
      </c>
      <c r="AS50" s="14"/>
      <c r="AT50" s="21"/>
      <c r="AU50" s="21"/>
      <c r="AV50" s="21" t="s">
        <v>301</v>
      </c>
      <c r="AW50" s="21"/>
      <c r="AX50" s="14"/>
      <c r="AY50" s="14" t="s">
        <v>5881</v>
      </c>
      <c r="AZ50" s="14">
        <v>1</v>
      </c>
      <c r="BA50" s="110" t="s">
        <v>3858</v>
      </c>
      <c r="BB50" s="14" t="s">
        <v>3898</v>
      </c>
      <c r="BC50" s="44" t="s">
        <v>395</v>
      </c>
      <c r="BD50" s="44" t="s">
        <v>396</v>
      </c>
      <c r="BE50" s="14"/>
      <c r="BF50" s="21"/>
      <c r="BG50" s="21"/>
      <c r="BH50" s="21" t="s">
        <v>3857</v>
      </c>
      <c r="BI50" s="21"/>
      <c r="BJ50" s="14"/>
      <c r="BK50" s="14" t="s">
        <v>3551</v>
      </c>
      <c r="BL50" s="14">
        <v>1</v>
      </c>
      <c r="BM50" s="110" t="s">
        <v>3858</v>
      </c>
      <c r="BN50" s="14" t="s">
        <v>3854</v>
      </c>
      <c r="BO50" s="87" t="s">
        <v>3736</v>
      </c>
      <c r="BP50" s="87" t="s">
        <v>3859</v>
      </c>
      <c r="BQ50" s="14"/>
      <c r="BR50" s="21"/>
      <c r="BS50" s="233"/>
      <c r="BT50" s="21" t="s">
        <v>3704</v>
      </c>
      <c r="BU50" s="21"/>
      <c r="BV50" s="14"/>
      <c r="BW50" s="14" t="s">
        <v>3912</v>
      </c>
      <c r="BX50" s="14" t="s">
        <v>5036</v>
      </c>
      <c r="BY50" s="14" t="s">
        <v>3472</v>
      </c>
      <c r="BZ50" s="14" t="s">
        <v>3931</v>
      </c>
      <c r="CA50" s="87" t="s">
        <v>3843</v>
      </c>
      <c r="CB50" s="44" t="s">
        <v>3915</v>
      </c>
      <c r="CC50" s="233"/>
      <c r="CD50" s="233"/>
      <c r="CE50" s="233"/>
      <c r="CF50" s="21" t="s">
        <v>3857</v>
      </c>
      <c r="CG50" s="21"/>
      <c r="CH50" s="14"/>
      <c r="CI50" s="14" t="s">
        <v>3551</v>
      </c>
      <c r="CJ50" s="14">
        <v>1</v>
      </c>
      <c r="CK50" s="110" t="s">
        <v>3858</v>
      </c>
      <c r="CL50" s="14" t="s">
        <v>3854</v>
      </c>
      <c r="CM50" s="87" t="s">
        <v>3736</v>
      </c>
      <c r="CN50" s="87" t="s">
        <v>3859</v>
      </c>
      <c r="CO50" s="233"/>
      <c r="CP50" s="233"/>
      <c r="CQ50" s="233"/>
      <c r="CR50" s="21" t="s">
        <v>3662</v>
      </c>
      <c r="CS50" s="21"/>
      <c r="CT50" s="14"/>
      <c r="CU50" s="14" t="s">
        <v>3803</v>
      </c>
      <c r="CV50" s="14">
        <v>2</v>
      </c>
      <c r="CW50" s="110" t="s">
        <v>3663</v>
      </c>
      <c r="CX50" s="14" t="s">
        <v>3898</v>
      </c>
      <c r="CY50" s="87" t="s">
        <v>3664</v>
      </c>
      <c r="CZ50" s="87" t="s">
        <v>3665</v>
      </c>
      <c r="DA50" s="14"/>
      <c r="DB50" s="21"/>
      <c r="DC50" s="233"/>
      <c r="DD50" s="21" t="s">
        <v>3662</v>
      </c>
      <c r="DE50" s="21"/>
      <c r="DF50" s="14"/>
      <c r="DG50" s="14" t="s">
        <v>3803</v>
      </c>
      <c r="DH50" s="14">
        <v>2</v>
      </c>
      <c r="DI50" s="110" t="s">
        <v>3663</v>
      </c>
      <c r="DJ50" s="14" t="s">
        <v>3898</v>
      </c>
      <c r="DK50" s="87" t="s">
        <v>3664</v>
      </c>
      <c r="DL50" s="87" t="s">
        <v>3665</v>
      </c>
      <c r="DM50" s="14"/>
      <c r="DN50" s="21"/>
      <c r="DO50" s="233"/>
      <c r="DP50" s="21" t="s">
        <v>3370</v>
      </c>
      <c r="DQ50" s="21"/>
      <c r="DR50" s="14"/>
      <c r="DS50" s="14" t="s">
        <v>3371</v>
      </c>
      <c r="DT50" s="14">
        <v>2</v>
      </c>
      <c r="DU50" s="110" t="s">
        <v>3858</v>
      </c>
      <c r="DV50" s="14" t="s">
        <v>3898</v>
      </c>
      <c r="DW50" s="87" t="s">
        <v>3538</v>
      </c>
      <c r="DX50" s="87" t="s">
        <v>3539</v>
      </c>
      <c r="DY50" s="14"/>
      <c r="DZ50" s="233"/>
      <c r="EA50" s="233"/>
      <c r="EB50" s="21" t="s">
        <v>300</v>
      </c>
      <c r="EC50" s="21"/>
      <c r="ED50" s="14"/>
      <c r="EE50" s="14" t="s">
        <v>3666</v>
      </c>
      <c r="EF50" s="14">
        <v>1</v>
      </c>
      <c r="EG50" s="110" t="s">
        <v>3667</v>
      </c>
      <c r="EH50" s="14" t="s">
        <v>3548</v>
      </c>
      <c r="EI50" s="87" t="s">
        <v>3736</v>
      </c>
      <c r="EJ50" s="87" t="s">
        <v>3888</v>
      </c>
      <c r="EK50" s="14"/>
      <c r="EL50" s="233"/>
      <c r="EM50" s="233"/>
      <c r="EN50" s="21" t="s">
        <v>3662</v>
      </c>
      <c r="EO50" s="21"/>
      <c r="EP50" s="14"/>
      <c r="EQ50" s="14" t="s">
        <v>3803</v>
      </c>
      <c r="ER50" s="14">
        <v>2</v>
      </c>
      <c r="ES50" s="110" t="s">
        <v>3663</v>
      </c>
      <c r="ET50" s="14" t="s">
        <v>3898</v>
      </c>
      <c r="EU50" s="87" t="s">
        <v>3664</v>
      </c>
      <c r="EV50" s="87" t="s">
        <v>3665</v>
      </c>
      <c r="EW50" s="14"/>
      <c r="EX50" s="21"/>
      <c r="EY50" s="233"/>
      <c r="EZ50" s="233"/>
      <c r="FA50" s="233"/>
      <c r="FB50" s="233"/>
      <c r="FC50" s="233"/>
      <c r="FD50" s="233"/>
    </row>
    <row r="51" spans="1:160">
      <c r="A51" s="20" t="s">
        <v>3475</v>
      </c>
      <c r="B51" s="14">
        <v>1</v>
      </c>
      <c r="C51" s="14" t="s">
        <v>3476</v>
      </c>
      <c r="D51" s="14" t="s">
        <v>5036</v>
      </c>
      <c r="E51" s="14" t="s">
        <v>3904</v>
      </c>
      <c r="F51" s="14" t="s">
        <v>3548</v>
      </c>
      <c r="G51" s="44" t="s">
        <v>3730</v>
      </c>
      <c r="H51" s="44" t="s">
        <v>3477</v>
      </c>
      <c r="I51" s="44">
        <v>2</v>
      </c>
      <c r="J51" s="28" t="s">
        <v>5232</v>
      </c>
      <c r="K51" s="111"/>
      <c r="L51" s="21" t="s">
        <v>3525</v>
      </c>
      <c r="M51" s="14"/>
      <c r="N51" s="21"/>
      <c r="O51" s="14" t="s">
        <v>3666</v>
      </c>
      <c r="P51" s="14">
        <v>1</v>
      </c>
      <c r="Q51" s="110" t="s">
        <v>3526</v>
      </c>
      <c r="R51" s="14" t="s">
        <v>3979</v>
      </c>
      <c r="S51" s="44" t="s">
        <v>3736</v>
      </c>
      <c r="T51" s="44" t="s">
        <v>3728</v>
      </c>
      <c r="U51" s="14"/>
      <c r="V51" s="21"/>
      <c r="W51" s="21"/>
      <c r="X51" s="21" t="s">
        <v>517</v>
      </c>
      <c r="Y51" s="21"/>
      <c r="Z51" s="14"/>
      <c r="AA51" s="14" t="s">
        <v>3564</v>
      </c>
      <c r="AB51" s="14">
        <v>1</v>
      </c>
      <c r="AC51" s="110" t="s">
        <v>3807</v>
      </c>
      <c r="AD51" s="14" t="s">
        <v>3716</v>
      </c>
      <c r="AE51" s="87" t="s">
        <v>3736</v>
      </c>
      <c r="AF51" s="87" t="s">
        <v>5483</v>
      </c>
      <c r="AG51" s="14"/>
      <c r="AH51" s="21"/>
      <c r="AI51" s="21"/>
      <c r="AJ51" s="21" t="s">
        <v>590</v>
      </c>
      <c r="AK51" s="21"/>
      <c r="AL51" s="14"/>
      <c r="AM51" s="14" t="s">
        <v>3564</v>
      </c>
      <c r="AN51" s="14">
        <v>2</v>
      </c>
      <c r="AO51" s="110" t="s">
        <v>3715</v>
      </c>
      <c r="AP51" s="14" t="s">
        <v>3716</v>
      </c>
      <c r="AQ51" s="87" t="s">
        <v>3730</v>
      </c>
      <c r="AR51" s="87" t="s">
        <v>3728</v>
      </c>
      <c r="AS51" s="14"/>
      <c r="AT51" s="21"/>
      <c r="AU51" s="21"/>
      <c r="AV51" s="21" t="s">
        <v>397</v>
      </c>
      <c r="AW51" s="21"/>
      <c r="AX51" s="14"/>
      <c r="AY51" s="14" t="s">
        <v>5881</v>
      </c>
      <c r="AZ51" s="14">
        <v>3</v>
      </c>
      <c r="BA51" s="110" t="s">
        <v>3858</v>
      </c>
      <c r="BB51" s="14" t="s">
        <v>3898</v>
      </c>
      <c r="BC51" s="44" t="s">
        <v>3550</v>
      </c>
      <c r="BD51" s="44" t="s">
        <v>398</v>
      </c>
      <c r="BE51" s="14"/>
      <c r="BF51" s="21"/>
      <c r="BG51" s="21"/>
      <c r="BH51" s="21" t="s">
        <v>3889</v>
      </c>
      <c r="BI51" s="21"/>
      <c r="BJ51" s="14"/>
      <c r="BK51" s="14" t="s">
        <v>3551</v>
      </c>
      <c r="BL51" s="14">
        <v>1</v>
      </c>
      <c r="BM51" s="110" t="s">
        <v>3858</v>
      </c>
      <c r="BN51" s="14" t="s">
        <v>3898</v>
      </c>
      <c r="BO51" s="87" t="s">
        <v>3490</v>
      </c>
      <c r="BP51" s="87" t="s">
        <v>3703</v>
      </c>
      <c r="BQ51" s="14"/>
      <c r="BR51" s="21"/>
      <c r="BS51" s="233"/>
      <c r="BT51" s="21" t="s">
        <v>3366</v>
      </c>
      <c r="BU51" s="21"/>
      <c r="BV51" s="14"/>
      <c r="BW51" s="112" t="s">
        <v>3583</v>
      </c>
      <c r="BX51" s="14" t="s">
        <v>5036</v>
      </c>
      <c r="BY51" s="197" t="s">
        <v>3841</v>
      </c>
      <c r="BZ51" s="14" t="s">
        <v>3979</v>
      </c>
      <c r="CA51" s="87" t="s">
        <v>3736</v>
      </c>
      <c r="CB51" s="44" t="s">
        <v>3367</v>
      </c>
      <c r="CC51" s="233"/>
      <c r="CD51" s="233"/>
      <c r="CE51" s="233"/>
      <c r="CF51" s="21" t="s">
        <v>3889</v>
      </c>
      <c r="CG51" s="21"/>
      <c r="CH51" s="14"/>
      <c r="CI51" s="14" t="s">
        <v>3551</v>
      </c>
      <c r="CJ51" s="14">
        <v>1</v>
      </c>
      <c r="CK51" s="110" t="s">
        <v>3858</v>
      </c>
      <c r="CL51" s="14" t="s">
        <v>3898</v>
      </c>
      <c r="CM51" s="87" t="s">
        <v>3490</v>
      </c>
      <c r="CN51" s="87" t="s">
        <v>3703</v>
      </c>
      <c r="CO51" s="233"/>
      <c r="CP51" s="233"/>
      <c r="CQ51" s="233"/>
      <c r="CR51" s="21" t="s">
        <v>517</v>
      </c>
      <c r="CS51" s="21"/>
      <c r="CT51" s="14"/>
      <c r="CU51" s="14" t="s">
        <v>3564</v>
      </c>
      <c r="CV51" s="14">
        <v>1</v>
      </c>
      <c r="CW51" s="110" t="s">
        <v>3807</v>
      </c>
      <c r="CX51" s="14" t="s">
        <v>3716</v>
      </c>
      <c r="CY51" s="87" t="s">
        <v>3736</v>
      </c>
      <c r="CZ51" s="87" t="s">
        <v>5483</v>
      </c>
      <c r="DA51" s="14"/>
      <c r="DB51" s="21"/>
      <c r="DC51" s="233"/>
      <c r="DD51" s="21" t="s">
        <v>517</v>
      </c>
      <c r="DE51" s="21"/>
      <c r="DF51" s="14"/>
      <c r="DG51" s="14" t="s">
        <v>3564</v>
      </c>
      <c r="DH51" s="14">
        <v>1</v>
      </c>
      <c r="DI51" s="110" t="s">
        <v>3807</v>
      </c>
      <c r="DJ51" s="14" t="s">
        <v>3716</v>
      </c>
      <c r="DK51" s="87" t="s">
        <v>3736</v>
      </c>
      <c r="DL51" s="87" t="s">
        <v>5483</v>
      </c>
      <c r="DM51" s="14"/>
      <c r="DN51" s="21"/>
      <c r="DO51" s="233"/>
      <c r="DP51" s="21" t="s">
        <v>3587</v>
      </c>
      <c r="DQ51" s="21"/>
      <c r="DR51" s="14"/>
      <c r="DS51" s="14" t="s">
        <v>3588</v>
      </c>
      <c r="DT51" s="14">
        <v>3</v>
      </c>
      <c r="DU51" s="110" t="s">
        <v>3663</v>
      </c>
      <c r="DV51" s="14" t="s">
        <v>3914</v>
      </c>
      <c r="DW51" s="87" t="s">
        <v>3612</v>
      </c>
      <c r="DX51" s="87" t="s">
        <v>3859</v>
      </c>
      <c r="DY51" s="14"/>
      <c r="DZ51" s="233"/>
      <c r="EA51" s="233"/>
      <c r="EB51" s="21" t="s">
        <v>590</v>
      </c>
      <c r="EC51" s="21"/>
      <c r="ED51" s="14"/>
      <c r="EE51" s="14" t="s">
        <v>3564</v>
      </c>
      <c r="EF51" s="14">
        <v>2</v>
      </c>
      <c r="EG51" s="110" t="s">
        <v>3715</v>
      </c>
      <c r="EH51" s="14" t="s">
        <v>3716</v>
      </c>
      <c r="EI51" s="87" t="s">
        <v>3730</v>
      </c>
      <c r="EJ51" s="87" t="s">
        <v>3728</v>
      </c>
      <c r="EK51" s="14"/>
      <c r="EL51" s="233"/>
      <c r="EM51" s="233"/>
      <c r="EN51" s="21" t="s">
        <v>517</v>
      </c>
      <c r="EO51" s="21"/>
      <c r="EP51" s="14"/>
      <c r="EQ51" s="14" t="s">
        <v>3564</v>
      </c>
      <c r="ER51" s="14">
        <v>1</v>
      </c>
      <c r="ES51" s="110" t="s">
        <v>3807</v>
      </c>
      <c r="ET51" s="14" t="s">
        <v>3716</v>
      </c>
      <c r="EU51" s="87" t="s">
        <v>3736</v>
      </c>
      <c r="EV51" s="87" t="s">
        <v>5483</v>
      </c>
      <c r="EW51" s="14"/>
      <c r="EX51" s="21"/>
      <c r="EY51" s="233"/>
      <c r="EZ51" s="233"/>
      <c r="FA51" s="233"/>
      <c r="FB51" s="233"/>
      <c r="FC51" s="233"/>
      <c r="FD51" s="233"/>
    </row>
    <row r="52" spans="1:160">
      <c r="A52" s="20" t="s">
        <v>3837</v>
      </c>
      <c r="B52" s="14">
        <v>1</v>
      </c>
      <c r="C52" s="14" t="s">
        <v>3902</v>
      </c>
      <c r="D52" s="14">
        <v>1</v>
      </c>
      <c r="E52" s="110" t="s">
        <v>4211</v>
      </c>
      <c r="F52" s="14" t="s">
        <v>3947</v>
      </c>
      <c r="G52" s="44" t="s">
        <v>3736</v>
      </c>
      <c r="H52" s="44" t="s">
        <v>3838</v>
      </c>
      <c r="I52" s="44" t="s">
        <v>3524</v>
      </c>
      <c r="J52" s="28" t="s">
        <v>5232</v>
      </c>
      <c r="K52" s="111"/>
      <c r="L52" s="21" t="s">
        <v>3529</v>
      </c>
      <c r="M52" s="14"/>
      <c r="N52" s="21"/>
      <c r="O52" s="14" t="s">
        <v>3546</v>
      </c>
      <c r="P52" s="14">
        <v>1</v>
      </c>
      <c r="Q52" s="110" t="s">
        <v>3530</v>
      </c>
      <c r="R52" s="14" t="s">
        <v>3898</v>
      </c>
      <c r="S52" s="44" t="s">
        <v>3378</v>
      </c>
      <c r="T52" s="107" t="s">
        <v>3531</v>
      </c>
      <c r="U52" s="14"/>
      <c r="V52" s="21"/>
      <c r="W52" s="21"/>
      <c r="X52" s="21" t="s">
        <v>3369</v>
      </c>
      <c r="Y52" s="21"/>
      <c r="Z52" s="14"/>
      <c r="AA52" s="14" t="s">
        <v>3940</v>
      </c>
      <c r="AB52" s="14">
        <v>1</v>
      </c>
      <c r="AC52" s="110" t="s">
        <v>3749</v>
      </c>
      <c r="AD52" s="14" t="s">
        <v>3931</v>
      </c>
      <c r="AE52" s="87" t="s">
        <v>3901</v>
      </c>
      <c r="AF52" s="87" t="s">
        <v>5483</v>
      </c>
      <c r="AG52" s="14"/>
      <c r="AH52" s="21"/>
      <c r="AI52" s="21"/>
      <c r="AJ52" s="21" t="s">
        <v>3525</v>
      </c>
      <c r="AK52" s="21"/>
      <c r="AL52" s="14"/>
      <c r="AM52" s="14" t="s">
        <v>3666</v>
      </c>
      <c r="AN52" s="14">
        <v>1</v>
      </c>
      <c r="AO52" s="110" t="s">
        <v>3526</v>
      </c>
      <c r="AP52" s="14" t="s">
        <v>3979</v>
      </c>
      <c r="AQ52" s="87" t="s">
        <v>3736</v>
      </c>
      <c r="AR52" s="87" t="s">
        <v>3728</v>
      </c>
      <c r="AS52" s="14"/>
      <c r="AT52" s="21"/>
      <c r="AU52" s="21"/>
      <c r="AV52" s="21" t="s">
        <v>3909</v>
      </c>
      <c r="AW52" s="21"/>
      <c r="AX52" s="14"/>
      <c r="AY52" s="14" t="s">
        <v>3564</v>
      </c>
      <c r="AZ52" s="14">
        <v>2</v>
      </c>
      <c r="BA52" s="110" t="s">
        <v>3715</v>
      </c>
      <c r="BB52" s="14" t="s">
        <v>3716</v>
      </c>
      <c r="BC52" s="87" t="s">
        <v>3730</v>
      </c>
      <c r="BD52" s="87" t="s">
        <v>3728</v>
      </c>
      <c r="BE52" s="14"/>
      <c r="BF52" s="21"/>
      <c r="BG52" s="21"/>
      <c r="BH52" s="21" t="s">
        <v>3529</v>
      </c>
      <c r="BI52" s="21"/>
      <c r="BJ52" s="14"/>
      <c r="BK52" s="14" t="s">
        <v>3546</v>
      </c>
      <c r="BL52" s="14">
        <v>1</v>
      </c>
      <c r="BM52" s="110" t="s">
        <v>3530</v>
      </c>
      <c r="BN52" s="14" t="s">
        <v>3898</v>
      </c>
      <c r="BO52" s="87" t="s">
        <v>3378</v>
      </c>
      <c r="BP52" s="87" t="s">
        <v>3531</v>
      </c>
      <c r="BQ52" s="14"/>
      <c r="BR52" s="21"/>
      <c r="BS52" s="233"/>
      <c r="BT52" s="21" t="s">
        <v>3198</v>
      </c>
      <c r="BU52" s="21"/>
      <c r="BV52" s="14"/>
      <c r="BW52" s="112" t="s">
        <v>3199</v>
      </c>
      <c r="BX52" s="14">
        <v>1</v>
      </c>
      <c r="BY52" s="110" t="s">
        <v>3526</v>
      </c>
      <c r="BZ52" s="14" t="s">
        <v>3200</v>
      </c>
      <c r="CA52" s="87" t="s">
        <v>3843</v>
      </c>
      <c r="CB52" s="44" t="s">
        <v>3201</v>
      </c>
      <c r="CC52" s="233"/>
      <c r="CD52" s="233"/>
      <c r="CE52" s="233"/>
      <c r="CF52" s="21" t="s">
        <v>3529</v>
      </c>
      <c r="CG52" s="21"/>
      <c r="CH52" s="14"/>
      <c r="CI52" s="14" t="s">
        <v>3546</v>
      </c>
      <c r="CJ52" s="14">
        <v>1</v>
      </c>
      <c r="CK52" s="110" t="s">
        <v>3530</v>
      </c>
      <c r="CL52" s="14" t="s">
        <v>3898</v>
      </c>
      <c r="CM52" s="87" t="s">
        <v>3378</v>
      </c>
      <c r="CN52" s="87" t="s">
        <v>3531</v>
      </c>
      <c r="CO52" s="233"/>
      <c r="CP52" s="233"/>
      <c r="CQ52" s="233"/>
      <c r="CR52" s="21" t="s">
        <v>3369</v>
      </c>
      <c r="CS52" s="21"/>
      <c r="CT52" s="14"/>
      <c r="CU52" s="14" t="s">
        <v>3940</v>
      </c>
      <c r="CV52" s="14">
        <v>1</v>
      </c>
      <c r="CW52" s="110" t="s">
        <v>3749</v>
      </c>
      <c r="CX52" s="14" t="s">
        <v>3931</v>
      </c>
      <c r="CY52" s="87" t="s">
        <v>3901</v>
      </c>
      <c r="CZ52" s="87" t="s">
        <v>5483</v>
      </c>
      <c r="DA52" s="14"/>
      <c r="DB52" s="21"/>
      <c r="DC52" s="233"/>
      <c r="DD52" s="21" t="s">
        <v>3369</v>
      </c>
      <c r="DE52" s="21"/>
      <c r="DF52" s="14"/>
      <c r="DG52" s="14" t="s">
        <v>3940</v>
      </c>
      <c r="DH52" s="14">
        <v>1</v>
      </c>
      <c r="DI52" s="110" t="s">
        <v>3749</v>
      </c>
      <c r="DJ52" s="14" t="s">
        <v>3931</v>
      </c>
      <c r="DK52" s="87" t="s">
        <v>3901</v>
      </c>
      <c r="DL52" s="87" t="s">
        <v>5483</v>
      </c>
      <c r="DM52" s="14"/>
      <c r="DN52" s="21"/>
      <c r="DO52" s="233"/>
      <c r="DP52" s="21" t="s">
        <v>3800</v>
      </c>
      <c r="DQ52" s="21"/>
      <c r="DR52" s="14"/>
      <c r="DS52" s="14" t="s">
        <v>3588</v>
      </c>
      <c r="DT52" s="14">
        <v>2</v>
      </c>
      <c r="DU52" s="110" t="s">
        <v>3801</v>
      </c>
      <c r="DV52" s="14" t="s">
        <v>3618</v>
      </c>
      <c r="DW52" s="87" t="s">
        <v>3420</v>
      </c>
      <c r="DX52" s="87" t="s">
        <v>5483</v>
      </c>
      <c r="DY52" s="14"/>
      <c r="DZ52" s="233"/>
      <c r="EA52" s="233"/>
      <c r="EB52" s="21" t="s">
        <v>3525</v>
      </c>
      <c r="EC52" s="21"/>
      <c r="ED52" s="14"/>
      <c r="EE52" s="14" t="s">
        <v>3666</v>
      </c>
      <c r="EF52" s="14">
        <v>1</v>
      </c>
      <c r="EG52" s="110" t="s">
        <v>3526</v>
      </c>
      <c r="EH52" s="14" t="s">
        <v>3979</v>
      </c>
      <c r="EI52" s="87" t="s">
        <v>3736</v>
      </c>
      <c r="EJ52" s="87" t="s">
        <v>3728</v>
      </c>
      <c r="EK52" s="14"/>
      <c r="EL52" s="233"/>
      <c r="EM52" s="233"/>
      <c r="EN52" s="21" t="s">
        <v>3369</v>
      </c>
      <c r="EO52" s="21"/>
      <c r="EP52" s="14"/>
      <c r="EQ52" s="14" t="s">
        <v>3940</v>
      </c>
      <c r="ER52" s="14">
        <v>1</v>
      </c>
      <c r="ES52" s="110" t="s">
        <v>3749</v>
      </c>
      <c r="ET52" s="14" t="s">
        <v>3931</v>
      </c>
      <c r="EU52" s="87" t="s">
        <v>3901</v>
      </c>
      <c r="EV52" s="87" t="s">
        <v>5483</v>
      </c>
      <c r="EW52" s="14"/>
      <c r="EX52" s="21"/>
      <c r="EY52" s="233"/>
      <c r="EZ52" s="233"/>
      <c r="FA52" s="233"/>
      <c r="FB52" s="233"/>
      <c r="FC52" s="233"/>
      <c r="FD52" s="233"/>
    </row>
    <row r="53" spans="1:160">
      <c r="A53" s="20" t="s">
        <v>3848</v>
      </c>
      <c r="B53" s="14">
        <v>1</v>
      </c>
      <c r="C53" s="14" t="s">
        <v>3622</v>
      </c>
      <c r="D53" s="14">
        <v>1</v>
      </c>
      <c r="E53" s="110" t="s">
        <v>4211</v>
      </c>
      <c r="F53" s="14" t="s">
        <v>3898</v>
      </c>
      <c r="G53" s="44" t="s">
        <v>3736</v>
      </c>
      <c r="H53" s="44" t="s">
        <v>3849</v>
      </c>
      <c r="I53" s="44" t="s">
        <v>3368</v>
      </c>
      <c r="J53" s="28" t="s">
        <v>3739</v>
      </c>
      <c r="K53" s="111"/>
      <c r="L53" s="21" t="s">
        <v>3202</v>
      </c>
      <c r="M53" s="14"/>
      <c r="N53" s="21"/>
      <c r="O53" s="14" t="s">
        <v>3785</v>
      </c>
      <c r="P53" s="14" t="s">
        <v>5036</v>
      </c>
      <c r="Q53" s="14" t="s">
        <v>3841</v>
      </c>
      <c r="R53" s="14" t="s">
        <v>3548</v>
      </c>
      <c r="S53" s="44" t="s">
        <v>3753</v>
      </c>
      <c r="T53" s="44" t="s">
        <v>3746</v>
      </c>
      <c r="U53" s="14"/>
      <c r="V53" s="21"/>
      <c r="W53" s="21"/>
      <c r="X53" s="21" t="s">
        <v>3203</v>
      </c>
      <c r="Y53" s="21"/>
      <c r="Z53" s="14"/>
      <c r="AA53" s="14" t="s">
        <v>3940</v>
      </c>
      <c r="AB53" s="14">
        <v>0</v>
      </c>
      <c r="AC53" s="14" t="s">
        <v>3553</v>
      </c>
      <c r="AD53" s="14" t="s">
        <v>3947</v>
      </c>
      <c r="AE53" s="87" t="s">
        <v>3843</v>
      </c>
      <c r="AF53" s="87" t="s">
        <v>3488</v>
      </c>
      <c r="AG53" s="14"/>
      <c r="AH53" s="21"/>
      <c r="AI53" s="21"/>
      <c r="AJ53" s="21" t="s">
        <v>3204</v>
      </c>
      <c r="AK53" s="21"/>
      <c r="AL53" s="14"/>
      <c r="AM53" s="14" t="s">
        <v>3649</v>
      </c>
      <c r="AN53" s="14">
        <v>2</v>
      </c>
      <c r="AO53" s="106" t="s">
        <v>3205</v>
      </c>
      <c r="AP53" s="14" t="s">
        <v>3947</v>
      </c>
      <c r="AQ53" s="87" t="s">
        <v>3550</v>
      </c>
      <c r="AR53" s="87" t="s">
        <v>3206</v>
      </c>
      <c r="AS53" s="14"/>
      <c r="AT53" s="21"/>
      <c r="AU53" s="21"/>
      <c r="AV53" s="21" t="s">
        <v>3527</v>
      </c>
      <c r="AW53" s="21"/>
      <c r="AX53" s="14"/>
      <c r="AY53" s="14" t="s">
        <v>3737</v>
      </c>
      <c r="AZ53" s="14">
        <v>1</v>
      </c>
      <c r="BA53" s="110" t="s">
        <v>3749</v>
      </c>
      <c r="BB53" s="14" t="s">
        <v>3898</v>
      </c>
      <c r="BC53" s="87" t="s">
        <v>3651</v>
      </c>
      <c r="BD53" s="87" t="s">
        <v>3528</v>
      </c>
      <c r="BE53" s="14"/>
      <c r="BF53" s="21"/>
      <c r="BG53" s="21"/>
      <c r="BH53" s="21" t="s">
        <v>3540</v>
      </c>
      <c r="BI53" s="21"/>
      <c r="BJ53" s="14"/>
      <c r="BK53" s="14" t="s">
        <v>3929</v>
      </c>
      <c r="BL53" s="14" t="s">
        <v>5036</v>
      </c>
      <c r="BM53" s="197" t="s">
        <v>3897</v>
      </c>
      <c r="BN53" s="14" t="s">
        <v>3898</v>
      </c>
      <c r="BO53" s="111" t="s">
        <v>3575</v>
      </c>
      <c r="BP53" s="198" t="s">
        <v>3541</v>
      </c>
      <c r="BQ53" s="14"/>
      <c r="BR53" s="21"/>
      <c r="BS53" s="233"/>
      <c r="BT53" s="21" t="s">
        <v>3209</v>
      </c>
      <c r="BU53" s="21"/>
      <c r="BV53" s="14"/>
      <c r="BW53" s="14" t="s">
        <v>3210</v>
      </c>
      <c r="BX53" s="14">
        <v>1</v>
      </c>
      <c r="BY53" s="110" t="s">
        <v>3211</v>
      </c>
      <c r="BZ53" s="14" t="s">
        <v>4000</v>
      </c>
      <c r="CA53" s="87" t="s">
        <v>3212</v>
      </c>
      <c r="CB53" s="87" t="s">
        <v>3213</v>
      </c>
      <c r="CC53" s="233"/>
      <c r="CD53" s="233"/>
      <c r="CE53" s="233"/>
      <c r="CF53" s="21" t="s">
        <v>3540</v>
      </c>
      <c r="CG53" s="21"/>
      <c r="CH53" s="14"/>
      <c r="CI53" s="14" t="s">
        <v>3929</v>
      </c>
      <c r="CJ53" s="14" t="s">
        <v>5036</v>
      </c>
      <c r="CK53" s="197" t="s">
        <v>3897</v>
      </c>
      <c r="CL53" s="14" t="s">
        <v>3898</v>
      </c>
      <c r="CM53" s="111" t="s">
        <v>3575</v>
      </c>
      <c r="CN53" s="198" t="s">
        <v>3541</v>
      </c>
      <c r="CO53" s="233"/>
      <c r="CP53" s="233"/>
      <c r="CQ53" s="233"/>
      <c r="CR53" s="21" t="s">
        <v>3203</v>
      </c>
      <c r="CS53" s="21"/>
      <c r="CT53" s="14"/>
      <c r="CU53" s="14" t="s">
        <v>3940</v>
      </c>
      <c r="CV53" s="14">
        <v>0</v>
      </c>
      <c r="CW53" s="14" t="s">
        <v>3553</v>
      </c>
      <c r="CX53" s="14" t="s">
        <v>3947</v>
      </c>
      <c r="CY53" s="87" t="s">
        <v>3843</v>
      </c>
      <c r="CZ53" s="87" t="s">
        <v>3488</v>
      </c>
      <c r="DA53" s="14"/>
      <c r="DB53" s="21"/>
      <c r="DC53" s="233"/>
      <c r="DD53" s="21" t="s">
        <v>3203</v>
      </c>
      <c r="DE53" s="21"/>
      <c r="DF53" s="14"/>
      <c r="DG53" s="14" t="s">
        <v>3940</v>
      </c>
      <c r="DH53" s="14">
        <v>0</v>
      </c>
      <c r="DI53" s="14" t="s">
        <v>3553</v>
      </c>
      <c r="DJ53" s="14" t="s">
        <v>3947</v>
      </c>
      <c r="DK53" s="87" t="s">
        <v>3843</v>
      </c>
      <c r="DL53" s="87" t="s">
        <v>3488</v>
      </c>
      <c r="DM53" s="14"/>
      <c r="DN53" s="21"/>
      <c r="DO53" s="233"/>
      <c r="DP53" s="21"/>
      <c r="DQ53" s="21"/>
      <c r="DR53" s="14"/>
      <c r="DS53" s="14"/>
      <c r="DT53" s="14"/>
      <c r="DU53" s="14"/>
      <c r="DV53" s="14"/>
      <c r="DW53" s="87"/>
      <c r="DX53" s="87"/>
      <c r="DY53" s="14"/>
      <c r="DZ53" s="233"/>
      <c r="EA53" s="233"/>
      <c r="EB53" s="21" t="s">
        <v>3204</v>
      </c>
      <c r="EC53" s="21"/>
      <c r="ED53" s="14"/>
      <c r="EE53" s="14" t="s">
        <v>3649</v>
      </c>
      <c r="EF53" s="14">
        <v>2</v>
      </c>
      <c r="EG53" s="106" t="s">
        <v>3205</v>
      </c>
      <c r="EH53" s="14" t="s">
        <v>3947</v>
      </c>
      <c r="EI53" s="87" t="s">
        <v>3550</v>
      </c>
      <c r="EJ53" s="87" t="s">
        <v>3206</v>
      </c>
      <c r="EK53" s="14"/>
      <c r="EL53" s="233"/>
      <c r="EM53" s="233"/>
      <c r="EN53" s="21" t="s">
        <v>3203</v>
      </c>
      <c r="EO53" s="21"/>
      <c r="EP53" s="14"/>
      <c r="EQ53" s="14" t="s">
        <v>3940</v>
      </c>
      <c r="ER53" s="14">
        <v>0</v>
      </c>
      <c r="ES53" s="14" t="s">
        <v>3553</v>
      </c>
      <c r="ET53" s="14" t="s">
        <v>3947</v>
      </c>
      <c r="EU53" s="87" t="s">
        <v>3843</v>
      </c>
      <c r="EV53" s="87" t="s">
        <v>3488</v>
      </c>
      <c r="EW53" s="14"/>
      <c r="EX53" s="21"/>
      <c r="EY53" s="233"/>
      <c r="EZ53" s="233"/>
      <c r="FA53" s="233"/>
      <c r="FB53" s="233"/>
      <c r="FC53" s="233"/>
      <c r="FD53" s="233"/>
    </row>
    <row r="54" spans="1:160">
      <c r="A54" s="20" t="s">
        <v>3489</v>
      </c>
      <c r="B54" s="14">
        <v>1</v>
      </c>
      <c r="C54" s="14" t="s">
        <v>3976</v>
      </c>
      <c r="D54" s="14" t="s">
        <v>5036</v>
      </c>
      <c r="E54" s="14" t="s">
        <v>3841</v>
      </c>
      <c r="F54" s="14" t="s">
        <v>3914</v>
      </c>
      <c r="G54" s="44" t="s">
        <v>3736</v>
      </c>
      <c r="H54" s="44" t="s">
        <v>4136</v>
      </c>
      <c r="I54" s="44" t="s">
        <v>3657</v>
      </c>
      <c r="J54" s="28" t="s">
        <v>4447</v>
      </c>
      <c r="K54" s="111"/>
      <c r="L54" s="21" t="s">
        <v>3394</v>
      </c>
      <c r="M54" s="14"/>
      <c r="N54" s="21"/>
      <c r="O54" s="14" t="s">
        <v>3785</v>
      </c>
      <c r="P54" s="14">
        <v>2</v>
      </c>
      <c r="Q54" s="110" t="s">
        <v>3211</v>
      </c>
      <c r="R54" s="14" t="s">
        <v>3716</v>
      </c>
      <c r="S54" s="44" t="s">
        <v>3395</v>
      </c>
      <c r="T54" s="44" t="s">
        <v>3746</v>
      </c>
      <c r="U54" s="14"/>
      <c r="V54" s="21"/>
      <c r="W54" s="21"/>
      <c r="X54" s="21" t="s">
        <v>3396</v>
      </c>
      <c r="Y54" s="21"/>
      <c r="Z54" s="14"/>
      <c r="AA54" s="14" t="s">
        <v>3940</v>
      </c>
      <c r="AB54" s="14">
        <v>2</v>
      </c>
      <c r="AC54" s="110" t="s">
        <v>3397</v>
      </c>
      <c r="AD54" s="14" t="s">
        <v>3898</v>
      </c>
      <c r="AE54" s="87" t="s">
        <v>3550</v>
      </c>
      <c r="AF54" s="206" t="s">
        <v>3398</v>
      </c>
      <c r="AG54" s="14"/>
      <c r="AH54" s="21"/>
      <c r="AI54" s="21"/>
      <c r="AJ54" s="21" t="s">
        <v>3399</v>
      </c>
      <c r="AK54" s="21"/>
      <c r="AL54" s="14"/>
      <c r="AM54" s="14" t="s">
        <v>3320</v>
      </c>
      <c r="AN54" s="14">
        <v>1</v>
      </c>
      <c r="AO54" s="14" t="s">
        <v>3682</v>
      </c>
      <c r="AP54" s="14" t="s">
        <v>3716</v>
      </c>
      <c r="AQ54" s="87" t="s">
        <v>3395</v>
      </c>
      <c r="AR54" s="87" t="s">
        <v>3568</v>
      </c>
      <c r="AS54" s="14"/>
      <c r="AT54" s="21"/>
      <c r="AU54" s="21"/>
      <c r="AV54" s="21" t="s">
        <v>3370</v>
      </c>
      <c r="AW54" s="21"/>
      <c r="AX54" s="14"/>
      <c r="AY54" s="14" t="s">
        <v>3371</v>
      </c>
      <c r="AZ54" s="14">
        <v>2</v>
      </c>
      <c r="BA54" s="110" t="s">
        <v>3858</v>
      </c>
      <c r="BB54" s="14" t="s">
        <v>3898</v>
      </c>
      <c r="BC54" s="87" t="s">
        <v>3538</v>
      </c>
      <c r="BD54" s="87" t="s">
        <v>3539</v>
      </c>
      <c r="BE54" s="14"/>
      <c r="BF54" s="21"/>
      <c r="BG54" s="21"/>
      <c r="BH54" s="21" t="s">
        <v>3207</v>
      </c>
      <c r="BI54" s="21"/>
      <c r="BJ54" s="14"/>
      <c r="BK54" s="14" t="s">
        <v>3208</v>
      </c>
      <c r="BL54" s="14">
        <v>2</v>
      </c>
      <c r="BM54" s="110" t="s">
        <v>3858</v>
      </c>
      <c r="BN54" s="14" t="s">
        <v>3898</v>
      </c>
      <c r="BO54" s="87" t="s">
        <v>3765</v>
      </c>
      <c r="BP54" s="87" t="s">
        <v>3728</v>
      </c>
      <c r="BQ54" s="14"/>
      <c r="BR54" s="21"/>
      <c r="BS54" s="233"/>
      <c r="BT54" s="21" t="s">
        <v>3403</v>
      </c>
      <c r="BU54" s="21"/>
      <c r="BV54" s="14"/>
      <c r="BW54" s="112" t="s">
        <v>3404</v>
      </c>
      <c r="BX54" s="14">
        <v>1</v>
      </c>
      <c r="BY54" s="110" t="s">
        <v>3526</v>
      </c>
      <c r="BZ54" s="14" t="s">
        <v>3487</v>
      </c>
      <c r="CA54" s="87" t="s">
        <v>3736</v>
      </c>
      <c r="CB54" s="44" t="s">
        <v>3405</v>
      </c>
      <c r="CC54" s="233"/>
      <c r="CD54" s="233"/>
      <c r="CE54" s="233"/>
      <c r="CF54" s="21" t="s">
        <v>3207</v>
      </c>
      <c r="CG54" s="21"/>
      <c r="CH54" s="14"/>
      <c r="CI54" s="14" t="s">
        <v>3208</v>
      </c>
      <c r="CJ54" s="14">
        <v>2</v>
      </c>
      <c r="CK54" s="110" t="s">
        <v>3858</v>
      </c>
      <c r="CL54" s="14" t="s">
        <v>3898</v>
      </c>
      <c r="CM54" s="87" t="s">
        <v>3765</v>
      </c>
      <c r="CN54" s="87" t="s">
        <v>3728</v>
      </c>
      <c r="CO54" s="233"/>
      <c r="CP54" s="233"/>
      <c r="CQ54" s="233"/>
      <c r="CR54" s="21" t="s">
        <v>3396</v>
      </c>
      <c r="CS54" s="21"/>
      <c r="CT54" s="14"/>
      <c r="CU54" s="14" t="s">
        <v>3940</v>
      </c>
      <c r="CV54" s="14">
        <v>2</v>
      </c>
      <c r="CW54" s="110" t="s">
        <v>3397</v>
      </c>
      <c r="CX54" s="14" t="s">
        <v>3898</v>
      </c>
      <c r="CY54" s="87" t="s">
        <v>3550</v>
      </c>
      <c r="CZ54" s="206" t="s">
        <v>3398</v>
      </c>
      <c r="DA54" s="14"/>
      <c r="DB54" s="21"/>
      <c r="DC54" s="233"/>
      <c r="DD54" s="21" t="s">
        <v>3396</v>
      </c>
      <c r="DE54" s="21"/>
      <c r="DF54" s="14"/>
      <c r="DG54" s="14" t="s">
        <v>3940</v>
      </c>
      <c r="DH54" s="14">
        <v>2</v>
      </c>
      <c r="DI54" s="110" t="s">
        <v>3397</v>
      </c>
      <c r="DJ54" s="14" t="s">
        <v>3898</v>
      </c>
      <c r="DK54" s="87" t="s">
        <v>3550</v>
      </c>
      <c r="DL54" s="206" t="s">
        <v>3398</v>
      </c>
      <c r="DM54" s="14"/>
      <c r="DN54" s="21"/>
      <c r="DO54" s="233"/>
      <c r="DP54" s="21"/>
      <c r="DQ54" s="21"/>
      <c r="DR54" s="14"/>
      <c r="DS54" s="14"/>
      <c r="DT54" s="14"/>
      <c r="DU54" s="110"/>
      <c r="DV54" s="14"/>
      <c r="DW54" s="87"/>
      <c r="DX54" s="206"/>
      <c r="DY54" s="14"/>
      <c r="DZ54" s="233"/>
      <c r="EA54" s="233"/>
      <c r="EB54" s="21" t="s">
        <v>3399</v>
      </c>
      <c r="EC54" s="21"/>
      <c r="ED54" s="14"/>
      <c r="EE54" s="14" t="s">
        <v>3320</v>
      </c>
      <c r="EF54" s="14">
        <v>1</v>
      </c>
      <c r="EG54" s="14" t="s">
        <v>3682</v>
      </c>
      <c r="EH54" s="14" t="s">
        <v>3716</v>
      </c>
      <c r="EI54" s="87" t="s">
        <v>3395</v>
      </c>
      <c r="EJ54" s="87" t="s">
        <v>3568</v>
      </c>
      <c r="EK54" s="14"/>
      <c r="EL54" s="233"/>
      <c r="EM54" s="233"/>
      <c r="EN54" s="21" t="s">
        <v>3396</v>
      </c>
      <c r="EO54" s="21"/>
      <c r="EP54" s="14"/>
      <c r="EQ54" s="14" t="s">
        <v>3940</v>
      </c>
      <c r="ER54" s="14">
        <v>2</v>
      </c>
      <c r="ES54" s="110" t="s">
        <v>3397</v>
      </c>
      <c r="ET54" s="14" t="s">
        <v>3898</v>
      </c>
      <c r="EU54" s="87" t="s">
        <v>3550</v>
      </c>
      <c r="EV54" s="206" t="s">
        <v>3398</v>
      </c>
      <c r="EW54" s="14"/>
      <c r="EX54" s="21"/>
      <c r="EY54" s="233"/>
      <c r="EZ54" s="233"/>
      <c r="FA54" s="233"/>
      <c r="FB54" s="233"/>
      <c r="FC54" s="233"/>
      <c r="FD54" s="233"/>
    </row>
    <row r="55" spans="1:160">
      <c r="A55" s="20" t="s">
        <v>3850</v>
      </c>
      <c r="B55" s="14">
        <v>1</v>
      </c>
      <c r="C55" s="14" t="s">
        <v>3494</v>
      </c>
      <c r="D55" s="14">
        <v>1</v>
      </c>
      <c r="E55" s="110" t="s">
        <v>3807</v>
      </c>
      <c r="F55" s="14" t="s">
        <v>3851</v>
      </c>
      <c r="G55" s="167" t="s">
        <v>3843</v>
      </c>
      <c r="H55" s="168" t="s">
        <v>3852</v>
      </c>
      <c r="I55" s="44" t="s">
        <v>3900</v>
      </c>
      <c r="J55" s="28" t="s">
        <v>4447</v>
      </c>
      <c r="K55" s="111"/>
      <c r="L55" s="21" t="s">
        <v>3203</v>
      </c>
      <c r="M55" s="14"/>
      <c r="N55" s="21"/>
      <c r="O55" s="14" t="s">
        <v>3940</v>
      </c>
      <c r="P55" s="14">
        <v>0</v>
      </c>
      <c r="Q55" s="14" t="s">
        <v>3553</v>
      </c>
      <c r="R55" s="14" t="s">
        <v>3947</v>
      </c>
      <c r="S55" s="44" t="s">
        <v>3843</v>
      </c>
      <c r="T55" s="44" t="s">
        <v>3488</v>
      </c>
      <c r="U55" s="14"/>
      <c r="V55" s="21"/>
      <c r="W55" s="21"/>
      <c r="X55" s="21" t="s">
        <v>3406</v>
      </c>
      <c r="Y55" s="21"/>
      <c r="Z55" s="14"/>
      <c r="AA55" s="14" t="s">
        <v>3803</v>
      </c>
      <c r="AB55" s="14" t="s">
        <v>5036</v>
      </c>
      <c r="AC55" s="14" t="s">
        <v>3553</v>
      </c>
      <c r="AD55" s="14" t="s">
        <v>3854</v>
      </c>
      <c r="AE55" s="87" t="s">
        <v>3407</v>
      </c>
      <c r="AF55" s="87" t="s">
        <v>3746</v>
      </c>
      <c r="AG55" s="14"/>
      <c r="AH55" s="21"/>
      <c r="AI55" s="21"/>
      <c r="AJ55" s="21" t="s">
        <v>519</v>
      </c>
      <c r="AK55" s="21"/>
      <c r="AL55" s="14"/>
      <c r="AM55" s="14" t="s">
        <v>3564</v>
      </c>
      <c r="AN55" s="14">
        <v>2</v>
      </c>
      <c r="AO55" s="110" t="s">
        <v>3715</v>
      </c>
      <c r="AP55" s="14" t="s">
        <v>3716</v>
      </c>
      <c r="AQ55" s="87" t="s">
        <v>3730</v>
      </c>
      <c r="AR55" s="206" t="s">
        <v>3728</v>
      </c>
      <c r="AS55" s="14"/>
      <c r="AT55" s="21"/>
      <c r="AU55" s="21"/>
      <c r="AV55" s="21" t="s">
        <v>3202</v>
      </c>
      <c r="AW55" s="21"/>
      <c r="AX55" s="14"/>
      <c r="AY55" s="14" t="s">
        <v>3785</v>
      </c>
      <c r="AZ55" s="14" t="s">
        <v>5036</v>
      </c>
      <c r="BA55" s="14" t="s">
        <v>3841</v>
      </c>
      <c r="BB55" s="14" t="s">
        <v>3548</v>
      </c>
      <c r="BC55" s="87" t="s">
        <v>3753</v>
      </c>
      <c r="BD55" s="87" t="s">
        <v>3746</v>
      </c>
      <c r="BE55" s="14"/>
      <c r="BF55" s="21"/>
      <c r="BG55" s="21"/>
      <c r="BH55" s="21" t="s">
        <v>3401</v>
      </c>
      <c r="BI55" s="21"/>
      <c r="BJ55" s="14"/>
      <c r="BK55" s="14" t="s">
        <v>3402</v>
      </c>
      <c r="BL55" s="14">
        <v>2</v>
      </c>
      <c r="BM55" s="106" t="s">
        <v>3749</v>
      </c>
      <c r="BN55" s="14" t="s">
        <v>3947</v>
      </c>
      <c r="BO55" s="87" t="s">
        <v>3651</v>
      </c>
      <c r="BP55" s="87" t="s">
        <v>3728</v>
      </c>
      <c r="BQ55" s="14"/>
      <c r="BR55" s="21"/>
      <c r="BS55" s="233"/>
      <c r="BT55" s="21" t="s">
        <v>3232</v>
      </c>
      <c r="BU55" s="21"/>
      <c r="BV55" s="14"/>
      <c r="BW55" s="14" t="s">
        <v>3494</v>
      </c>
      <c r="BX55" s="14">
        <v>2</v>
      </c>
      <c r="BY55" s="110" t="s">
        <v>3233</v>
      </c>
      <c r="BZ55" s="14" t="s">
        <v>3416</v>
      </c>
      <c r="CA55" s="87" t="s">
        <v>3417</v>
      </c>
      <c r="CB55" s="44" t="s">
        <v>3408</v>
      </c>
      <c r="CC55" s="233"/>
      <c r="CD55" s="233"/>
      <c r="CE55" s="233"/>
      <c r="CF55" s="21" t="s">
        <v>3401</v>
      </c>
      <c r="CG55" s="21"/>
      <c r="CH55" s="14"/>
      <c r="CI55" s="14" t="s">
        <v>3402</v>
      </c>
      <c r="CJ55" s="14">
        <v>2</v>
      </c>
      <c r="CK55" s="106" t="s">
        <v>3749</v>
      </c>
      <c r="CL55" s="14" t="s">
        <v>3947</v>
      </c>
      <c r="CM55" s="87" t="s">
        <v>3651</v>
      </c>
      <c r="CN55" s="87" t="s">
        <v>3728</v>
      </c>
      <c r="CO55" s="233"/>
      <c r="CP55" s="233"/>
      <c r="CQ55" s="233"/>
      <c r="CR55" s="21" t="s">
        <v>3406</v>
      </c>
      <c r="CS55" s="21"/>
      <c r="CT55" s="14"/>
      <c r="CU55" s="14" t="s">
        <v>3803</v>
      </c>
      <c r="CV55" s="14" t="s">
        <v>5036</v>
      </c>
      <c r="CW55" s="14" t="s">
        <v>3553</v>
      </c>
      <c r="CX55" s="14" t="s">
        <v>3854</v>
      </c>
      <c r="CY55" s="87" t="s">
        <v>3407</v>
      </c>
      <c r="CZ55" s="87" t="s">
        <v>3746</v>
      </c>
      <c r="DA55" s="14"/>
      <c r="DB55" s="21"/>
      <c r="DC55" s="233"/>
      <c r="DD55" s="21" t="s">
        <v>3406</v>
      </c>
      <c r="DE55" s="21"/>
      <c r="DF55" s="14"/>
      <c r="DG55" s="14" t="s">
        <v>3803</v>
      </c>
      <c r="DH55" s="14" t="s">
        <v>5036</v>
      </c>
      <c r="DI55" s="14" t="s">
        <v>3553</v>
      </c>
      <c r="DJ55" s="14" t="s">
        <v>3854</v>
      </c>
      <c r="DK55" s="87" t="s">
        <v>3407</v>
      </c>
      <c r="DL55" s="87" t="s">
        <v>3746</v>
      </c>
      <c r="DM55" s="14"/>
      <c r="DN55" s="21"/>
      <c r="DO55" s="233"/>
      <c r="DP55" s="21"/>
      <c r="DQ55" s="21"/>
      <c r="DR55" s="14"/>
      <c r="DS55" s="14"/>
      <c r="DT55" s="14"/>
      <c r="DU55" s="14"/>
      <c r="DV55" s="14"/>
      <c r="DW55" s="87"/>
      <c r="DX55" s="87"/>
      <c r="DY55" s="14"/>
      <c r="DZ55" s="233"/>
      <c r="EA55" s="233"/>
      <c r="EB55" s="21" t="s">
        <v>519</v>
      </c>
      <c r="EC55" s="21"/>
      <c r="ED55" s="14"/>
      <c r="EE55" s="14" t="s">
        <v>3564</v>
      </c>
      <c r="EF55" s="14">
        <v>2</v>
      </c>
      <c r="EG55" s="110" t="s">
        <v>3715</v>
      </c>
      <c r="EH55" s="14" t="s">
        <v>3716</v>
      </c>
      <c r="EI55" s="87" t="s">
        <v>3730</v>
      </c>
      <c r="EJ55" s="206" t="s">
        <v>3728</v>
      </c>
      <c r="EK55" s="14"/>
      <c r="EL55" s="233"/>
      <c r="EM55" s="233"/>
      <c r="EN55" s="21" t="s">
        <v>3406</v>
      </c>
      <c r="EO55" s="21"/>
      <c r="EP55" s="14"/>
      <c r="EQ55" s="14" t="s">
        <v>3803</v>
      </c>
      <c r="ER55" s="14" t="s">
        <v>5036</v>
      </c>
      <c r="ES55" s="14" t="s">
        <v>3553</v>
      </c>
      <c r="ET55" s="14" t="s">
        <v>3854</v>
      </c>
      <c r="EU55" s="87" t="s">
        <v>3407</v>
      </c>
      <c r="EV55" s="87" t="s">
        <v>3746</v>
      </c>
      <c r="EW55" s="14"/>
      <c r="EX55" s="21"/>
      <c r="EY55" s="233"/>
      <c r="EZ55" s="233"/>
      <c r="FA55" s="233"/>
      <c r="FB55" s="233"/>
      <c r="FC55" s="233"/>
      <c r="FD55" s="233"/>
    </row>
    <row r="56" spans="1:160">
      <c r="A56" s="20" t="s">
        <v>3855</v>
      </c>
      <c r="B56" s="14">
        <v>1</v>
      </c>
      <c r="C56" s="14" t="s">
        <v>3622</v>
      </c>
      <c r="D56" s="14" t="s">
        <v>5036</v>
      </c>
      <c r="E56" s="14" t="s">
        <v>3904</v>
      </c>
      <c r="F56" s="14" t="s">
        <v>3898</v>
      </c>
      <c r="G56" s="44" t="s">
        <v>3927</v>
      </c>
      <c r="H56" s="107" t="s">
        <v>3856</v>
      </c>
      <c r="I56" s="44" t="s">
        <v>3916</v>
      </c>
      <c r="J56" s="28" t="s">
        <v>3535</v>
      </c>
      <c r="K56" s="111"/>
      <c r="L56" s="21" t="s">
        <v>3409</v>
      </c>
      <c r="M56" s="14"/>
      <c r="N56" s="21"/>
      <c r="O56" s="14" t="s">
        <v>3410</v>
      </c>
      <c r="P56" s="14">
        <v>1</v>
      </c>
      <c r="Q56" s="110" t="s">
        <v>3667</v>
      </c>
      <c r="R56" s="14" t="s">
        <v>3914</v>
      </c>
      <c r="S56" s="44" t="s">
        <v>3736</v>
      </c>
      <c r="T56" s="44" t="s">
        <v>3746</v>
      </c>
      <c r="U56" s="14"/>
      <c r="V56" s="21"/>
      <c r="W56" s="21"/>
      <c r="X56" s="21" t="s">
        <v>3409</v>
      </c>
      <c r="Y56" s="21"/>
      <c r="Z56" s="14"/>
      <c r="AA56" s="14" t="s">
        <v>3410</v>
      </c>
      <c r="AB56" s="14">
        <v>1</v>
      </c>
      <c r="AC56" s="110" t="s">
        <v>3667</v>
      </c>
      <c r="AD56" s="14" t="s">
        <v>3914</v>
      </c>
      <c r="AE56" s="87" t="s">
        <v>3736</v>
      </c>
      <c r="AF56" s="87" t="s">
        <v>3746</v>
      </c>
      <c r="AG56" s="14"/>
      <c r="AH56" s="21"/>
      <c r="AI56" s="21"/>
      <c r="AJ56" s="21" t="s">
        <v>520</v>
      </c>
      <c r="AK56" s="21"/>
      <c r="AL56" s="14"/>
      <c r="AM56" s="14" t="s">
        <v>3564</v>
      </c>
      <c r="AN56" s="14">
        <v>1</v>
      </c>
      <c r="AO56" s="14" t="s">
        <v>3807</v>
      </c>
      <c r="AP56" s="14" t="s">
        <v>3716</v>
      </c>
      <c r="AQ56" s="87" t="s">
        <v>3736</v>
      </c>
      <c r="AR56" s="87" t="s">
        <v>5483</v>
      </c>
      <c r="AS56" s="14"/>
      <c r="AT56" s="21"/>
      <c r="AU56" s="21"/>
      <c r="AV56" s="21" t="s">
        <v>518</v>
      </c>
      <c r="AW56" s="21"/>
      <c r="AX56" s="14"/>
      <c r="AY56" s="14" t="s">
        <v>3564</v>
      </c>
      <c r="AZ56" s="14">
        <v>1</v>
      </c>
      <c r="BA56" s="110" t="s">
        <v>3807</v>
      </c>
      <c r="BB56" s="14" t="s">
        <v>3716</v>
      </c>
      <c r="BC56" s="87" t="s">
        <v>3736</v>
      </c>
      <c r="BD56" s="206" t="s">
        <v>5483</v>
      </c>
      <c r="BE56" s="14"/>
      <c r="BF56" s="21"/>
      <c r="BG56" s="21"/>
      <c r="BH56" s="21" t="s">
        <v>3229</v>
      </c>
      <c r="BI56" s="21"/>
      <c r="BJ56" s="14"/>
      <c r="BK56" s="14" t="s">
        <v>3208</v>
      </c>
      <c r="BL56" s="14">
        <v>2</v>
      </c>
      <c r="BM56" s="14" t="s">
        <v>3858</v>
      </c>
      <c r="BN56" s="14" t="s">
        <v>3898</v>
      </c>
      <c r="BO56" s="87" t="s">
        <v>3230</v>
      </c>
      <c r="BP56" s="87" t="s">
        <v>3231</v>
      </c>
      <c r="BQ56" s="14"/>
      <c r="BR56" s="21"/>
      <c r="BS56" s="233"/>
      <c r="BT56" s="21" t="s">
        <v>3587</v>
      </c>
      <c r="BU56" s="21"/>
      <c r="BV56" s="14"/>
      <c r="BW56" s="14" t="s">
        <v>3588</v>
      </c>
      <c r="BX56" s="14">
        <v>3</v>
      </c>
      <c r="BY56" s="110" t="s">
        <v>3663</v>
      </c>
      <c r="BZ56" s="14" t="s">
        <v>3914</v>
      </c>
      <c r="CA56" s="87" t="s">
        <v>3612</v>
      </c>
      <c r="CB56" s="87" t="s">
        <v>3859</v>
      </c>
      <c r="CC56" s="233"/>
      <c r="CD56" s="233"/>
      <c r="CE56" s="233"/>
      <c r="CF56" s="21" t="s">
        <v>3229</v>
      </c>
      <c r="CG56" s="21"/>
      <c r="CH56" s="14"/>
      <c r="CI56" s="14" t="s">
        <v>3208</v>
      </c>
      <c r="CJ56" s="14">
        <v>2</v>
      </c>
      <c r="CK56" s="14" t="s">
        <v>3858</v>
      </c>
      <c r="CL56" s="14" t="s">
        <v>3898</v>
      </c>
      <c r="CM56" s="87" t="s">
        <v>3230</v>
      </c>
      <c r="CN56" s="87" t="s">
        <v>3231</v>
      </c>
      <c r="CO56" s="233"/>
      <c r="CP56" s="233"/>
      <c r="CQ56" s="233"/>
      <c r="CR56" s="21" t="s">
        <v>3409</v>
      </c>
      <c r="CS56" s="21"/>
      <c r="CT56" s="14"/>
      <c r="CU56" s="14" t="s">
        <v>3410</v>
      </c>
      <c r="CV56" s="14">
        <v>1</v>
      </c>
      <c r="CW56" s="110" t="s">
        <v>3667</v>
      </c>
      <c r="CX56" s="14" t="s">
        <v>3914</v>
      </c>
      <c r="CY56" s="87" t="s">
        <v>3736</v>
      </c>
      <c r="CZ56" s="87" t="s">
        <v>3746</v>
      </c>
      <c r="DA56" s="14"/>
      <c r="DB56" s="21"/>
      <c r="DC56" s="233"/>
      <c r="DD56" s="21" t="s">
        <v>3409</v>
      </c>
      <c r="DE56" s="21"/>
      <c r="DF56" s="14"/>
      <c r="DG56" s="14" t="s">
        <v>3410</v>
      </c>
      <c r="DH56" s="14">
        <v>1</v>
      </c>
      <c r="DI56" s="110" t="s">
        <v>3667</v>
      </c>
      <c r="DJ56" s="14" t="s">
        <v>3914</v>
      </c>
      <c r="DK56" s="87" t="s">
        <v>3736</v>
      </c>
      <c r="DL56" s="87" t="s">
        <v>3746</v>
      </c>
      <c r="DM56" s="14"/>
      <c r="DN56" s="21"/>
      <c r="DO56" s="233"/>
      <c r="DP56" s="21"/>
      <c r="DQ56" s="21"/>
      <c r="DR56" s="14"/>
      <c r="DS56" s="14"/>
      <c r="DT56" s="14"/>
      <c r="DU56" s="110"/>
      <c r="DV56" s="14"/>
      <c r="DW56" s="87"/>
      <c r="DX56" s="87"/>
      <c r="DY56" s="14"/>
      <c r="DZ56" s="233"/>
      <c r="EA56" s="233"/>
      <c r="EB56" s="21" t="s">
        <v>520</v>
      </c>
      <c r="EC56" s="21"/>
      <c r="ED56" s="14"/>
      <c r="EE56" s="14" t="s">
        <v>3564</v>
      </c>
      <c r="EF56" s="14">
        <v>1</v>
      </c>
      <c r="EG56" s="14" t="s">
        <v>3807</v>
      </c>
      <c r="EH56" s="14" t="s">
        <v>3716</v>
      </c>
      <c r="EI56" s="87" t="s">
        <v>3736</v>
      </c>
      <c r="EJ56" s="87" t="s">
        <v>5483</v>
      </c>
      <c r="EK56" s="14"/>
      <c r="EL56" s="233"/>
      <c r="EM56" s="233"/>
      <c r="EN56" s="21" t="s">
        <v>3409</v>
      </c>
      <c r="EO56" s="21"/>
      <c r="EP56" s="14"/>
      <c r="EQ56" s="14" t="s">
        <v>3410</v>
      </c>
      <c r="ER56" s="14">
        <v>1</v>
      </c>
      <c r="ES56" s="110" t="s">
        <v>3667</v>
      </c>
      <c r="ET56" s="14" t="s">
        <v>3914</v>
      </c>
      <c r="EU56" s="87" t="s">
        <v>3736</v>
      </c>
      <c r="EV56" s="87" t="s">
        <v>3746</v>
      </c>
      <c r="EW56" s="14"/>
      <c r="EX56" s="21"/>
      <c r="EY56" s="233"/>
      <c r="EZ56" s="233"/>
      <c r="FA56" s="233"/>
      <c r="FB56" s="233"/>
      <c r="FC56" s="233"/>
      <c r="FD56" s="233"/>
    </row>
    <row r="57" spans="1:160">
      <c r="A57" s="20" t="s">
        <v>467</v>
      </c>
      <c r="B57" s="14">
        <v>1</v>
      </c>
      <c r="C57" s="14" t="s">
        <v>5871</v>
      </c>
      <c r="D57" s="14" t="s">
        <v>5036</v>
      </c>
      <c r="E57" s="106" t="s">
        <v>4039</v>
      </c>
      <c r="F57" s="14" t="s">
        <v>3898</v>
      </c>
      <c r="G57" s="44" t="s">
        <v>3550</v>
      </c>
      <c r="H57" s="107" t="s">
        <v>468</v>
      </c>
      <c r="I57" s="44" t="s">
        <v>3916</v>
      </c>
      <c r="J57" s="28" t="s">
        <v>5232</v>
      </c>
      <c r="K57" s="111"/>
      <c r="L57" s="21" t="s">
        <v>3591</v>
      </c>
      <c r="M57" s="14"/>
      <c r="N57" s="21"/>
      <c r="O57" s="14" t="s">
        <v>3412</v>
      </c>
      <c r="P57" s="14" t="s">
        <v>5036</v>
      </c>
      <c r="Q57" s="14" t="s">
        <v>3472</v>
      </c>
      <c r="R57" s="14" t="s">
        <v>3947</v>
      </c>
      <c r="S57" s="44" t="s">
        <v>3759</v>
      </c>
      <c r="T57" s="44" t="s">
        <v>3775</v>
      </c>
      <c r="U57" s="14"/>
      <c r="V57" s="21"/>
      <c r="W57" s="21"/>
      <c r="X57" s="21" t="s">
        <v>3587</v>
      </c>
      <c r="Y57" s="21"/>
      <c r="Z57" s="14"/>
      <c r="AA57" s="14" t="s">
        <v>3588</v>
      </c>
      <c r="AB57" s="14">
        <v>3</v>
      </c>
      <c r="AC57" s="110" t="s">
        <v>3663</v>
      </c>
      <c r="AD57" s="14" t="s">
        <v>3914</v>
      </c>
      <c r="AE57" s="87" t="s">
        <v>3612</v>
      </c>
      <c r="AF57" s="87" t="s">
        <v>3859</v>
      </c>
      <c r="AG57" s="14"/>
      <c r="AH57" s="21"/>
      <c r="AI57" s="21"/>
      <c r="AJ57" s="21" t="s">
        <v>3776</v>
      </c>
      <c r="AK57" s="21"/>
      <c r="AL57" s="14"/>
      <c r="AM57" s="14" t="s">
        <v>3320</v>
      </c>
      <c r="AN57" s="14">
        <v>2</v>
      </c>
      <c r="AO57" s="110" t="s">
        <v>3381</v>
      </c>
      <c r="AP57" s="14" t="s">
        <v>3898</v>
      </c>
      <c r="AQ57" s="87" t="s">
        <v>3612</v>
      </c>
      <c r="AR57" s="87" t="s">
        <v>3488</v>
      </c>
      <c r="AS57" s="14"/>
      <c r="AT57" s="21"/>
      <c r="AU57" s="21"/>
      <c r="AV57" s="21" t="s">
        <v>3394</v>
      </c>
      <c r="AW57" s="21"/>
      <c r="AX57" s="14"/>
      <c r="AY57" s="14" t="s">
        <v>3785</v>
      </c>
      <c r="AZ57" s="14">
        <v>2</v>
      </c>
      <c r="BA57" s="14" t="s">
        <v>3211</v>
      </c>
      <c r="BB57" s="14" t="s">
        <v>3716</v>
      </c>
      <c r="BC57" s="87" t="s">
        <v>3395</v>
      </c>
      <c r="BD57" s="87" t="s">
        <v>3746</v>
      </c>
      <c r="BE57" s="14"/>
      <c r="BF57" s="21"/>
      <c r="BG57" s="21"/>
      <c r="BH57" s="21" t="s">
        <v>3585</v>
      </c>
      <c r="BI57" s="21"/>
      <c r="BJ57" s="14"/>
      <c r="BK57" s="14" t="s">
        <v>3402</v>
      </c>
      <c r="BL57" s="14">
        <v>4</v>
      </c>
      <c r="BM57" s="106" t="s">
        <v>3650</v>
      </c>
      <c r="BN57" s="14" t="s">
        <v>3898</v>
      </c>
      <c r="BO57" s="87" t="s">
        <v>3651</v>
      </c>
      <c r="BP57" s="206" t="s">
        <v>3586</v>
      </c>
      <c r="BQ57" s="14"/>
      <c r="BR57" s="21"/>
      <c r="BS57" s="233"/>
      <c r="BT57" s="21" t="s">
        <v>3782</v>
      </c>
      <c r="BU57" s="21"/>
      <c r="BV57" s="14"/>
      <c r="BW57" s="14" t="s">
        <v>3588</v>
      </c>
      <c r="BX57" s="14">
        <v>1</v>
      </c>
      <c r="BY57" s="110" t="s">
        <v>3749</v>
      </c>
      <c r="BZ57" s="14" t="s">
        <v>3618</v>
      </c>
      <c r="CA57" s="87" t="s">
        <v>3765</v>
      </c>
      <c r="CB57" s="87"/>
      <c r="CC57" s="233"/>
      <c r="CD57" s="233"/>
      <c r="CE57" s="233"/>
      <c r="CF57" s="21" t="s">
        <v>3585</v>
      </c>
      <c r="CG57" s="21"/>
      <c r="CH57" s="14"/>
      <c r="CI57" s="14" t="s">
        <v>3402</v>
      </c>
      <c r="CJ57" s="14">
        <v>4</v>
      </c>
      <c r="CK57" s="106" t="s">
        <v>3650</v>
      </c>
      <c r="CL57" s="14" t="s">
        <v>3898</v>
      </c>
      <c r="CM57" s="87" t="s">
        <v>3651</v>
      </c>
      <c r="CN57" s="206" t="s">
        <v>3586</v>
      </c>
      <c r="CO57" s="233"/>
      <c r="CP57" s="233"/>
      <c r="CQ57" s="233"/>
      <c r="CR57" s="21" t="s">
        <v>3587</v>
      </c>
      <c r="CS57" s="21"/>
      <c r="CT57" s="14"/>
      <c r="CU57" s="14" t="s">
        <v>3588</v>
      </c>
      <c r="CV57" s="14">
        <v>3</v>
      </c>
      <c r="CW57" s="110" t="s">
        <v>3663</v>
      </c>
      <c r="CX57" s="14" t="s">
        <v>3914</v>
      </c>
      <c r="CY57" s="87" t="s">
        <v>3612</v>
      </c>
      <c r="CZ57" s="87" t="s">
        <v>3859</v>
      </c>
      <c r="DA57" s="14"/>
      <c r="DB57" s="21"/>
      <c r="DC57" s="233"/>
      <c r="DD57" s="21" t="s">
        <v>3587</v>
      </c>
      <c r="DE57" s="21"/>
      <c r="DF57" s="14"/>
      <c r="DG57" s="14" t="s">
        <v>3588</v>
      </c>
      <c r="DH57" s="14">
        <v>3</v>
      </c>
      <c r="DI57" s="110" t="s">
        <v>3663</v>
      </c>
      <c r="DJ57" s="14" t="s">
        <v>3914</v>
      </c>
      <c r="DK57" s="87" t="s">
        <v>3612</v>
      </c>
      <c r="DL57" s="87" t="s">
        <v>3859</v>
      </c>
      <c r="DM57" s="14"/>
      <c r="DN57" s="21"/>
      <c r="DO57" s="233"/>
      <c r="DP57" s="21"/>
      <c r="DQ57" s="21"/>
      <c r="DR57" s="14"/>
      <c r="DS57" s="14"/>
      <c r="DT57" s="14"/>
      <c r="DU57" s="110"/>
      <c r="DV57" s="14"/>
      <c r="DW57" s="87"/>
      <c r="DX57" s="87"/>
      <c r="DY57" s="14"/>
      <c r="DZ57" s="233"/>
      <c r="EA57" s="233"/>
      <c r="EB57" s="21" t="s">
        <v>3776</v>
      </c>
      <c r="EC57" s="21"/>
      <c r="ED57" s="14"/>
      <c r="EE57" s="14" t="s">
        <v>3320</v>
      </c>
      <c r="EF57" s="14">
        <v>2</v>
      </c>
      <c r="EG57" s="110" t="s">
        <v>3381</v>
      </c>
      <c r="EH57" s="14" t="s">
        <v>3898</v>
      </c>
      <c r="EI57" s="87" t="s">
        <v>3612</v>
      </c>
      <c r="EJ57" s="87" t="s">
        <v>3488</v>
      </c>
      <c r="EK57" s="14"/>
      <c r="EL57" s="233"/>
      <c r="EM57" s="233"/>
      <c r="EN57" s="21" t="s">
        <v>3587</v>
      </c>
      <c r="EO57" s="21"/>
      <c r="EP57" s="14"/>
      <c r="EQ57" s="14" t="s">
        <v>3588</v>
      </c>
      <c r="ER57" s="14">
        <v>3</v>
      </c>
      <c r="ES57" s="110" t="s">
        <v>3663</v>
      </c>
      <c r="ET57" s="14" t="s">
        <v>3914</v>
      </c>
      <c r="EU57" s="87" t="s">
        <v>3612</v>
      </c>
      <c r="EV57" s="87" t="s">
        <v>3859</v>
      </c>
      <c r="EW57" s="14"/>
      <c r="EX57" s="21"/>
      <c r="EY57" s="233"/>
      <c r="EZ57" s="233"/>
      <c r="FA57" s="233"/>
      <c r="FB57" s="233"/>
      <c r="FC57" s="233"/>
      <c r="FD57" s="233"/>
    </row>
    <row r="58" spans="1:160">
      <c r="A58" s="20" t="s">
        <v>3891</v>
      </c>
      <c r="B58" s="14">
        <v>1</v>
      </c>
      <c r="C58" s="14" t="s">
        <v>3622</v>
      </c>
      <c r="D58" s="14" t="s">
        <v>5036</v>
      </c>
      <c r="E58" s="14" t="s">
        <v>3904</v>
      </c>
      <c r="F58" s="14" t="s">
        <v>3898</v>
      </c>
      <c r="G58" s="44" t="s">
        <v>3927</v>
      </c>
      <c r="H58" s="107" t="s">
        <v>3892</v>
      </c>
      <c r="I58" s="44" t="s">
        <v>3916</v>
      </c>
      <c r="J58" s="28" t="s">
        <v>3535</v>
      </c>
      <c r="K58" s="111"/>
      <c r="L58" s="21" t="s">
        <v>3783</v>
      </c>
      <c r="M58" s="14"/>
      <c r="N58" s="21"/>
      <c r="O58" s="14" t="s">
        <v>3666</v>
      </c>
      <c r="P58" s="14">
        <v>1</v>
      </c>
      <c r="Q58" s="197" t="s">
        <v>3798</v>
      </c>
      <c r="R58" s="14" t="s">
        <v>3947</v>
      </c>
      <c r="S58" s="44" t="s">
        <v>3948</v>
      </c>
      <c r="T58" s="44" t="s">
        <v>3799</v>
      </c>
      <c r="U58" s="14"/>
      <c r="V58" s="21"/>
      <c r="W58" s="21"/>
      <c r="X58" s="21" t="s">
        <v>3800</v>
      </c>
      <c r="Y58" s="21"/>
      <c r="Z58" s="14"/>
      <c r="AA58" s="14" t="s">
        <v>3588</v>
      </c>
      <c r="AB58" s="14">
        <v>2</v>
      </c>
      <c r="AC58" s="110" t="s">
        <v>3801</v>
      </c>
      <c r="AD58" s="14" t="s">
        <v>3618</v>
      </c>
      <c r="AE58" s="87" t="s">
        <v>3420</v>
      </c>
      <c r="AF58" s="87" t="s">
        <v>5483</v>
      </c>
      <c r="AG58" s="14"/>
      <c r="AH58" s="21"/>
      <c r="AI58" s="21"/>
      <c r="AJ58" s="21" t="s">
        <v>399</v>
      </c>
      <c r="AK58" s="21"/>
      <c r="AL58" s="14"/>
      <c r="AM58" s="14" t="s">
        <v>5882</v>
      </c>
      <c r="AN58" s="14">
        <v>1</v>
      </c>
      <c r="AO58" s="110" t="s">
        <v>3858</v>
      </c>
      <c r="AP58" s="14" t="s">
        <v>3931</v>
      </c>
      <c r="AQ58" s="44" t="s">
        <v>3843</v>
      </c>
      <c r="AR58" s="44" t="s">
        <v>377</v>
      </c>
      <c r="AS58" s="14"/>
      <c r="AT58" s="21"/>
      <c r="AU58" s="21"/>
      <c r="AV58" s="21" t="s">
        <v>3411</v>
      </c>
      <c r="AW58" s="21"/>
      <c r="AX58" s="14"/>
      <c r="AY58" s="14" t="s">
        <v>3412</v>
      </c>
      <c r="AZ58" s="14">
        <v>4</v>
      </c>
      <c r="BA58" s="110" t="s">
        <v>3413</v>
      </c>
      <c r="BB58" s="14" t="s">
        <v>3414</v>
      </c>
      <c r="BC58" s="87" t="s">
        <v>3420</v>
      </c>
      <c r="BD58" s="87" t="s">
        <v>3584</v>
      </c>
      <c r="BE58" s="14"/>
      <c r="BF58" s="21"/>
      <c r="BG58" s="21"/>
      <c r="BH58" s="21" t="s">
        <v>3780</v>
      </c>
      <c r="BI58" s="21"/>
      <c r="BJ58" s="14"/>
      <c r="BK58" s="14" t="s">
        <v>3208</v>
      </c>
      <c r="BL58" s="14">
        <v>0</v>
      </c>
      <c r="BM58" s="110" t="s">
        <v>3781</v>
      </c>
      <c r="BN58" s="14" t="s">
        <v>3716</v>
      </c>
      <c r="BO58" s="87" t="s">
        <v>3736</v>
      </c>
      <c r="BP58" s="206" t="s">
        <v>3706</v>
      </c>
      <c r="BQ58" s="14"/>
      <c r="BR58" s="21"/>
      <c r="BS58" s="233"/>
      <c r="BT58" s="21" t="s">
        <v>3443</v>
      </c>
      <c r="BU58" s="21"/>
      <c r="BV58" s="14"/>
      <c r="BW58" s="14" t="s">
        <v>3588</v>
      </c>
      <c r="BX58" s="14">
        <v>1</v>
      </c>
      <c r="BY58" s="110" t="s">
        <v>3530</v>
      </c>
      <c r="BZ58" s="14" t="s">
        <v>3898</v>
      </c>
      <c r="CA58" s="87" t="s">
        <v>3444</v>
      </c>
      <c r="CB58" s="87" t="s">
        <v>5483</v>
      </c>
      <c r="CC58" s="233"/>
      <c r="CD58" s="233"/>
      <c r="CE58" s="233"/>
      <c r="CF58" s="21" t="s">
        <v>3780</v>
      </c>
      <c r="CG58" s="21"/>
      <c r="CH58" s="14"/>
      <c r="CI58" s="14" t="s">
        <v>3208</v>
      </c>
      <c r="CJ58" s="14">
        <v>0</v>
      </c>
      <c r="CK58" s="110" t="s">
        <v>3781</v>
      </c>
      <c r="CL58" s="14" t="s">
        <v>3716</v>
      </c>
      <c r="CM58" s="87" t="s">
        <v>3736</v>
      </c>
      <c r="CN58" s="206" t="s">
        <v>3706</v>
      </c>
      <c r="CO58" s="233"/>
      <c r="CP58" s="233"/>
      <c r="CQ58" s="233"/>
      <c r="CR58" s="21" t="s">
        <v>3800</v>
      </c>
      <c r="CS58" s="21"/>
      <c r="CT58" s="14"/>
      <c r="CU58" s="14" t="s">
        <v>3588</v>
      </c>
      <c r="CV58" s="14">
        <v>2</v>
      </c>
      <c r="CW58" s="110" t="s">
        <v>3801</v>
      </c>
      <c r="CX58" s="14" t="s">
        <v>3618</v>
      </c>
      <c r="CY58" s="87" t="s">
        <v>3420</v>
      </c>
      <c r="CZ58" s="87" t="s">
        <v>5483</v>
      </c>
      <c r="DA58" s="14"/>
      <c r="DB58" s="21"/>
      <c r="DC58" s="233"/>
      <c r="DD58" s="21" t="s">
        <v>3800</v>
      </c>
      <c r="DE58" s="21"/>
      <c r="DF58" s="14"/>
      <c r="DG58" s="14" t="s">
        <v>3588</v>
      </c>
      <c r="DH58" s="14">
        <v>2</v>
      </c>
      <c r="DI58" s="110" t="s">
        <v>3801</v>
      </c>
      <c r="DJ58" s="14" t="s">
        <v>3618</v>
      </c>
      <c r="DK58" s="87" t="s">
        <v>3420</v>
      </c>
      <c r="DL58" s="87" t="s">
        <v>5483</v>
      </c>
      <c r="DM58" s="14"/>
      <c r="DN58" s="21"/>
      <c r="DO58" s="233"/>
      <c r="DP58" s="21"/>
      <c r="DQ58" s="21"/>
      <c r="DR58" s="14"/>
      <c r="DS58" s="14"/>
      <c r="DT58" s="14"/>
      <c r="DU58" s="110"/>
      <c r="DV58" s="14"/>
      <c r="DW58" s="111"/>
      <c r="DX58" s="111"/>
      <c r="DY58" s="14"/>
      <c r="DZ58" s="233"/>
      <c r="EA58" s="233"/>
      <c r="EB58" s="21" t="s">
        <v>399</v>
      </c>
      <c r="EC58" s="21"/>
      <c r="ED58" s="14"/>
      <c r="EE58" s="14" t="s">
        <v>5882</v>
      </c>
      <c r="EF58" s="14">
        <v>1</v>
      </c>
      <c r="EG58" s="110" t="s">
        <v>3858</v>
      </c>
      <c r="EH58" s="14" t="s">
        <v>3931</v>
      </c>
      <c r="EI58" s="44" t="s">
        <v>3843</v>
      </c>
      <c r="EJ58" s="44" t="s">
        <v>377</v>
      </c>
      <c r="EK58" s="14"/>
      <c r="EL58" s="233"/>
      <c r="EM58" s="233"/>
      <c r="EN58" s="21" t="s">
        <v>3800</v>
      </c>
      <c r="EO58" s="21"/>
      <c r="EP58" s="14"/>
      <c r="EQ58" s="14" t="s">
        <v>3588</v>
      </c>
      <c r="ER58" s="14">
        <v>2</v>
      </c>
      <c r="ES58" s="110" t="s">
        <v>3801</v>
      </c>
      <c r="ET58" s="14" t="s">
        <v>3618</v>
      </c>
      <c r="EU58" s="87" t="s">
        <v>3420</v>
      </c>
      <c r="EV58" s="87" t="s">
        <v>5483</v>
      </c>
      <c r="EW58" s="14"/>
      <c r="EX58" s="21"/>
      <c r="EY58" s="233"/>
      <c r="EZ58" s="233"/>
      <c r="FA58" s="233"/>
      <c r="FB58" s="233"/>
      <c r="FC58" s="233"/>
      <c r="FD58" s="233"/>
    </row>
    <row r="59" spans="1:160">
      <c r="A59" s="20" t="s">
        <v>3533</v>
      </c>
      <c r="B59" s="14">
        <v>1</v>
      </c>
      <c r="C59" s="14" t="s">
        <v>3907</v>
      </c>
      <c r="D59" s="14" t="s">
        <v>5036</v>
      </c>
      <c r="E59" s="14" t="s">
        <v>4150</v>
      </c>
      <c r="F59" s="14" t="s">
        <v>3914</v>
      </c>
      <c r="G59" s="44" t="s">
        <v>3759</v>
      </c>
      <c r="H59" s="44" t="s">
        <v>3915</v>
      </c>
      <c r="I59" s="44" t="s">
        <v>3589</v>
      </c>
      <c r="J59" s="28" t="s">
        <v>3590</v>
      </c>
      <c r="K59" s="111"/>
      <c r="L59" s="21" t="s">
        <v>3587</v>
      </c>
      <c r="M59" s="14"/>
      <c r="N59" s="21"/>
      <c r="O59" s="14" t="s">
        <v>3588</v>
      </c>
      <c r="P59" s="14">
        <v>3</v>
      </c>
      <c r="Q59" s="110" t="s">
        <v>3663</v>
      </c>
      <c r="R59" s="14" t="s">
        <v>3914</v>
      </c>
      <c r="S59" s="44" t="s">
        <v>3612</v>
      </c>
      <c r="T59" s="44" t="s">
        <v>3859</v>
      </c>
      <c r="U59" s="14"/>
      <c r="V59" s="21"/>
      <c r="W59" s="21"/>
      <c r="X59" s="21" t="s">
        <v>3782</v>
      </c>
      <c r="Y59" s="21"/>
      <c r="Z59" s="14"/>
      <c r="AA59" s="14" t="s">
        <v>3588</v>
      </c>
      <c r="AB59" s="14">
        <v>1</v>
      </c>
      <c r="AC59" s="110" t="s">
        <v>3749</v>
      </c>
      <c r="AD59" s="14" t="s">
        <v>3618</v>
      </c>
      <c r="AE59" s="87" t="s">
        <v>3765</v>
      </c>
      <c r="AF59" s="87" t="s">
        <v>5483</v>
      </c>
      <c r="AG59" s="14"/>
      <c r="AH59" s="21"/>
      <c r="AI59" s="21"/>
      <c r="AJ59" s="21" t="s">
        <v>3802</v>
      </c>
      <c r="AK59" s="21"/>
      <c r="AL59" s="14"/>
      <c r="AM59" s="14" t="s">
        <v>3320</v>
      </c>
      <c r="AN59" s="14">
        <v>2</v>
      </c>
      <c r="AO59" s="110" t="s">
        <v>3749</v>
      </c>
      <c r="AP59" s="14" t="s">
        <v>3898</v>
      </c>
      <c r="AQ59" s="87" t="s">
        <v>3612</v>
      </c>
      <c r="AR59" s="87" t="s">
        <v>3606</v>
      </c>
      <c r="AS59" s="14"/>
      <c r="AT59" s="21"/>
      <c r="AU59" s="21"/>
      <c r="AV59" s="21" t="s">
        <v>3777</v>
      </c>
      <c r="AW59" s="21"/>
      <c r="AX59" s="14"/>
      <c r="AY59" s="14" t="s">
        <v>3412</v>
      </c>
      <c r="AZ59" s="14">
        <v>1</v>
      </c>
      <c r="BA59" s="110" t="s">
        <v>3778</v>
      </c>
      <c r="BB59" s="14" t="s">
        <v>3473</v>
      </c>
      <c r="BC59" s="87" t="s">
        <v>3736</v>
      </c>
      <c r="BD59" s="87" t="s">
        <v>3779</v>
      </c>
      <c r="BE59" s="14"/>
      <c r="BF59" s="21"/>
      <c r="BG59" s="21"/>
      <c r="BH59" s="21" t="s">
        <v>3607</v>
      </c>
      <c r="BI59" s="21"/>
      <c r="BJ59" s="14"/>
      <c r="BK59" s="14" t="s">
        <v>3546</v>
      </c>
      <c r="BL59" s="14" t="s">
        <v>5036</v>
      </c>
      <c r="BM59" s="14" t="s">
        <v>3841</v>
      </c>
      <c r="BN59" s="14" t="s">
        <v>3898</v>
      </c>
      <c r="BO59" s="87" t="s">
        <v>3753</v>
      </c>
      <c r="BP59" s="87" t="s">
        <v>3442</v>
      </c>
      <c r="BQ59" s="14"/>
      <c r="BR59" s="21"/>
      <c r="BS59" s="233"/>
      <c r="BT59" s="21" t="s">
        <v>3276</v>
      </c>
      <c r="BU59" s="21"/>
      <c r="BV59" s="14"/>
      <c r="BW59" s="14" t="s">
        <v>3410</v>
      </c>
      <c r="BX59" s="14">
        <v>0</v>
      </c>
      <c r="BY59" s="14" t="s">
        <v>5361</v>
      </c>
      <c r="BZ59" s="14" t="s">
        <v>3979</v>
      </c>
      <c r="CA59" s="87" t="s">
        <v>3736</v>
      </c>
      <c r="CB59" s="87" t="s">
        <v>3277</v>
      </c>
      <c r="CC59" s="233"/>
      <c r="CD59" s="233"/>
      <c r="CE59" s="233"/>
      <c r="CF59" s="21" t="s">
        <v>3607</v>
      </c>
      <c r="CG59" s="21"/>
      <c r="CH59" s="14"/>
      <c r="CI59" s="14" t="s">
        <v>3546</v>
      </c>
      <c r="CJ59" s="14" t="s">
        <v>5036</v>
      </c>
      <c r="CK59" s="14" t="s">
        <v>3841</v>
      </c>
      <c r="CL59" s="14" t="s">
        <v>3898</v>
      </c>
      <c r="CM59" s="87" t="s">
        <v>3753</v>
      </c>
      <c r="CN59" s="87" t="s">
        <v>3442</v>
      </c>
      <c r="CO59" s="233"/>
      <c r="CP59" s="233"/>
      <c r="CQ59" s="233"/>
      <c r="CR59" s="21" t="s">
        <v>3782</v>
      </c>
      <c r="CS59" s="21"/>
      <c r="CT59" s="14"/>
      <c r="CU59" s="14" t="s">
        <v>3588</v>
      </c>
      <c r="CV59" s="14">
        <v>1</v>
      </c>
      <c r="CW59" s="110" t="s">
        <v>3749</v>
      </c>
      <c r="CX59" s="14" t="s">
        <v>3618</v>
      </c>
      <c r="CY59" s="87" t="s">
        <v>3765</v>
      </c>
      <c r="CZ59" s="87" t="s">
        <v>5483</v>
      </c>
      <c r="DA59" s="14"/>
      <c r="DB59" s="21"/>
      <c r="DC59" s="233"/>
      <c r="DD59" s="21" t="s">
        <v>3782</v>
      </c>
      <c r="DE59" s="21"/>
      <c r="DF59" s="14"/>
      <c r="DG59" s="14" t="s">
        <v>3588</v>
      </c>
      <c r="DH59" s="14">
        <v>1</v>
      </c>
      <c r="DI59" s="110" t="s">
        <v>3749</v>
      </c>
      <c r="DJ59" s="14" t="s">
        <v>3618</v>
      </c>
      <c r="DK59" s="87" t="s">
        <v>3765</v>
      </c>
      <c r="DL59" s="87" t="s">
        <v>5483</v>
      </c>
      <c r="DM59" s="14"/>
      <c r="DN59" s="21"/>
      <c r="DO59" s="233"/>
      <c r="DP59" s="21"/>
      <c r="DQ59" s="21"/>
      <c r="DR59" s="14"/>
      <c r="DS59" s="14"/>
      <c r="DT59" s="14"/>
      <c r="DU59" s="110"/>
      <c r="DV59" s="14"/>
      <c r="DW59" s="87"/>
      <c r="DX59" s="87"/>
      <c r="DY59" s="14"/>
      <c r="DZ59" s="233"/>
      <c r="EA59" s="233"/>
      <c r="EB59" s="21" t="s">
        <v>3802</v>
      </c>
      <c r="EC59" s="21"/>
      <c r="ED59" s="14"/>
      <c r="EE59" s="14" t="s">
        <v>3320</v>
      </c>
      <c r="EF59" s="14">
        <v>2</v>
      </c>
      <c r="EG59" s="110" t="s">
        <v>3749</v>
      </c>
      <c r="EH59" s="14" t="s">
        <v>3898</v>
      </c>
      <c r="EI59" s="87" t="s">
        <v>3612</v>
      </c>
      <c r="EJ59" s="87" t="s">
        <v>3606</v>
      </c>
      <c r="EK59" s="14"/>
      <c r="EL59" s="233"/>
      <c r="EM59" s="233"/>
      <c r="EN59" s="21" t="s">
        <v>3782</v>
      </c>
      <c r="EO59" s="21"/>
      <c r="EP59" s="14"/>
      <c r="EQ59" s="14" t="s">
        <v>3588</v>
      </c>
      <c r="ER59" s="14">
        <v>1</v>
      </c>
      <c r="ES59" s="110" t="s">
        <v>3749</v>
      </c>
      <c r="ET59" s="14" t="s">
        <v>3618</v>
      </c>
      <c r="EU59" s="87" t="s">
        <v>3765</v>
      </c>
      <c r="EV59" s="87" t="s">
        <v>5483</v>
      </c>
      <c r="EW59" s="14"/>
      <c r="EX59" s="21"/>
      <c r="EY59" s="233"/>
      <c r="EZ59" s="233"/>
      <c r="FA59" s="233"/>
      <c r="FB59" s="233"/>
      <c r="FC59" s="233"/>
      <c r="FD59" s="233"/>
    </row>
    <row r="60" spans="1:160">
      <c r="A60" s="20" t="s">
        <v>3998</v>
      </c>
      <c r="B60" s="14">
        <v>1</v>
      </c>
      <c r="C60" s="14" t="s">
        <v>3737</v>
      </c>
      <c r="D60" s="14">
        <v>1</v>
      </c>
      <c r="E60" s="110" t="s">
        <v>3999</v>
      </c>
      <c r="F60" s="14" t="s">
        <v>4000</v>
      </c>
      <c r="G60" s="44" t="s">
        <v>3765</v>
      </c>
      <c r="H60" s="44" t="s">
        <v>3728</v>
      </c>
      <c r="I60" s="44">
        <v>4</v>
      </c>
      <c r="J60" s="28" t="s">
        <v>4447</v>
      </c>
      <c r="K60" s="111"/>
      <c r="L60" s="21" t="s">
        <v>3782</v>
      </c>
      <c r="M60" s="14"/>
      <c r="N60" s="21"/>
      <c r="O60" s="14" t="s">
        <v>3588</v>
      </c>
      <c r="P60" s="14">
        <v>1</v>
      </c>
      <c r="Q60" s="110" t="s">
        <v>3749</v>
      </c>
      <c r="R60" s="14" t="s">
        <v>3618</v>
      </c>
      <c r="S60" s="44" t="s">
        <v>3765</v>
      </c>
      <c r="T60" s="44" t="s">
        <v>5483</v>
      </c>
      <c r="U60" s="14"/>
      <c r="V60" s="21"/>
      <c r="W60" s="21"/>
      <c r="X60" s="21" t="s">
        <v>3443</v>
      </c>
      <c r="Y60" s="21"/>
      <c r="Z60" s="14"/>
      <c r="AA60" s="14" t="s">
        <v>3588</v>
      </c>
      <c r="AB60" s="14">
        <v>1</v>
      </c>
      <c r="AC60" s="110" t="s">
        <v>3530</v>
      </c>
      <c r="AD60" s="14" t="s">
        <v>3898</v>
      </c>
      <c r="AE60" s="87" t="s">
        <v>3444</v>
      </c>
      <c r="AF60" s="87" t="s">
        <v>3746</v>
      </c>
      <c r="AG60" s="14"/>
      <c r="AH60" s="21"/>
      <c r="AI60" s="21"/>
      <c r="AJ60" s="21" t="s">
        <v>3445</v>
      </c>
      <c r="AK60" s="21"/>
      <c r="AL60" s="14"/>
      <c r="AM60" s="14" t="s">
        <v>3446</v>
      </c>
      <c r="AN60" s="14">
        <v>2</v>
      </c>
      <c r="AO60" s="110" t="s">
        <v>3233</v>
      </c>
      <c r="AP60" s="14" t="s">
        <v>3936</v>
      </c>
      <c r="AQ60" s="111" t="s">
        <v>3550</v>
      </c>
      <c r="AR60" s="111" t="s">
        <v>3447</v>
      </c>
      <c r="AS60" s="14"/>
      <c r="AT60" s="233"/>
      <c r="AU60" s="14"/>
      <c r="AV60" s="21" t="s">
        <v>3591</v>
      </c>
      <c r="AW60" s="21"/>
      <c r="AX60" s="14"/>
      <c r="AY60" s="14" t="s">
        <v>3412</v>
      </c>
      <c r="AZ60" s="14" t="s">
        <v>5036</v>
      </c>
      <c r="BA60" s="110" t="s">
        <v>3472</v>
      </c>
      <c r="BB60" s="14" t="s">
        <v>3947</v>
      </c>
      <c r="BC60" s="87" t="s">
        <v>3759</v>
      </c>
      <c r="BD60" s="87" t="s">
        <v>3775</v>
      </c>
      <c r="BE60" s="14"/>
      <c r="BF60" s="21"/>
      <c r="BG60" s="21"/>
      <c r="BH60" s="21" t="s">
        <v>3209</v>
      </c>
      <c r="BI60" s="21"/>
      <c r="BJ60" s="14"/>
      <c r="BK60" s="14" t="s">
        <v>3210</v>
      </c>
      <c r="BL60" s="14">
        <v>1</v>
      </c>
      <c r="BM60" s="110" t="s">
        <v>3211</v>
      </c>
      <c r="BN60" s="14" t="s">
        <v>4000</v>
      </c>
      <c r="BO60" s="87" t="s">
        <v>3212</v>
      </c>
      <c r="BP60" s="87" t="s">
        <v>3213</v>
      </c>
      <c r="BQ60" s="14"/>
      <c r="BR60" s="21"/>
      <c r="BS60" s="233"/>
      <c r="BT60" s="21" t="s">
        <v>3457</v>
      </c>
      <c r="BU60" s="21"/>
      <c r="BV60" s="14"/>
      <c r="BW60" s="14" t="s">
        <v>3210</v>
      </c>
      <c r="BX60" s="14">
        <v>2</v>
      </c>
      <c r="BY60" s="110" t="s">
        <v>3807</v>
      </c>
      <c r="BZ60" s="14" t="s">
        <v>3473</v>
      </c>
      <c r="CA60" s="87" t="s">
        <v>3736</v>
      </c>
      <c r="CB60" s="87" t="s">
        <v>3859</v>
      </c>
      <c r="CC60" s="233"/>
      <c r="CD60" s="233"/>
      <c r="CE60" s="233"/>
      <c r="CF60" s="21" t="s">
        <v>3209</v>
      </c>
      <c r="CG60" s="21"/>
      <c r="CH60" s="14"/>
      <c r="CI60" s="14" t="s">
        <v>3210</v>
      </c>
      <c r="CJ60" s="14">
        <v>1</v>
      </c>
      <c r="CK60" s="110" t="s">
        <v>3211</v>
      </c>
      <c r="CL60" s="14" t="s">
        <v>4000</v>
      </c>
      <c r="CM60" s="87" t="s">
        <v>3212</v>
      </c>
      <c r="CN60" s="87" t="s">
        <v>3213</v>
      </c>
      <c r="CO60" s="233"/>
      <c r="CP60" s="233"/>
      <c r="CQ60" s="233"/>
      <c r="CR60" s="21" t="s">
        <v>3443</v>
      </c>
      <c r="CS60" s="21"/>
      <c r="CT60" s="14"/>
      <c r="CU60" s="14" t="s">
        <v>3588</v>
      </c>
      <c r="CV60" s="14">
        <v>1</v>
      </c>
      <c r="CW60" s="110" t="s">
        <v>3530</v>
      </c>
      <c r="CX60" s="14" t="s">
        <v>3898</v>
      </c>
      <c r="CY60" s="87" t="s">
        <v>3444</v>
      </c>
      <c r="CZ60" s="87" t="s">
        <v>3746</v>
      </c>
      <c r="DA60" s="14"/>
      <c r="DB60" s="21"/>
      <c r="DC60" s="233"/>
      <c r="DD60" s="21" t="s">
        <v>3443</v>
      </c>
      <c r="DE60" s="21"/>
      <c r="DF60" s="14"/>
      <c r="DG60" s="14" t="s">
        <v>3588</v>
      </c>
      <c r="DH60" s="14">
        <v>1</v>
      </c>
      <c r="DI60" s="110" t="s">
        <v>3530</v>
      </c>
      <c r="DJ60" s="14" t="s">
        <v>3898</v>
      </c>
      <c r="DK60" s="87" t="s">
        <v>3444</v>
      </c>
      <c r="DL60" s="87" t="s">
        <v>3746</v>
      </c>
      <c r="DM60" s="14"/>
      <c r="DN60" s="21"/>
      <c r="DO60" s="233"/>
      <c r="DP60" s="21"/>
      <c r="DQ60" s="21"/>
      <c r="DR60" s="14"/>
      <c r="DS60" s="14"/>
      <c r="DT60" s="14"/>
      <c r="DU60" s="110"/>
      <c r="DV60" s="14"/>
      <c r="DW60" s="87"/>
      <c r="DX60" s="87"/>
      <c r="DY60" s="14"/>
      <c r="DZ60" s="233"/>
      <c r="EA60" s="233"/>
      <c r="EB60" s="21" t="s">
        <v>3445</v>
      </c>
      <c r="EC60" s="21"/>
      <c r="ED60" s="14"/>
      <c r="EE60" s="14" t="s">
        <v>3446</v>
      </c>
      <c r="EF60" s="14">
        <v>2</v>
      </c>
      <c r="EG60" s="110" t="s">
        <v>3233</v>
      </c>
      <c r="EH60" s="14" t="s">
        <v>3936</v>
      </c>
      <c r="EI60" s="111" t="s">
        <v>3550</v>
      </c>
      <c r="EJ60" s="111" t="s">
        <v>3447</v>
      </c>
      <c r="EK60" s="14"/>
      <c r="EL60" s="233"/>
      <c r="EM60" s="233"/>
      <c r="EN60" s="21" t="s">
        <v>3443</v>
      </c>
      <c r="EO60" s="21"/>
      <c r="EP60" s="14"/>
      <c r="EQ60" s="14" t="s">
        <v>3588</v>
      </c>
      <c r="ER60" s="14">
        <v>1</v>
      </c>
      <c r="ES60" s="110" t="s">
        <v>3530</v>
      </c>
      <c r="ET60" s="14" t="s">
        <v>3898</v>
      </c>
      <c r="EU60" s="87" t="s">
        <v>3444</v>
      </c>
      <c r="EV60" s="87" t="s">
        <v>3746</v>
      </c>
      <c r="EW60" s="14"/>
      <c r="EX60" s="21"/>
      <c r="EY60" s="233"/>
      <c r="EZ60" s="233"/>
      <c r="FA60" s="233"/>
      <c r="FB60" s="233"/>
      <c r="FC60" s="233"/>
      <c r="FD60" s="233"/>
    </row>
    <row r="61" spans="1:160">
      <c r="A61" s="20" t="s">
        <v>3668</v>
      </c>
      <c r="B61" s="14">
        <v>1</v>
      </c>
      <c r="C61" s="14" t="s">
        <v>3669</v>
      </c>
      <c r="D61" s="14" t="s">
        <v>5036</v>
      </c>
      <c r="E61" s="197" t="s">
        <v>3897</v>
      </c>
      <c r="F61" s="14" t="s">
        <v>3898</v>
      </c>
      <c r="G61" s="44" t="s">
        <v>3670</v>
      </c>
      <c r="H61" s="44" t="s">
        <v>3671</v>
      </c>
      <c r="I61" s="44" t="s">
        <v>3900</v>
      </c>
      <c r="J61" s="28" t="s">
        <v>4773</v>
      </c>
      <c r="K61" s="111"/>
      <c r="L61" s="21" t="s">
        <v>3458</v>
      </c>
      <c r="M61" s="14"/>
      <c r="N61" s="21"/>
      <c r="O61" s="14" t="s">
        <v>3210</v>
      </c>
      <c r="P61" s="14">
        <v>2</v>
      </c>
      <c r="Q61" s="110" t="s">
        <v>3459</v>
      </c>
      <c r="R61" s="14" t="s">
        <v>3898</v>
      </c>
      <c r="S61" s="44" t="s">
        <v>3460</v>
      </c>
      <c r="T61" s="44" t="s">
        <v>3915</v>
      </c>
      <c r="U61" s="14"/>
      <c r="V61" s="21"/>
      <c r="W61" s="21"/>
      <c r="X61" s="21" t="s">
        <v>3276</v>
      </c>
      <c r="Y61" s="21"/>
      <c r="Z61" s="14"/>
      <c r="AA61" s="14" t="s">
        <v>3410</v>
      </c>
      <c r="AB61" s="14">
        <v>0</v>
      </c>
      <c r="AC61" s="14" t="s">
        <v>5361</v>
      </c>
      <c r="AD61" s="14" t="s">
        <v>3979</v>
      </c>
      <c r="AE61" s="87" t="s">
        <v>3736</v>
      </c>
      <c r="AF61" s="87" t="s">
        <v>3277</v>
      </c>
      <c r="AG61" s="14"/>
      <c r="AH61" s="21"/>
      <c r="AI61" s="21"/>
      <c r="AJ61" s="21" t="s">
        <v>3278</v>
      </c>
      <c r="AK61" s="21"/>
      <c r="AL61" s="14"/>
      <c r="AM61" s="14" t="s">
        <v>3320</v>
      </c>
      <c r="AN61" s="14">
        <v>1</v>
      </c>
      <c r="AO61" s="110" t="s">
        <v>3279</v>
      </c>
      <c r="AP61" s="14" t="s">
        <v>3716</v>
      </c>
      <c r="AQ61" s="87" t="s">
        <v>3843</v>
      </c>
      <c r="AR61" s="87" t="s">
        <v>3728</v>
      </c>
      <c r="AS61" s="14"/>
      <c r="AT61" s="233"/>
      <c r="AU61" s="14"/>
      <c r="AV61" s="21" t="s">
        <v>3448</v>
      </c>
      <c r="AW61" s="21"/>
      <c r="AX61" s="14"/>
      <c r="AY61" s="14" t="s">
        <v>3371</v>
      </c>
      <c r="AZ61" s="14">
        <v>2</v>
      </c>
      <c r="BA61" s="110" t="s">
        <v>3858</v>
      </c>
      <c r="BB61" s="14" t="s">
        <v>3898</v>
      </c>
      <c r="BC61" s="87" t="s">
        <v>3420</v>
      </c>
      <c r="BD61" s="87" t="s">
        <v>3275</v>
      </c>
      <c r="BE61" s="14"/>
      <c r="BF61" s="21"/>
      <c r="BG61" s="21"/>
      <c r="BH61" s="21" t="s">
        <v>3284</v>
      </c>
      <c r="BI61" s="21"/>
      <c r="BJ61" s="14"/>
      <c r="BK61" s="14" t="s">
        <v>3455</v>
      </c>
      <c r="BL61" s="14">
        <v>0</v>
      </c>
      <c r="BM61" s="197" t="s">
        <v>3553</v>
      </c>
      <c r="BN61" s="14" t="s">
        <v>3456</v>
      </c>
      <c r="BO61" s="87" t="s">
        <v>3736</v>
      </c>
      <c r="BP61" s="87" t="s">
        <v>3859</v>
      </c>
      <c r="BQ61" s="14"/>
      <c r="BR61" s="21"/>
      <c r="BS61" s="233"/>
      <c r="BT61" s="21" t="s">
        <v>3109</v>
      </c>
      <c r="BU61" s="21"/>
      <c r="BV61" s="14"/>
      <c r="BW61" s="112" t="s">
        <v>3615</v>
      </c>
      <c r="BX61" s="14">
        <v>2</v>
      </c>
      <c r="BY61" s="110" t="s">
        <v>3233</v>
      </c>
      <c r="BZ61" s="14" t="s">
        <v>3931</v>
      </c>
      <c r="CA61" s="87" t="s">
        <v>3911</v>
      </c>
      <c r="CB61" s="44" t="s">
        <v>3110</v>
      </c>
      <c r="CC61" s="233"/>
      <c r="CD61" s="233"/>
      <c r="CE61" s="233"/>
      <c r="CF61" s="21" t="s">
        <v>3284</v>
      </c>
      <c r="CG61" s="21"/>
      <c r="CH61" s="14"/>
      <c r="CI61" s="14" t="s">
        <v>3455</v>
      </c>
      <c r="CJ61" s="14">
        <v>0</v>
      </c>
      <c r="CK61" s="197" t="s">
        <v>3553</v>
      </c>
      <c r="CL61" s="14" t="s">
        <v>3456</v>
      </c>
      <c r="CM61" s="87" t="s">
        <v>3736</v>
      </c>
      <c r="CN61" s="87" t="s">
        <v>3859</v>
      </c>
      <c r="CO61" s="233"/>
      <c r="CP61" s="233"/>
      <c r="CQ61" s="233"/>
      <c r="CR61" s="21" t="s">
        <v>3276</v>
      </c>
      <c r="CS61" s="21"/>
      <c r="CT61" s="14"/>
      <c r="CU61" s="14" t="s">
        <v>3410</v>
      </c>
      <c r="CV61" s="14">
        <v>0</v>
      </c>
      <c r="CW61" s="14" t="s">
        <v>5361</v>
      </c>
      <c r="CX61" s="14" t="s">
        <v>3979</v>
      </c>
      <c r="CY61" s="87" t="s">
        <v>3736</v>
      </c>
      <c r="CZ61" s="87" t="s">
        <v>3277</v>
      </c>
      <c r="DA61" s="14"/>
      <c r="DB61" s="21"/>
      <c r="DC61" s="233"/>
      <c r="DD61" s="21" t="s">
        <v>3276</v>
      </c>
      <c r="DE61" s="21"/>
      <c r="DF61" s="14"/>
      <c r="DG61" s="14" t="s">
        <v>3410</v>
      </c>
      <c r="DH61" s="14">
        <v>0</v>
      </c>
      <c r="DI61" s="14" t="s">
        <v>5361</v>
      </c>
      <c r="DJ61" s="14" t="s">
        <v>3979</v>
      </c>
      <c r="DK61" s="87" t="s">
        <v>3736</v>
      </c>
      <c r="DL61" s="87" t="s">
        <v>3277</v>
      </c>
      <c r="DM61" s="14"/>
      <c r="DN61" s="21"/>
      <c r="DO61" s="233"/>
      <c r="DP61" s="21"/>
      <c r="DQ61" s="21"/>
      <c r="DR61" s="14"/>
      <c r="DS61" s="14"/>
      <c r="DT61" s="14"/>
      <c r="DU61" s="110"/>
      <c r="DV61" s="14"/>
      <c r="DW61" s="87"/>
      <c r="DX61" s="87"/>
      <c r="DY61" s="14"/>
      <c r="DZ61" s="233"/>
      <c r="EA61" s="233"/>
      <c r="EB61" s="21" t="s">
        <v>3278</v>
      </c>
      <c r="EC61" s="21"/>
      <c r="ED61" s="14"/>
      <c r="EE61" s="14" t="s">
        <v>3320</v>
      </c>
      <c r="EF61" s="14">
        <v>1</v>
      </c>
      <c r="EG61" s="110" t="s">
        <v>3279</v>
      </c>
      <c r="EH61" s="14" t="s">
        <v>3716</v>
      </c>
      <c r="EI61" s="87" t="s">
        <v>3843</v>
      </c>
      <c r="EJ61" s="87" t="s">
        <v>3728</v>
      </c>
      <c r="EK61" s="14"/>
      <c r="EL61" s="233"/>
      <c r="EM61" s="233"/>
      <c r="EN61" s="21" t="s">
        <v>3276</v>
      </c>
      <c r="EO61" s="21"/>
      <c r="EP61" s="14"/>
      <c r="EQ61" s="14" t="s">
        <v>3410</v>
      </c>
      <c r="ER61" s="14">
        <v>0</v>
      </c>
      <c r="ES61" s="14" t="s">
        <v>5361</v>
      </c>
      <c r="ET61" s="14" t="s">
        <v>3979</v>
      </c>
      <c r="EU61" s="87" t="s">
        <v>3736</v>
      </c>
      <c r="EV61" s="87" t="s">
        <v>3277</v>
      </c>
      <c r="EW61" s="14"/>
      <c r="EX61" s="21"/>
      <c r="EY61" s="233"/>
      <c r="EZ61" s="233"/>
      <c r="FA61" s="233"/>
      <c r="FB61" s="233"/>
      <c r="FC61" s="233"/>
      <c r="FD61" s="233"/>
    </row>
    <row r="62" spans="1:160">
      <c r="A62" s="20" t="s">
        <v>352</v>
      </c>
      <c r="B62" s="14">
        <v>1</v>
      </c>
      <c r="C62" s="14" t="s">
        <v>5874</v>
      </c>
      <c r="D62" s="14">
        <v>4</v>
      </c>
      <c r="E62" s="110" t="s">
        <v>4039</v>
      </c>
      <c r="F62" s="14" t="s">
        <v>3931</v>
      </c>
      <c r="G62" s="44" t="s">
        <v>3382</v>
      </c>
      <c r="H62" s="44" t="s">
        <v>381</v>
      </c>
      <c r="I62" s="44">
        <v>6</v>
      </c>
      <c r="J62" s="28" t="s">
        <v>5232</v>
      </c>
      <c r="K62" s="111"/>
      <c r="L62" s="21" t="s">
        <v>3111</v>
      </c>
      <c r="M62" s="14"/>
      <c r="N62" s="21"/>
      <c r="O62" s="14" t="s">
        <v>3666</v>
      </c>
      <c r="P62" s="14">
        <v>1</v>
      </c>
      <c r="Q62" s="110" t="s">
        <v>3749</v>
      </c>
      <c r="R62" s="14" t="s">
        <v>3898</v>
      </c>
      <c r="S62" s="44" t="s">
        <v>3901</v>
      </c>
      <c r="T62" s="107" t="s">
        <v>3112</v>
      </c>
      <c r="U62" s="14"/>
      <c r="V62" s="21"/>
      <c r="W62" s="21"/>
      <c r="X62" s="21" t="s">
        <v>3113</v>
      </c>
      <c r="Y62" s="21"/>
      <c r="Z62" s="14"/>
      <c r="AA62" s="14" t="s">
        <v>3588</v>
      </c>
      <c r="AB62" s="14">
        <v>3</v>
      </c>
      <c r="AC62" s="110" t="s">
        <v>3682</v>
      </c>
      <c r="AD62" s="14" t="s">
        <v>3735</v>
      </c>
      <c r="AE62" s="87" t="s">
        <v>3730</v>
      </c>
      <c r="AF62" s="87" t="s">
        <v>3488</v>
      </c>
      <c r="AG62" s="14"/>
      <c r="AH62" s="21"/>
      <c r="AI62" s="21"/>
      <c r="AJ62" s="21" t="s">
        <v>3461</v>
      </c>
      <c r="AK62" s="21"/>
      <c r="AL62" s="14"/>
      <c r="AM62" s="14" t="s">
        <v>3462</v>
      </c>
      <c r="AN62" s="14">
        <v>1</v>
      </c>
      <c r="AO62" s="110" t="s">
        <v>3205</v>
      </c>
      <c r="AP62" s="14" t="s">
        <v>3947</v>
      </c>
      <c r="AQ62" s="87" t="s">
        <v>3743</v>
      </c>
      <c r="AR62" s="87" t="s">
        <v>3859</v>
      </c>
      <c r="AS62" s="14"/>
      <c r="AT62" s="233"/>
      <c r="AU62" s="14"/>
      <c r="AV62" s="21" t="s">
        <v>3280</v>
      </c>
      <c r="AW62" s="21"/>
      <c r="AX62" s="14"/>
      <c r="AY62" s="14" t="s">
        <v>3281</v>
      </c>
      <c r="AZ62" s="14">
        <v>3</v>
      </c>
      <c r="BA62" s="110" t="s">
        <v>3282</v>
      </c>
      <c r="BB62" s="14" t="s">
        <v>3898</v>
      </c>
      <c r="BC62" s="87" t="s">
        <v>3420</v>
      </c>
      <c r="BD62" s="87" t="s">
        <v>3283</v>
      </c>
      <c r="BE62" s="14"/>
      <c r="BF62" s="21"/>
      <c r="BG62" s="21"/>
      <c r="BH62" s="21" t="s">
        <v>3464</v>
      </c>
      <c r="BI62" s="21"/>
      <c r="BJ62" s="14"/>
      <c r="BK62" s="14" t="s">
        <v>3210</v>
      </c>
      <c r="BL62" s="14">
        <v>1</v>
      </c>
      <c r="BM62" s="110" t="s">
        <v>3749</v>
      </c>
      <c r="BN62" s="14" t="s">
        <v>3898</v>
      </c>
      <c r="BO62" s="87" t="s">
        <v>3467</v>
      </c>
      <c r="BP62" s="87" t="s">
        <v>3108</v>
      </c>
      <c r="BQ62" s="233"/>
      <c r="BR62" s="233"/>
      <c r="BS62" s="233"/>
      <c r="BT62" s="21"/>
      <c r="BU62" s="21"/>
      <c r="BV62" s="14"/>
      <c r="BW62" s="14"/>
      <c r="BX62" s="14"/>
      <c r="BY62" s="110"/>
      <c r="BZ62" s="14"/>
      <c r="CA62" s="14"/>
      <c r="CB62" s="87"/>
      <c r="CC62" s="233"/>
      <c r="CD62" s="233"/>
      <c r="CE62" s="233"/>
      <c r="CF62" s="21" t="s">
        <v>3464</v>
      </c>
      <c r="CG62" s="21"/>
      <c r="CH62" s="14"/>
      <c r="CI62" s="14" t="s">
        <v>3210</v>
      </c>
      <c r="CJ62" s="14">
        <v>1</v>
      </c>
      <c r="CK62" s="110" t="s">
        <v>3749</v>
      </c>
      <c r="CL62" s="14" t="s">
        <v>3898</v>
      </c>
      <c r="CM62" s="87" t="s">
        <v>3467</v>
      </c>
      <c r="CN62" s="87" t="s">
        <v>3108</v>
      </c>
      <c r="CO62" s="233"/>
      <c r="CP62" s="233"/>
      <c r="CQ62" s="233"/>
      <c r="CR62" s="21" t="s">
        <v>3113</v>
      </c>
      <c r="CS62" s="21"/>
      <c r="CT62" s="14"/>
      <c r="CU62" s="14" t="s">
        <v>3588</v>
      </c>
      <c r="CV62" s="14">
        <v>3</v>
      </c>
      <c r="CW62" s="110" t="s">
        <v>3682</v>
      </c>
      <c r="CX62" s="14" t="s">
        <v>3735</v>
      </c>
      <c r="CY62" s="87" t="s">
        <v>3730</v>
      </c>
      <c r="CZ62" s="87" t="s">
        <v>3488</v>
      </c>
      <c r="DA62" s="14"/>
      <c r="DB62" s="21"/>
      <c r="DC62" s="233"/>
      <c r="DD62" s="21" t="s">
        <v>3113</v>
      </c>
      <c r="DE62" s="21"/>
      <c r="DF62" s="14"/>
      <c r="DG62" s="14" t="s">
        <v>3588</v>
      </c>
      <c r="DH62" s="14">
        <v>3</v>
      </c>
      <c r="DI62" s="110" t="s">
        <v>3682</v>
      </c>
      <c r="DJ62" s="14" t="s">
        <v>3735</v>
      </c>
      <c r="DK62" s="87" t="s">
        <v>3730</v>
      </c>
      <c r="DL62" s="87" t="s">
        <v>3488</v>
      </c>
      <c r="DM62" s="14"/>
      <c r="DN62" s="21"/>
      <c r="DO62" s="233"/>
      <c r="DP62" s="87"/>
      <c r="DQ62" s="21"/>
      <c r="DR62" s="14"/>
      <c r="DS62" s="14"/>
      <c r="DT62" s="14"/>
      <c r="DU62" s="110"/>
      <c r="DV62" s="14"/>
      <c r="DW62" s="87"/>
      <c r="DX62" s="14"/>
      <c r="DY62" s="14"/>
      <c r="DZ62" s="233"/>
      <c r="EA62" s="233"/>
      <c r="EB62" s="21" t="s">
        <v>3461</v>
      </c>
      <c r="EC62" s="21"/>
      <c r="ED62" s="14"/>
      <c r="EE62" s="14" t="s">
        <v>3462</v>
      </c>
      <c r="EF62" s="14">
        <v>1</v>
      </c>
      <c r="EG62" s="110" t="s">
        <v>3205</v>
      </c>
      <c r="EH62" s="14" t="s">
        <v>3947</v>
      </c>
      <c r="EI62" s="87" t="s">
        <v>3743</v>
      </c>
      <c r="EJ62" s="87" t="s">
        <v>3859</v>
      </c>
      <c r="EK62" s="14"/>
      <c r="EL62" s="233"/>
      <c r="EM62" s="233"/>
      <c r="EN62" s="21" t="s">
        <v>3113</v>
      </c>
      <c r="EO62" s="21"/>
      <c r="EP62" s="14"/>
      <c r="EQ62" s="14" t="s">
        <v>3588</v>
      </c>
      <c r="ER62" s="14">
        <v>3</v>
      </c>
      <c r="ES62" s="110" t="s">
        <v>3682</v>
      </c>
      <c r="ET62" s="14" t="s">
        <v>3735</v>
      </c>
      <c r="EU62" s="87" t="s">
        <v>3730</v>
      </c>
      <c r="EV62" s="87" t="s">
        <v>3488</v>
      </c>
      <c r="EW62" s="14"/>
      <c r="EX62" s="21"/>
      <c r="EY62" s="233"/>
      <c r="EZ62" s="233"/>
      <c r="FA62" s="233"/>
      <c r="FB62" s="233"/>
      <c r="FC62" s="233"/>
      <c r="FD62" s="233"/>
    </row>
    <row r="63" spans="1:160">
      <c r="A63" s="20" t="s">
        <v>4001</v>
      </c>
      <c r="B63" s="14">
        <v>1</v>
      </c>
      <c r="C63" s="14" t="s">
        <v>3551</v>
      </c>
      <c r="D63" s="14">
        <v>1</v>
      </c>
      <c r="E63" s="110" t="s">
        <v>4211</v>
      </c>
      <c r="F63" s="14" t="s">
        <v>4000</v>
      </c>
      <c r="G63" s="44" t="s">
        <v>3901</v>
      </c>
      <c r="H63" s="44" t="s">
        <v>3915</v>
      </c>
      <c r="I63" s="44">
        <v>4</v>
      </c>
      <c r="J63" s="28" t="s">
        <v>4555</v>
      </c>
      <c r="K63" s="111"/>
      <c r="L63" s="21" t="s">
        <v>3463</v>
      </c>
      <c r="M63" s="14"/>
      <c r="N63" s="21"/>
      <c r="O63" s="14" t="s">
        <v>3371</v>
      </c>
      <c r="P63" s="14">
        <v>2</v>
      </c>
      <c r="Q63" s="110" t="s">
        <v>3749</v>
      </c>
      <c r="R63" s="14" t="s">
        <v>3898</v>
      </c>
      <c r="S63" s="44" t="s">
        <v>3550</v>
      </c>
      <c r="T63" s="44" t="s">
        <v>3728</v>
      </c>
      <c r="U63" s="14"/>
      <c r="V63" s="21"/>
      <c r="W63" s="21"/>
      <c r="X63" s="21" t="s">
        <v>3117</v>
      </c>
      <c r="Y63" s="21"/>
      <c r="Z63" s="14"/>
      <c r="AA63" s="14" t="s">
        <v>3410</v>
      </c>
      <c r="AB63" s="14">
        <v>1</v>
      </c>
      <c r="AC63" s="110" t="s">
        <v>3667</v>
      </c>
      <c r="AD63" s="14" t="s">
        <v>3947</v>
      </c>
      <c r="AE63" s="87" t="s">
        <v>3490</v>
      </c>
      <c r="AF63" s="87" t="s">
        <v>3118</v>
      </c>
      <c r="AG63" s="14"/>
      <c r="AH63" s="21"/>
      <c r="AI63" s="21"/>
      <c r="AJ63" s="21" t="s">
        <v>3783</v>
      </c>
      <c r="AK63" s="21"/>
      <c r="AL63" s="14"/>
      <c r="AM63" s="14" t="s">
        <v>3666</v>
      </c>
      <c r="AN63" s="14">
        <v>1</v>
      </c>
      <c r="AO63" s="110" t="s">
        <v>3749</v>
      </c>
      <c r="AP63" s="14" t="s">
        <v>3947</v>
      </c>
      <c r="AQ63" s="87" t="s">
        <v>3948</v>
      </c>
      <c r="AR63" s="87" t="s">
        <v>3799</v>
      </c>
      <c r="AS63" s="14"/>
      <c r="AT63" s="233"/>
      <c r="AU63" s="14"/>
      <c r="AV63" s="21" t="s">
        <v>3463</v>
      </c>
      <c r="AW63" s="21"/>
      <c r="AX63" s="14"/>
      <c r="AY63" s="14" t="s">
        <v>3371</v>
      </c>
      <c r="AZ63" s="14">
        <v>2</v>
      </c>
      <c r="BA63" s="14" t="s">
        <v>3749</v>
      </c>
      <c r="BB63" s="14" t="s">
        <v>3898</v>
      </c>
      <c r="BC63" s="87" t="s">
        <v>3550</v>
      </c>
      <c r="BD63" s="87" t="s">
        <v>3728</v>
      </c>
      <c r="BE63" s="14"/>
      <c r="BF63" s="21"/>
      <c r="BG63" s="21"/>
      <c r="BH63" s="21" t="s">
        <v>2591</v>
      </c>
      <c r="BI63" s="14"/>
      <c r="BJ63" s="14"/>
      <c r="BK63" s="14" t="s">
        <v>2593</v>
      </c>
      <c r="BL63" s="14">
        <v>1</v>
      </c>
      <c r="BM63" s="110" t="s">
        <v>3749</v>
      </c>
      <c r="BN63" s="14" t="s">
        <v>2959</v>
      </c>
      <c r="BO63" s="44" t="s">
        <v>3312</v>
      </c>
      <c r="BP63" s="44" t="s">
        <v>2592</v>
      </c>
      <c r="BQ63" s="14"/>
      <c r="BR63" s="21"/>
      <c r="BS63" s="233"/>
      <c r="BT63" s="21"/>
      <c r="BU63" s="21"/>
      <c r="BV63" s="14"/>
      <c r="BW63" s="14"/>
      <c r="BX63" s="14"/>
      <c r="BY63" s="110"/>
      <c r="BZ63" s="14"/>
      <c r="CA63" s="14"/>
      <c r="CB63" s="87"/>
      <c r="CC63" s="233"/>
      <c r="CD63" s="233"/>
      <c r="CE63" s="233"/>
      <c r="CF63" s="21" t="s">
        <v>2591</v>
      </c>
      <c r="CG63" s="14"/>
      <c r="CH63" s="14"/>
      <c r="CI63" s="14" t="s">
        <v>2593</v>
      </c>
      <c r="CJ63" s="14">
        <v>1</v>
      </c>
      <c r="CK63" s="110" t="s">
        <v>3749</v>
      </c>
      <c r="CL63" s="14" t="s">
        <v>2959</v>
      </c>
      <c r="CM63" s="44" t="s">
        <v>3312</v>
      </c>
      <c r="CN63" s="44" t="s">
        <v>2592</v>
      </c>
      <c r="CO63" s="233"/>
      <c r="CP63" s="233"/>
      <c r="CQ63" s="233"/>
      <c r="CR63" s="21" t="s">
        <v>3117</v>
      </c>
      <c r="CS63" s="21"/>
      <c r="CT63" s="14"/>
      <c r="CU63" s="14" t="s">
        <v>3410</v>
      </c>
      <c r="CV63" s="14">
        <v>1</v>
      </c>
      <c r="CW63" s="110" t="s">
        <v>3667</v>
      </c>
      <c r="CX63" s="14" t="s">
        <v>3947</v>
      </c>
      <c r="CY63" s="87" t="s">
        <v>3490</v>
      </c>
      <c r="CZ63" s="87" t="s">
        <v>3118</v>
      </c>
      <c r="DA63" s="14"/>
      <c r="DB63" s="21"/>
      <c r="DC63" s="233"/>
      <c r="DD63" s="21" t="s">
        <v>3117</v>
      </c>
      <c r="DE63" s="21"/>
      <c r="DF63" s="14"/>
      <c r="DG63" s="14" t="s">
        <v>3410</v>
      </c>
      <c r="DH63" s="14">
        <v>1</v>
      </c>
      <c r="DI63" s="110" t="s">
        <v>3667</v>
      </c>
      <c r="DJ63" s="14" t="s">
        <v>3947</v>
      </c>
      <c r="DK63" s="87" t="s">
        <v>3490</v>
      </c>
      <c r="DL63" s="87" t="s">
        <v>3118</v>
      </c>
      <c r="DM63" s="14"/>
      <c r="DN63" s="21"/>
      <c r="DO63" s="233"/>
      <c r="DP63" s="21"/>
      <c r="DQ63" s="21"/>
      <c r="DR63" s="14"/>
      <c r="DS63" s="14"/>
      <c r="DT63" s="14"/>
      <c r="DU63" s="14"/>
      <c r="DV63" s="14"/>
      <c r="DW63" s="87"/>
      <c r="DX63" s="87"/>
      <c r="DY63" s="14"/>
      <c r="DZ63" s="233"/>
      <c r="EA63" s="233"/>
      <c r="EB63" s="21" t="s">
        <v>3783</v>
      </c>
      <c r="EC63" s="21"/>
      <c r="ED63" s="14"/>
      <c r="EE63" s="14" t="s">
        <v>3666</v>
      </c>
      <c r="EF63" s="14">
        <v>1</v>
      </c>
      <c r="EG63" s="110" t="s">
        <v>3749</v>
      </c>
      <c r="EH63" s="14" t="s">
        <v>3947</v>
      </c>
      <c r="EI63" s="87" t="s">
        <v>3948</v>
      </c>
      <c r="EJ63" s="87" t="s">
        <v>3799</v>
      </c>
      <c r="EK63" s="14"/>
      <c r="EL63" s="233"/>
      <c r="EM63" s="233"/>
      <c r="EN63" s="21" t="s">
        <v>3117</v>
      </c>
      <c r="EO63" s="21"/>
      <c r="EP63" s="14"/>
      <c r="EQ63" s="14" t="s">
        <v>3410</v>
      </c>
      <c r="ER63" s="14">
        <v>1</v>
      </c>
      <c r="ES63" s="110" t="s">
        <v>3667</v>
      </c>
      <c r="ET63" s="14" t="s">
        <v>3947</v>
      </c>
      <c r="EU63" s="87" t="s">
        <v>3490</v>
      </c>
      <c r="EV63" s="87" t="s">
        <v>3118</v>
      </c>
      <c r="EW63" s="14"/>
      <c r="EX63" s="21"/>
      <c r="EY63" s="233"/>
      <c r="EZ63" s="233"/>
      <c r="FA63" s="233"/>
      <c r="FB63" s="233"/>
      <c r="FC63" s="233"/>
      <c r="FD63" s="233"/>
    </row>
    <row r="64" spans="1:160">
      <c r="A64" s="20" t="s">
        <v>594</v>
      </c>
      <c r="B64" s="14">
        <v>1</v>
      </c>
      <c r="C64" s="14" t="s">
        <v>5872</v>
      </c>
      <c r="D64" s="14">
        <v>1</v>
      </c>
      <c r="E64" s="110" t="s">
        <v>4039</v>
      </c>
      <c r="F64" s="14" t="s">
        <v>3898</v>
      </c>
      <c r="G64" s="44" t="s">
        <v>3937</v>
      </c>
      <c r="H64" s="107" t="s">
        <v>478</v>
      </c>
      <c r="I64" s="44" t="s">
        <v>3900</v>
      </c>
      <c r="J64" s="28" t="s">
        <v>4447</v>
      </c>
      <c r="K64" s="111"/>
      <c r="L64" s="21" t="s">
        <v>3113</v>
      </c>
      <c r="M64" s="14"/>
      <c r="N64" s="21"/>
      <c r="O64" s="14" t="s">
        <v>3588</v>
      </c>
      <c r="P64" s="14">
        <v>3</v>
      </c>
      <c r="Q64" s="110" t="s">
        <v>3682</v>
      </c>
      <c r="R64" s="14" t="s">
        <v>3735</v>
      </c>
      <c r="S64" s="44" t="s">
        <v>3730</v>
      </c>
      <c r="T64" s="44" t="s">
        <v>3488</v>
      </c>
      <c r="U64" s="14"/>
      <c r="V64" s="21"/>
      <c r="W64" s="21"/>
      <c r="X64" s="21" t="s">
        <v>3311</v>
      </c>
      <c r="Y64" s="21"/>
      <c r="Z64" s="14"/>
      <c r="AA64" s="14" t="s">
        <v>3410</v>
      </c>
      <c r="AB64" s="14">
        <v>2</v>
      </c>
      <c r="AC64" s="110" t="s">
        <v>3749</v>
      </c>
      <c r="AD64" s="14" t="s">
        <v>3898</v>
      </c>
      <c r="AE64" s="87" t="s">
        <v>3312</v>
      </c>
      <c r="AF64" s="87" t="s">
        <v>3746</v>
      </c>
      <c r="AG64" s="14"/>
      <c r="AH64" s="21"/>
      <c r="AI64" s="21"/>
      <c r="AJ64" s="87" t="s">
        <v>3119</v>
      </c>
      <c r="AK64" s="21"/>
      <c r="AL64" s="14"/>
      <c r="AM64" s="14" t="s">
        <v>3301</v>
      </c>
      <c r="AN64" s="14">
        <v>2</v>
      </c>
      <c r="AO64" s="110" t="s">
        <v>3682</v>
      </c>
      <c r="AP64" s="14" t="s">
        <v>3302</v>
      </c>
      <c r="AQ64" s="87" t="s">
        <v>3303</v>
      </c>
      <c r="AR64" s="14" t="s">
        <v>3728</v>
      </c>
      <c r="AS64" s="14"/>
      <c r="AT64" s="233"/>
      <c r="AU64" s="233"/>
      <c r="AV64" s="21" t="s">
        <v>3114</v>
      </c>
      <c r="AW64" s="21"/>
      <c r="AX64" s="14"/>
      <c r="AY64" s="14" t="s">
        <v>3115</v>
      </c>
      <c r="AZ64" s="14">
        <v>0</v>
      </c>
      <c r="BA64" s="197" t="s">
        <v>3930</v>
      </c>
      <c r="BB64" s="14" t="s">
        <v>3947</v>
      </c>
      <c r="BC64" s="87" t="s">
        <v>3948</v>
      </c>
      <c r="BD64" s="87" t="s">
        <v>3116</v>
      </c>
      <c r="BE64" s="14"/>
      <c r="BF64" s="21"/>
      <c r="BG64" s="21"/>
      <c r="BH64" s="21" t="s">
        <v>3458</v>
      </c>
      <c r="BI64" s="21"/>
      <c r="BJ64" s="14"/>
      <c r="BK64" s="14" t="s">
        <v>3210</v>
      </c>
      <c r="BL64" s="14">
        <v>2</v>
      </c>
      <c r="BM64" s="110" t="s">
        <v>3459</v>
      </c>
      <c r="BN64" s="14" t="s">
        <v>3898</v>
      </c>
      <c r="BO64" s="87" t="s">
        <v>3460</v>
      </c>
      <c r="BP64" s="87" t="s">
        <v>3915</v>
      </c>
      <c r="BQ64" s="14"/>
      <c r="BR64" s="21"/>
      <c r="BS64" s="233"/>
      <c r="BT64" s="21"/>
      <c r="BU64" s="21"/>
      <c r="BV64" s="14"/>
      <c r="BW64" s="14"/>
      <c r="BX64" s="14"/>
      <c r="BY64" s="110"/>
      <c r="BZ64" s="14"/>
      <c r="CA64" s="14"/>
      <c r="CB64" s="87"/>
      <c r="CC64" s="233"/>
      <c r="CD64" s="233"/>
      <c r="CE64" s="233"/>
      <c r="CF64" s="21" t="s">
        <v>3458</v>
      </c>
      <c r="CG64" s="21"/>
      <c r="CH64" s="14"/>
      <c r="CI64" s="14" t="s">
        <v>3210</v>
      </c>
      <c r="CJ64" s="14">
        <v>2</v>
      </c>
      <c r="CK64" s="110" t="s">
        <v>3459</v>
      </c>
      <c r="CL64" s="14" t="s">
        <v>3898</v>
      </c>
      <c r="CM64" s="87" t="s">
        <v>3460</v>
      </c>
      <c r="CN64" s="87" t="s">
        <v>3915</v>
      </c>
      <c r="CO64" s="233"/>
      <c r="CP64" s="233"/>
      <c r="CQ64" s="233"/>
      <c r="CR64" s="21" t="s">
        <v>3311</v>
      </c>
      <c r="CS64" s="21"/>
      <c r="CT64" s="14"/>
      <c r="CU64" s="14" t="s">
        <v>3410</v>
      </c>
      <c r="CV64" s="14">
        <v>2</v>
      </c>
      <c r="CW64" s="110" t="s">
        <v>3749</v>
      </c>
      <c r="CX64" s="14" t="s">
        <v>3898</v>
      </c>
      <c r="CY64" s="87" t="s">
        <v>3312</v>
      </c>
      <c r="CZ64" s="87" t="s">
        <v>3746</v>
      </c>
      <c r="DA64" s="14"/>
      <c r="DB64" s="21"/>
      <c r="DC64" s="233"/>
      <c r="DD64" s="21" t="s">
        <v>3311</v>
      </c>
      <c r="DE64" s="21"/>
      <c r="DF64" s="14"/>
      <c r="DG64" s="14" t="s">
        <v>3410</v>
      </c>
      <c r="DH64" s="14">
        <v>2</v>
      </c>
      <c r="DI64" s="110" t="s">
        <v>3749</v>
      </c>
      <c r="DJ64" s="14" t="s">
        <v>3898</v>
      </c>
      <c r="DK64" s="87" t="s">
        <v>3312</v>
      </c>
      <c r="DL64" s="87" t="s">
        <v>3746</v>
      </c>
      <c r="DM64" s="14"/>
      <c r="DN64" s="21"/>
      <c r="DO64" s="233"/>
      <c r="DP64" s="21"/>
      <c r="DQ64" s="21"/>
      <c r="DR64" s="14"/>
      <c r="DS64" s="14"/>
      <c r="DT64" s="14"/>
      <c r="DU64" s="110"/>
      <c r="DV64" s="14"/>
      <c r="DW64" s="87"/>
      <c r="DX64" s="87"/>
      <c r="DY64" s="14"/>
      <c r="DZ64" s="233"/>
      <c r="EA64" s="233"/>
      <c r="EB64" s="87" t="s">
        <v>3119</v>
      </c>
      <c r="EC64" s="21"/>
      <c r="ED64" s="14"/>
      <c r="EE64" s="14" t="s">
        <v>3301</v>
      </c>
      <c r="EF64" s="14">
        <v>2</v>
      </c>
      <c r="EG64" s="110" t="s">
        <v>3682</v>
      </c>
      <c r="EH64" s="14" t="s">
        <v>3302</v>
      </c>
      <c r="EI64" s="87" t="s">
        <v>3303</v>
      </c>
      <c r="EJ64" s="14" t="s">
        <v>3728</v>
      </c>
      <c r="EK64" s="14"/>
      <c r="EL64" s="233"/>
      <c r="EM64" s="233"/>
      <c r="EN64" s="21" t="s">
        <v>3311</v>
      </c>
      <c r="EO64" s="21"/>
      <c r="EP64" s="14"/>
      <c r="EQ64" s="14" t="s">
        <v>3410</v>
      </c>
      <c r="ER64" s="14">
        <v>2</v>
      </c>
      <c r="ES64" s="110" t="s">
        <v>3749</v>
      </c>
      <c r="ET64" s="14" t="s">
        <v>3898</v>
      </c>
      <c r="EU64" s="87" t="s">
        <v>3312</v>
      </c>
      <c r="EV64" s="87" t="s">
        <v>3746</v>
      </c>
      <c r="EW64" s="14"/>
      <c r="EX64" s="21"/>
      <c r="EY64" s="233"/>
      <c r="EZ64" s="233"/>
      <c r="FA64" s="233"/>
      <c r="FB64" s="233"/>
      <c r="FC64" s="233"/>
      <c r="FD64" s="233"/>
    </row>
    <row r="65" spans="1:160">
      <c r="A65" s="20" t="s">
        <v>479</v>
      </c>
      <c r="B65" s="14">
        <v>1</v>
      </c>
      <c r="C65" s="14" t="s">
        <v>5873</v>
      </c>
      <c r="D65" s="14">
        <v>1</v>
      </c>
      <c r="E65" s="110" t="s">
        <v>4039</v>
      </c>
      <c r="F65" s="14" t="s">
        <v>3548</v>
      </c>
      <c r="G65" s="44" t="s">
        <v>3651</v>
      </c>
      <c r="H65" s="107" t="s">
        <v>351</v>
      </c>
      <c r="I65" s="44" t="s">
        <v>3900</v>
      </c>
      <c r="J65" s="28" t="s">
        <v>4555</v>
      </c>
      <c r="K65" s="111"/>
      <c r="L65" s="21" t="s">
        <v>3311</v>
      </c>
      <c r="M65" s="14"/>
      <c r="N65" s="21"/>
      <c r="O65" s="14" t="s">
        <v>3410</v>
      </c>
      <c r="P65" s="14">
        <v>2</v>
      </c>
      <c r="Q65" s="110" t="s">
        <v>3749</v>
      </c>
      <c r="R65" s="14" t="s">
        <v>3898</v>
      </c>
      <c r="S65" s="44" t="s">
        <v>3312</v>
      </c>
      <c r="T65" s="44" t="s">
        <v>3746</v>
      </c>
      <c r="U65" s="14"/>
      <c r="V65" s="21"/>
      <c r="W65" s="21"/>
      <c r="X65" s="21" t="s">
        <v>3315</v>
      </c>
      <c r="Y65" s="21"/>
      <c r="Z65" s="14"/>
      <c r="AA65" s="14" t="s">
        <v>3410</v>
      </c>
      <c r="AB65" s="14">
        <v>2</v>
      </c>
      <c r="AC65" s="110" t="s">
        <v>3667</v>
      </c>
      <c r="AD65" s="14" t="s">
        <v>3947</v>
      </c>
      <c r="AE65" s="87" t="s">
        <v>3901</v>
      </c>
      <c r="AF65" s="87" t="s">
        <v>3316</v>
      </c>
      <c r="AG65" s="14"/>
      <c r="AH65" s="21"/>
      <c r="AI65" s="21"/>
      <c r="AJ65" s="21" t="s">
        <v>3111</v>
      </c>
      <c r="AK65" s="21"/>
      <c r="AL65" s="14"/>
      <c r="AM65" s="14" t="s">
        <v>3666</v>
      </c>
      <c r="AN65" s="14">
        <v>1</v>
      </c>
      <c r="AO65" s="14" t="s">
        <v>3749</v>
      </c>
      <c r="AP65" s="14" t="s">
        <v>3898</v>
      </c>
      <c r="AQ65" s="87" t="s">
        <v>3901</v>
      </c>
      <c r="AR65" s="87" t="s">
        <v>3112</v>
      </c>
      <c r="AS65" s="14"/>
      <c r="AT65" s="21"/>
      <c r="AU65" s="21"/>
      <c r="AV65" s="21" t="s">
        <v>3304</v>
      </c>
      <c r="AW65" s="21"/>
      <c r="AX65" s="14"/>
      <c r="AY65" s="14" t="s">
        <v>3412</v>
      </c>
      <c r="AZ65" s="14">
        <v>1</v>
      </c>
      <c r="BA65" s="110" t="s">
        <v>3305</v>
      </c>
      <c r="BB65" s="14" t="s">
        <v>3898</v>
      </c>
      <c r="BC65" s="87" t="s">
        <v>3809</v>
      </c>
      <c r="BD65" s="87" t="s">
        <v>3306</v>
      </c>
      <c r="BE65" s="14"/>
      <c r="BF65" s="21"/>
      <c r="BG65" s="21"/>
      <c r="BH65" s="21" t="s">
        <v>3307</v>
      </c>
      <c r="BI65" s="21"/>
      <c r="BJ65" s="14"/>
      <c r="BK65" s="14" t="s">
        <v>3210</v>
      </c>
      <c r="BL65" s="14">
        <v>1</v>
      </c>
      <c r="BM65" s="110" t="s">
        <v>3749</v>
      </c>
      <c r="BN65" s="14" t="s">
        <v>3898</v>
      </c>
      <c r="BO65" s="87" t="s">
        <v>3467</v>
      </c>
      <c r="BP65" s="87" t="s">
        <v>3486</v>
      </c>
      <c r="BQ65" s="14"/>
      <c r="BR65" s="21"/>
      <c r="BS65" s="233"/>
      <c r="BT65" s="21"/>
      <c r="BU65" s="21"/>
      <c r="BV65" s="14"/>
      <c r="BW65" s="14"/>
      <c r="BX65" s="14"/>
      <c r="BY65" s="110"/>
      <c r="BZ65" s="14"/>
      <c r="CA65" s="14"/>
      <c r="CB65" s="87"/>
      <c r="CC65" s="233"/>
      <c r="CD65" s="233"/>
      <c r="CE65" s="233"/>
      <c r="CF65" s="21" t="s">
        <v>3307</v>
      </c>
      <c r="CG65" s="21"/>
      <c r="CH65" s="14"/>
      <c r="CI65" s="14" t="s">
        <v>3210</v>
      </c>
      <c r="CJ65" s="14">
        <v>1</v>
      </c>
      <c r="CK65" s="110" t="s">
        <v>3749</v>
      </c>
      <c r="CL65" s="14" t="s">
        <v>3898</v>
      </c>
      <c r="CM65" s="87" t="s">
        <v>3467</v>
      </c>
      <c r="CN65" s="87" t="s">
        <v>3486</v>
      </c>
      <c r="CO65" s="233"/>
      <c r="CP65" s="233"/>
      <c r="CQ65" s="233"/>
      <c r="CR65" s="21" t="s">
        <v>3315</v>
      </c>
      <c r="CS65" s="21"/>
      <c r="CT65" s="14"/>
      <c r="CU65" s="14" t="s">
        <v>3410</v>
      </c>
      <c r="CV65" s="14">
        <v>2</v>
      </c>
      <c r="CW65" s="110" t="s">
        <v>3667</v>
      </c>
      <c r="CX65" s="14" t="s">
        <v>3947</v>
      </c>
      <c r="CY65" s="87" t="s">
        <v>3901</v>
      </c>
      <c r="CZ65" s="87" t="s">
        <v>3316</v>
      </c>
      <c r="DA65" s="14"/>
      <c r="DB65" s="21"/>
      <c r="DC65" s="233"/>
      <c r="DD65" s="21" t="s">
        <v>3315</v>
      </c>
      <c r="DE65" s="21"/>
      <c r="DF65" s="14"/>
      <c r="DG65" s="14" t="s">
        <v>3410</v>
      </c>
      <c r="DH65" s="14">
        <v>2</v>
      </c>
      <c r="DI65" s="110" t="s">
        <v>3667</v>
      </c>
      <c r="DJ65" s="14" t="s">
        <v>3947</v>
      </c>
      <c r="DK65" s="87" t="s">
        <v>3901</v>
      </c>
      <c r="DL65" s="87" t="s">
        <v>3316</v>
      </c>
      <c r="DM65" s="14"/>
      <c r="DN65" s="21"/>
      <c r="DO65" s="233"/>
      <c r="DP65" s="21"/>
      <c r="DQ65" s="21"/>
      <c r="DR65" s="14"/>
      <c r="DS65" s="14"/>
      <c r="DT65" s="14"/>
      <c r="DU65" s="110"/>
      <c r="DV65" s="14"/>
      <c r="DW65" s="111"/>
      <c r="DX65" s="111"/>
      <c r="DY65" s="14"/>
      <c r="DZ65" s="233"/>
      <c r="EA65" s="233"/>
      <c r="EB65" s="21" t="s">
        <v>3111</v>
      </c>
      <c r="EC65" s="21"/>
      <c r="ED65" s="14"/>
      <c r="EE65" s="14" t="s">
        <v>3666</v>
      </c>
      <c r="EF65" s="14">
        <v>1</v>
      </c>
      <c r="EG65" s="14" t="s">
        <v>3749</v>
      </c>
      <c r="EH65" s="14" t="s">
        <v>3898</v>
      </c>
      <c r="EI65" s="87" t="s">
        <v>3901</v>
      </c>
      <c r="EJ65" s="87" t="s">
        <v>3112</v>
      </c>
      <c r="EK65" s="14"/>
      <c r="EL65" s="233"/>
      <c r="EM65" s="233"/>
      <c r="EN65" s="21" t="s">
        <v>3315</v>
      </c>
      <c r="EO65" s="21"/>
      <c r="EP65" s="14"/>
      <c r="EQ65" s="14" t="s">
        <v>3410</v>
      </c>
      <c r="ER65" s="14">
        <v>2</v>
      </c>
      <c r="ES65" s="110" t="s">
        <v>3667</v>
      </c>
      <c r="ET65" s="14" t="s">
        <v>3947</v>
      </c>
      <c r="EU65" s="87" t="s">
        <v>3901</v>
      </c>
      <c r="EV65" s="87" t="s">
        <v>3316</v>
      </c>
      <c r="EW65" s="14"/>
      <c r="EX65" s="21"/>
      <c r="EY65" s="233"/>
      <c r="EZ65" s="233"/>
      <c r="FA65" s="233"/>
      <c r="FB65" s="233"/>
      <c r="FC65" s="233"/>
      <c r="FD65" s="233"/>
    </row>
    <row r="66" spans="1:160">
      <c r="A66" s="20" t="s">
        <v>3894</v>
      </c>
      <c r="B66" s="14">
        <v>1</v>
      </c>
      <c r="C66" s="14" t="s">
        <v>3737</v>
      </c>
      <c r="D66" s="14">
        <v>0</v>
      </c>
      <c r="E66" s="14" t="s">
        <v>3904</v>
      </c>
      <c r="F66" s="14" t="s">
        <v>3914</v>
      </c>
      <c r="G66" s="44" t="s">
        <v>3736</v>
      </c>
      <c r="H66" s="44" t="s">
        <v>4212</v>
      </c>
      <c r="I66" s="44" t="s">
        <v>3900</v>
      </c>
      <c r="J66" s="28" t="s">
        <v>4447</v>
      </c>
      <c r="K66" s="111"/>
      <c r="L66" s="21" t="s">
        <v>3317</v>
      </c>
      <c r="M66" s="14"/>
      <c r="N66" s="21"/>
      <c r="O66" s="14" t="s">
        <v>3666</v>
      </c>
      <c r="P66" s="14">
        <v>1</v>
      </c>
      <c r="Q66" s="110" t="s">
        <v>3749</v>
      </c>
      <c r="R66" s="14" t="s">
        <v>3947</v>
      </c>
      <c r="S66" s="44" t="s">
        <v>3765</v>
      </c>
      <c r="T66" s="44" t="s">
        <v>3135</v>
      </c>
      <c r="U66" s="14"/>
      <c r="V66" s="21"/>
      <c r="W66" s="21"/>
      <c r="X66" s="21" t="s">
        <v>3138</v>
      </c>
      <c r="Y66" s="21"/>
      <c r="Z66" s="14"/>
      <c r="AA66" s="14" t="s">
        <v>3139</v>
      </c>
      <c r="AB66" s="14">
        <v>1</v>
      </c>
      <c r="AC66" s="110" t="s">
        <v>3749</v>
      </c>
      <c r="AD66" s="14" t="s">
        <v>3140</v>
      </c>
      <c r="AE66" s="87" t="s">
        <v>3736</v>
      </c>
      <c r="AF66" s="87" t="s">
        <v>3324</v>
      </c>
      <c r="AG66" s="14"/>
      <c r="AH66" s="21"/>
      <c r="AI66" s="21"/>
      <c r="AJ66" s="21" t="s">
        <v>3317</v>
      </c>
      <c r="AK66" s="21"/>
      <c r="AL66" s="14"/>
      <c r="AM66" s="14" t="s">
        <v>3666</v>
      </c>
      <c r="AN66" s="14">
        <v>1</v>
      </c>
      <c r="AO66" s="110" t="s">
        <v>3749</v>
      </c>
      <c r="AP66" s="14" t="s">
        <v>3947</v>
      </c>
      <c r="AQ66" s="87" t="s">
        <v>3765</v>
      </c>
      <c r="AR66" s="87" t="s">
        <v>3135</v>
      </c>
      <c r="AS66" s="14"/>
      <c r="AT66" s="21"/>
      <c r="AU66" s="21"/>
      <c r="AV66" s="21" t="s">
        <v>3313</v>
      </c>
      <c r="AW66" s="21"/>
      <c r="AX66" s="14"/>
      <c r="AY66" s="14" t="s">
        <v>3371</v>
      </c>
      <c r="AZ66" s="14">
        <v>1</v>
      </c>
      <c r="BA66" s="110" t="s">
        <v>3749</v>
      </c>
      <c r="BB66" s="14" t="s">
        <v>3947</v>
      </c>
      <c r="BC66" s="87" t="s">
        <v>3467</v>
      </c>
      <c r="BD66" s="87" t="s">
        <v>3314</v>
      </c>
      <c r="BE66" s="14"/>
      <c r="BF66" s="21"/>
      <c r="BG66" s="21"/>
      <c r="BH66" s="21" t="s">
        <v>3457</v>
      </c>
      <c r="BI66" s="21"/>
      <c r="BJ66" s="14"/>
      <c r="BK66" s="14" t="s">
        <v>3210</v>
      </c>
      <c r="BL66" s="14">
        <v>2</v>
      </c>
      <c r="BM66" s="110" t="s">
        <v>3807</v>
      </c>
      <c r="BN66" s="14" t="s">
        <v>3473</v>
      </c>
      <c r="BO66" s="87" t="s">
        <v>3736</v>
      </c>
      <c r="BP66" s="87" t="s">
        <v>3859</v>
      </c>
      <c r="BQ66" s="14"/>
      <c r="BR66" s="21"/>
      <c r="BS66" s="233"/>
      <c r="BT66" s="21"/>
      <c r="BU66" s="21"/>
      <c r="BV66" s="14"/>
      <c r="BW66" s="14"/>
      <c r="BX66" s="14"/>
      <c r="BY66" s="110"/>
      <c r="BZ66" s="14"/>
      <c r="CA66" s="14"/>
      <c r="CB66" s="87"/>
      <c r="CC66" s="233"/>
      <c r="CD66" s="233"/>
      <c r="CE66" s="233"/>
      <c r="CF66" s="21" t="s">
        <v>3457</v>
      </c>
      <c r="CG66" s="21"/>
      <c r="CH66" s="14"/>
      <c r="CI66" s="14" t="s">
        <v>3210</v>
      </c>
      <c r="CJ66" s="14">
        <v>2</v>
      </c>
      <c r="CK66" s="110" t="s">
        <v>3807</v>
      </c>
      <c r="CL66" s="14" t="s">
        <v>3473</v>
      </c>
      <c r="CM66" s="87" t="s">
        <v>3736</v>
      </c>
      <c r="CN66" s="87" t="s">
        <v>3859</v>
      </c>
      <c r="CO66" s="233"/>
      <c r="CP66" s="233"/>
      <c r="CQ66" s="233"/>
      <c r="CR66" s="21" t="s">
        <v>3138</v>
      </c>
      <c r="CS66" s="21"/>
      <c r="CT66" s="14"/>
      <c r="CU66" s="14" t="s">
        <v>3139</v>
      </c>
      <c r="CV66" s="14">
        <v>1</v>
      </c>
      <c r="CW66" s="110" t="s">
        <v>3749</v>
      </c>
      <c r="CX66" s="14" t="s">
        <v>3140</v>
      </c>
      <c r="CY66" s="87" t="s">
        <v>3736</v>
      </c>
      <c r="CZ66" s="87" t="s">
        <v>3324</v>
      </c>
      <c r="DA66" s="14"/>
      <c r="DB66" s="21"/>
      <c r="DC66" s="233"/>
      <c r="DD66" s="21" t="s">
        <v>3138</v>
      </c>
      <c r="DE66" s="21"/>
      <c r="DF66" s="14"/>
      <c r="DG66" s="14" t="s">
        <v>3139</v>
      </c>
      <c r="DH66" s="14">
        <v>1</v>
      </c>
      <c r="DI66" s="110" t="s">
        <v>3749</v>
      </c>
      <c r="DJ66" s="14" t="s">
        <v>3140</v>
      </c>
      <c r="DK66" s="87" t="s">
        <v>3736</v>
      </c>
      <c r="DL66" s="87" t="s">
        <v>3324</v>
      </c>
      <c r="DM66" s="14"/>
      <c r="DN66" s="21"/>
      <c r="DO66" s="233"/>
      <c r="DP66" s="21"/>
      <c r="DQ66" s="21"/>
      <c r="DR66" s="14"/>
      <c r="DS66" s="14"/>
      <c r="DT66" s="14"/>
      <c r="DU66" s="110"/>
      <c r="DV66" s="14"/>
      <c r="DW66" s="87"/>
      <c r="DX66" s="87"/>
      <c r="DY66" s="14"/>
      <c r="DZ66" s="233"/>
      <c r="EA66" s="233"/>
      <c r="EB66" s="21" t="s">
        <v>3317</v>
      </c>
      <c r="EC66" s="21"/>
      <c r="ED66" s="14"/>
      <c r="EE66" s="14" t="s">
        <v>3666</v>
      </c>
      <c r="EF66" s="14">
        <v>1</v>
      </c>
      <c r="EG66" s="110" t="s">
        <v>3749</v>
      </c>
      <c r="EH66" s="14" t="s">
        <v>3947</v>
      </c>
      <c r="EI66" s="87" t="s">
        <v>3765</v>
      </c>
      <c r="EJ66" s="87" t="s">
        <v>3135</v>
      </c>
      <c r="EK66" s="14"/>
      <c r="EL66" s="233"/>
      <c r="EM66" s="233"/>
      <c r="EN66" s="21" t="s">
        <v>3138</v>
      </c>
      <c r="EO66" s="21"/>
      <c r="EP66" s="14"/>
      <c r="EQ66" s="14" t="s">
        <v>3139</v>
      </c>
      <c r="ER66" s="14">
        <v>1</v>
      </c>
      <c r="ES66" s="110" t="s">
        <v>3749</v>
      </c>
      <c r="ET66" s="14" t="s">
        <v>3140</v>
      </c>
      <c r="EU66" s="87" t="s">
        <v>3736</v>
      </c>
      <c r="EV66" s="87" t="s">
        <v>3324</v>
      </c>
      <c r="EW66" s="14"/>
      <c r="EX66" s="21"/>
      <c r="EY66" s="233"/>
      <c r="EZ66" s="233"/>
      <c r="FA66" s="233"/>
      <c r="FB66" s="233"/>
      <c r="FC66" s="233"/>
      <c r="FD66" s="233"/>
    </row>
    <row r="67" spans="1:160">
      <c r="A67" s="20" t="s">
        <v>3712</v>
      </c>
      <c r="B67" s="14">
        <v>1</v>
      </c>
      <c r="C67" s="14" t="s">
        <v>3976</v>
      </c>
      <c r="D67" s="14" t="s">
        <v>5036</v>
      </c>
      <c r="E67" s="14" t="s">
        <v>3904</v>
      </c>
      <c r="F67" s="14" t="s">
        <v>3898</v>
      </c>
      <c r="G67" s="44" t="s">
        <v>3736</v>
      </c>
      <c r="H67" s="44" t="s">
        <v>3728</v>
      </c>
      <c r="I67" s="44" t="s">
        <v>3916</v>
      </c>
      <c r="J67" s="28" t="s">
        <v>4037</v>
      </c>
      <c r="K67" s="111"/>
      <c r="L67" s="21" t="s">
        <v>3315</v>
      </c>
      <c r="M67" s="14"/>
      <c r="N67" s="21"/>
      <c r="O67" s="14" t="s">
        <v>3410</v>
      </c>
      <c r="P67" s="14">
        <v>2</v>
      </c>
      <c r="Q67" s="110" t="s">
        <v>3667</v>
      </c>
      <c r="R67" s="14" t="s">
        <v>3947</v>
      </c>
      <c r="S67" s="44" t="s">
        <v>3901</v>
      </c>
      <c r="T67" s="44" t="s">
        <v>3316</v>
      </c>
      <c r="U67" s="14"/>
      <c r="V67" s="21"/>
      <c r="W67" s="21"/>
      <c r="X67" s="21" t="s">
        <v>3502</v>
      </c>
      <c r="Y67" s="21"/>
      <c r="Z67" s="14"/>
      <c r="AA67" s="14" t="s">
        <v>3588</v>
      </c>
      <c r="AB67" s="14">
        <v>2</v>
      </c>
      <c r="AC67" s="110" t="s">
        <v>3682</v>
      </c>
      <c r="AD67" s="14" t="s">
        <v>3548</v>
      </c>
      <c r="AE67" s="87" t="s">
        <v>3730</v>
      </c>
      <c r="AF67" s="87" t="s">
        <v>4209</v>
      </c>
      <c r="AG67" s="14"/>
      <c r="AH67" s="21"/>
      <c r="AI67" s="21"/>
      <c r="AJ67" s="21" t="s">
        <v>3325</v>
      </c>
      <c r="AK67" s="21"/>
      <c r="AL67" s="14"/>
      <c r="AM67" s="14" t="s">
        <v>3708</v>
      </c>
      <c r="AN67" s="14">
        <v>1</v>
      </c>
      <c r="AO67" s="110" t="s">
        <v>3749</v>
      </c>
      <c r="AP67" s="14" t="s">
        <v>3548</v>
      </c>
      <c r="AQ67" s="111" t="s">
        <v>3326</v>
      </c>
      <c r="AR67" s="111" t="s">
        <v>3500</v>
      </c>
      <c r="AS67" s="14"/>
      <c r="AT67" s="21"/>
      <c r="AU67" s="21"/>
      <c r="AV67" s="21"/>
      <c r="AW67" s="21"/>
      <c r="AX67" s="14"/>
      <c r="AY67" s="14"/>
      <c r="AZ67" s="14"/>
      <c r="BA67" s="110"/>
      <c r="BB67" s="14"/>
      <c r="BC67" s="14"/>
      <c r="BD67" s="87"/>
      <c r="BE67" s="14"/>
      <c r="BF67" s="21"/>
      <c r="BG67" s="21"/>
      <c r="BH67" s="21" t="s">
        <v>3136</v>
      </c>
      <c r="BI67" s="21"/>
      <c r="BJ67" s="14"/>
      <c r="BK67" s="14" t="s">
        <v>3208</v>
      </c>
      <c r="BL67" s="14">
        <v>1</v>
      </c>
      <c r="BM67" s="14" t="s">
        <v>3749</v>
      </c>
      <c r="BN67" s="14" t="s">
        <v>3898</v>
      </c>
      <c r="BO67" s="87" t="s">
        <v>3651</v>
      </c>
      <c r="BP67" s="87" t="s">
        <v>3137</v>
      </c>
      <c r="BQ67" s="14"/>
      <c r="BR67" s="21"/>
      <c r="BS67" s="233"/>
      <c r="BT67" s="21"/>
      <c r="BU67" s="21"/>
      <c r="BV67" s="14"/>
      <c r="BW67" s="14"/>
      <c r="BX67" s="14"/>
      <c r="BY67" s="110"/>
      <c r="BZ67" s="14"/>
      <c r="CA67" s="14"/>
      <c r="CB67" s="87"/>
      <c r="CC67" s="233"/>
      <c r="CD67" s="233"/>
      <c r="CE67" s="233"/>
      <c r="CF67" s="21" t="s">
        <v>3136</v>
      </c>
      <c r="CG67" s="21"/>
      <c r="CH67" s="14"/>
      <c r="CI67" s="14" t="s">
        <v>3208</v>
      </c>
      <c r="CJ67" s="14">
        <v>1</v>
      </c>
      <c r="CK67" s="14" t="s">
        <v>3749</v>
      </c>
      <c r="CL67" s="14" t="s">
        <v>3898</v>
      </c>
      <c r="CM67" s="87" t="s">
        <v>3651</v>
      </c>
      <c r="CN67" s="87" t="s">
        <v>3137</v>
      </c>
      <c r="CO67" s="233"/>
      <c r="CP67" s="233"/>
      <c r="CQ67" s="233"/>
      <c r="CR67" s="21" t="s">
        <v>3502</v>
      </c>
      <c r="CS67" s="21"/>
      <c r="CT67" s="14"/>
      <c r="CU67" s="14" t="s">
        <v>3588</v>
      </c>
      <c r="CV67" s="14">
        <v>2</v>
      </c>
      <c r="CW67" s="110" t="s">
        <v>3682</v>
      </c>
      <c r="CX67" s="14" t="s">
        <v>3548</v>
      </c>
      <c r="CY67" s="87" t="s">
        <v>3730</v>
      </c>
      <c r="CZ67" s="87" t="s">
        <v>4209</v>
      </c>
      <c r="DA67" s="14"/>
      <c r="DB67" s="21"/>
      <c r="DC67" s="233"/>
      <c r="DD67" s="21" t="s">
        <v>3502</v>
      </c>
      <c r="DE67" s="21"/>
      <c r="DF67" s="14"/>
      <c r="DG67" s="14" t="s">
        <v>3588</v>
      </c>
      <c r="DH67" s="14">
        <v>2</v>
      </c>
      <c r="DI67" s="110" t="s">
        <v>3682</v>
      </c>
      <c r="DJ67" s="14" t="s">
        <v>3548</v>
      </c>
      <c r="DK67" s="87" t="s">
        <v>3730</v>
      </c>
      <c r="DL67" s="87" t="s">
        <v>4209</v>
      </c>
      <c r="DM67" s="14"/>
      <c r="DN67" s="21"/>
      <c r="DO67" s="233"/>
      <c r="DP67" s="21"/>
      <c r="DQ67" s="21"/>
      <c r="DR67" s="14"/>
      <c r="DS67" s="14"/>
      <c r="DT67" s="14"/>
      <c r="DU67" s="110"/>
      <c r="DV67" s="14"/>
      <c r="DW67" s="14"/>
      <c r="DX67" s="87"/>
      <c r="DY67" s="14"/>
      <c r="DZ67" s="233"/>
      <c r="EA67" s="233"/>
      <c r="EB67" s="21" t="s">
        <v>3325</v>
      </c>
      <c r="EC67" s="21"/>
      <c r="ED67" s="14"/>
      <c r="EE67" s="14" t="s">
        <v>3708</v>
      </c>
      <c r="EF67" s="14">
        <v>1</v>
      </c>
      <c r="EG67" s="110" t="s">
        <v>3749</v>
      </c>
      <c r="EH67" s="14" t="s">
        <v>3548</v>
      </c>
      <c r="EI67" s="111" t="s">
        <v>3326</v>
      </c>
      <c r="EJ67" s="111" t="s">
        <v>3500</v>
      </c>
      <c r="EK67" s="14"/>
      <c r="EL67" s="233"/>
      <c r="EM67" s="233"/>
      <c r="EN67" s="21" t="s">
        <v>3502</v>
      </c>
      <c r="EO67" s="21"/>
      <c r="EP67" s="14"/>
      <c r="EQ67" s="14" t="s">
        <v>3588</v>
      </c>
      <c r="ER67" s="14">
        <v>2</v>
      </c>
      <c r="ES67" s="110" t="s">
        <v>3682</v>
      </c>
      <c r="ET67" s="14" t="s">
        <v>3548</v>
      </c>
      <c r="EU67" s="87" t="s">
        <v>3730</v>
      </c>
      <c r="EV67" s="87" t="s">
        <v>4209</v>
      </c>
      <c r="EW67" s="14"/>
      <c r="EX67" s="21"/>
      <c r="EY67" s="233"/>
      <c r="EZ67" s="233"/>
      <c r="FA67" s="233"/>
      <c r="FB67" s="233"/>
      <c r="FC67" s="233"/>
      <c r="FD67" s="233"/>
    </row>
    <row r="68" spans="1:160">
      <c r="A68" s="20" t="s">
        <v>3707</v>
      </c>
      <c r="B68" s="14">
        <v>1</v>
      </c>
      <c r="C68" s="14" t="s">
        <v>3708</v>
      </c>
      <c r="D68" s="14">
        <v>1</v>
      </c>
      <c r="E68" s="106" t="s">
        <v>3749</v>
      </c>
      <c r="F68" s="14" t="s">
        <v>4066</v>
      </c>
      <c r="G68" s="44" t="s">
        <v>3911</v>
      </c>
      <c r="H68" s="44" t="s">
        <v>3709</v>
      </c>
      <c r="I68" s="44" t="s">
        <v>3900</v>
      </c>
      <c r="J68" s="28" t="s">
        <v>4773</v>
      </c>
      <c r="K68" s="111"/>
      <c r="L68" s="21" t="s">
        <v>3138</v>
      </c>
      <c r="M68" s="14"/>
      <c r="N68" s="21"/>
      <c r="O68" s="14" t="s">
        <v>3139</v>
      </c>
      <c r="P68" s="14">
        <v>1</v>
      </c>
      <c r="Q68" s="110" t="s">
        <v>3749</v>
      </c>
      <c r="R68" s="14" t="s">
        <v>3140</v>
      </c>
      <c r="S68" s="44" t="s">
        <v>3736</v>
      </c>
      <c r="T68" s="44" t="s">
        <v>3324</v>
      </c>
      <c r="U68" s="14"/>
      <c r="V68" s="21"/>
      <c r="W68" s="21"/>
      <c r="X68" s="21" t="s">
        <v>3504</v>
      </c>
      <c r="Y68" s="21"/>
      <c r="Z68" s="14"/>
      <c r="AA68" s="14" t="s">
        <v>3139</v>
      </c>
      <c r="AB68" s="14">
        <v>1</v>
      </c>
      <c r="AC68" s="110" t="s">
        <v>3279</v>
      </c>
      <c r="AD68" s="14" t="s">
        <v>3548</v>
      </c>
      <c r="AE68" s="87" t="s">
        <v>3753</v>
      </c>
      <c r="AF68" s="87" t="s">
        <v>3728</v>
      </c>
      <c r="AG68" s="14"/>
      <c r="AH68" s="21"/>
      <c r="AI68" s="21"/>
      <c r="AJ68" s="21" t="s">
        <v>3503</v>
      </c>
      <c r="AK68" s="21"/>
      <c r="AL68" s="14"/>
      <c r="AM68" s="14" t="s">
        <v>3462</v>
      </c>
      <c r="AN68" s="14">
        <v>3</v>
      </c>
      <c r="AO68" s="110" t="s">
        <v>3282</v>
      </c>
      <c r="AP68" s="14" t="s">
        <v>3735</v>
      </c>
      <c r="AQ68" s="87" t="s">
        <v>3759</v>
      </c>
      <c r="AR68" s="87" t="s">
        <v>3859</v>
      </c>
      <c r="AS68" s="14"/>
      <c r="AT68" s="21"/>
      <c r="AU68" s="21"/>
      <c r="AV68" s="21"/>
      <c r="AW68" s="21"/>
      <c r="AX68" s="14"/>
      <c r="AY68" s="14"/>
      <c r="AZ68" s="14"/>
      <c r="BA68" s="110"/>
      <c r="BB68" s="14"/>
      <c r="BC68" s="14"/>
      <c r="BD68" s="87"/>
      <c r="BE68" s="14"/>
      <c r="BF68" s="21"/>
      <c r="BG68" s="21"/>
      <c r="BH68" s="21" t="s">
        <v>3501</v>
      </c>
      <c r="BI68" s="21"/>
      <c r="BJ68" s="14"/>
      <c r="BK68" s="14" t="s">
        <v>3208</v>
      </c>
      <c r="BL68" s="14">
        <v>2</v>
      </c>
      <c r="BM68" s="110" t="s">
        <v>3925</v>
      </c>
      <c r="BN68" s="14" t="s">
        <v>3898</v>
      </c>
      <c r="BO68" s="87" t="s">
        <v>3612</v>
      </c>
      <c r="BP68" s="87" t="s">
        <v>3728</v>
      </c>
      <c r="BQ68" s="14"/>
      <c r="BR68" s="21"/>
      <c r="BS68" s="233"/>
      <c r="BT68" s="21"/>
      <c r="BU68" s="21"/>
      <c r="BV68" s="14"/>
      <c r="BW68" s="14"/>
      <c r="BX68" s="14"/>
      <c r="BY68" s="110"/>
      <c r="BZ68" s="14"/>
      <c r="CA68" s="14"/>
      <c r="CB68" s="87"/>
      <c r="CC68" s="233"/>
      <c r="CD68" s="233"/>
      <c r="CE68" s="233"/>
      <c r="CF68" s="21" t="s">
        <v>3501</v>
      </c>
      <c r="CG68" s="21"/>
      <c r="CH68" s="14"/>
      <c r="CI68" s="14" t="s">
        <v>3208</v>
      </c>
      <c r="CJ68" s="14">
        <v>2</v>
      </c>
      <c r="CK68" s="110" t="s">
        <v>3925</v>
      </c>
      <c r="CL68" s="14" t="s">
        <v>3898</v>
      </c>
      <c r="CM68" s="87" t="s">
        <v>3612</v>
      </c>
      <c r="CN68" s="87" t="s">
        <v>3728</v>
      </c>
      <c r="CO68" s="233"/>
      <c r="CP68" s="233"/>
      <c r="CQ68" s="233"/>
      <c r="CR68" s="21" t="s">
        <v>3504</v>
      </c>
      <c r="CS68" s="21"/>
      <c r="CT68" s="14"/>
      <c r="CU68" s="14" t="s">
        <v>3139</v>
      </c>
      <c r="CV68" s="14">
        <v>1</v>
      </c>
      <c r="CW68" s="110" t="s">
        <v>3279</v>
      </c>
      <c r="CX68" s="14" t="s">
        <v>3548</v>
      </c>
      <c r="CY68" s="87" t="s">
        <v>3753</v>
      </c>
      <c r="CZ68" s="87" t="s">
        <v>3728</v>
      </c>
      <c r="DA68" s="14"/>
      <c r="DB68" s="21"/>
      <c r="DC68" s="233"/>
      <c r="DD68" s="21" t="s">
        <v>3504</v>
      </c>
      <c r="DE68" s="21"/>
      <c r="DF68" s="14"/>
      <c r="DG68" s="14" t="s">
        <v>3139</v>
      </c>
      <c r="DH68" s="14">
        <v>1</v>
      </c>
      <c r="DI68" s="110" t="s">
        <v>3279</v>
      </c>
      <c r="DJ68" s="14" t="s">
        <v>3548</v>
      </c>
      <c r="DK68" s="87" t="s">
        <v>3753</v>
      </c>
      <c r="DL68" s="87" t="s">
        <v>3728</v>
      </c>
      <c r="DM68" s="14"/>
      <c r="DN68" s="21"/>
      <c r="DO68" s="233"/>
      <c r="DP68" s="21"/>
      <c r="DQ68" s="21"/>
      <c r="DR68" s="14"/>
      <c r="DS68" s="14"/>
      <c r="DT68" s="14"/>
      <c r="DU68" s="110"/>
      <c r="DV68" s="14"/>
      <c r="DW68" s="14"/>
      <c r="DX68" s="87"/>
      <c r="DY68" s="14"/>
      <c r="DZ68" s="233"/>
      <c r="EA68" s="233"/>
      <c r="EB68" s="21" t="s">
        <v>3503</v>
      </c>
      <c r="EC68" s="21"/>
      <c r="ED68" s="14"/>
      <c r="EE68" s="14" t="s">
        <v>3462</v>
      </c>
      <c r="EF68" s="14">
        <v>3</v>
      </c>
      <c r="EG68" s="110" t="s">
        <v>3282</v>
      </c>
      <c r="EH68" s="14" t="s">
        <v>3735</v>
      </c>
      <c r="EI68" s="87" t="s">
        <v>3759</v>
      </c>
      <c r="EJ68" s="87" t="s">
        <v>3859</v>
      </c>
      <c r="EK68" s="14"/>
      <c r="EL68" s="233"/>
      <c r="EM68" s="233"/>
      <c r="EN68" s="21" t="s">
        <v>3504</v>
      </c>
      <c r="EO68" s="21"/>
      <c r="EP68" s="14"/>
      <c r="EQ68" s="14" t="s">
        <v>3139</v>
      </c>
      <c r="ER68" s="14">
        <v>1</v>
      </c>
      <c r="ES68" s="110" t="s">
        <v>3279</v>
      </c>
      <c r="ET68" s="14" t="s">
        <v>3548</v>
      </c>
      <c r="EU68" s="87" t="s">
        <v>3753</v>
      </c>
      <c r="EV68" s="87" t="s">
        <v>3728</v>
      </c>
      <c r="EW68" s="14"/>
      <c r="EX68" s="21"/>
      <c r="EY68" s="233"/>
      <c r="EZ68" s="233"/>
      <c r="FA68" s="233"/>
      <c r="FB68" s="233"/>
      <c r="FC68" s="233"/>
      <c r="FD68" s="233"/>
    </row>
    <row r="69" spans="1:160">
      <c r="A69" s="20" t="s">
        <v>3895</v>
      </c>
      <c r="B69" s="14">
        <v>1</v>
      </c>
      <c r="C69" s="14" t="s">
        <v>3551</v>
      </c>
      <c r="D69" s="14">
        <v>0</v>
      </c>
      <c r="E69" s="14" t="s">
        <v>3897</v>
      </c>
      <c r="F69" s="14" t="s">
        <v>3705</v>
      </c>
      <c r="G69" s="44" t="s">
        <v>3736</v>
      </c>
      <c r="H69" s="44" t="s">
        <v>3706</v>
      </c>
      <c r="I69" s="44" t="s">
        <v>3900</v>
      </c>
      <c r="J69" s="28" t="s">
        <v>4555</v>
      </c>
      <c r="K69" s="111"/>
      <c r="L69" s="21" t="s">
        <v>3504</v>
      </c>
      <c r="M69" s="14">
        <v>3</v>
      </c>
      <c r="N69" s="21"/>
      <c r="O69" s="14" t="s">
        <v>3139</v>
      </c>
      <c r="P69" s="14">
        <v>1</v>
      </c>
      <c r="Q69" s="110" t="s">
        <v>3279</v>
      </c>
      <c r="R69" s="14" t="s">
        <v>3548</v>
      </c>
      <c r="S69" s="44" t="s">
        <v>3753</v>
      </c>
      <c r="T69" s="44" t="s">
        <v>3728</v>
      </c>
      <c r="U69" s="21"/>
      <c r="V69" s="21"/>
      <c r="W69" s="21"/>
      <c r="X69" s="21"/>
      <c r="Y69" s="21"/>
      <c r="Z69" s="21"/>
      <c r="AA69" s="14"/>
      <c r="AB69" s="14"/>
      <c r="AC69" s="14"/>
      <c r="AD69" s="14"/>
      <c r="AE69" s="14"/>
      <c r="AF69" s="87"/>
      <c r="AG69" s="21"/>
      <c r="AH69" s="21"/>
      <c r="AI69" s="21"/>
      <c r="AJ69" s="21" t="s">
        <v>3506</v>
      </c>
      <c r="AK69" s="21"/>
      <c r="AL69" s="14"/>
      <c r="AM69" s="14" t="s">
        <v>3507</v>
      </c>
      <c r="AN69" s="14">
        <v>3</v>
      </c>
      <c r="AO69" s="110" t="s">
        <v>3205</v>
      </c>
      <c r="AP69" s="14" t="s">
        <v>3947</v>
      </c>
      <c r="AQ69" s="14" t="s">
        <v>3651</v>
      </c>
      <c r="AR69" s="14" t="s">
        <v>3488</v>
      </c>
      <c r="AS69" s="21"/>
      <c r="AT69" s="21"/>
      <c r="AU69" s="21"/>
      <c r="AV69" s="21"/>
      <c r="AW69" s="21"/>
      <c r="AX69" s="21"/>
      <c r="AY69" s="14"/>
      <c r="AZ69" s="14"/>
      <c r="BA69" s="14"/>
      <c r="BB69" s="14"/>
      <c r="BC69" s="14"/>
      <c r="BD69" s="87"/>
      <c r="BE69" s="21"/>
      <c r="BF69" s="21"/>
      <c r="BG69" s="21"/>
      <c r="BH69" s="21"/>
      <c r="BI69" s="21"/>
      <c r="BJ69" s="14"/>
      <c r="BK69" s="14"/>
      <c r="BL69" s="14"/>
      <c r="BM69" s="110"/>
      <c r="BN69" s="14"/>
      <c r="BO69" s="87"/>
      <c r="BP69" s="87"/>
      <c r="BQ69" s="21"/>
      <c r="BR69" s="21"/>
      <c r="BS69" s="233"/>
      <c r="BT69" s="21"/>
      <c r="BU69" s="21"/>
      <c r="BV69" s="21"/>
      <c r="BW69" s="14"/>
      <c r="BX69" s="14"/>
      <c r="BY69" s="14"/>
      <c r="BZ69" s="14"/>
      <c r="CA69" s="14"/>
      <c r="CB69" s="87"/>
      <c r="CC69" s="233"/>
      <c r="CD69" s="233"/>
      <c r="CE69" s="233"/>
      <c r="CF69" s="21"/>
      <c r="CG69" s="21"/>
      <c r="CH69" s="14"/>
      <c r="CI69" s="14"/>
      <c r="CJ69" s="14"/>
      <c r="CK69" s="110"/>
      <c r="CL69" s="14"/>
      <c r="CM69" s="87"/>
      <c r="CN69" s="87"/>
      <c r="CO69" s="233"/>
      <c r="CP69" s="233"/>
      <c r="CQ69" s="233"/>
      <c r="CR69" s="21"/>
      <c r="CS69" s="21"/>
      <c r="CT69" s="21"/>
      <c r="CU69" s="14"/>
      <c r="CV69" s="14"/>
      <c r="CW69" s="14"/>
      <c r="CX69" s="14"/>
      <c r="CY69" s="14"/>
      <c r="CZ69" s="87"/>
      <c r="DA69" s="21"/>
      <c r="DB69" s="21"/>
      <c r="DC69" s="233"/>
      <c r="DD69" s="21"/>
      <c r="DE69" s="21"/>
      <c r="DF69" s="21"/>
      <c r="DG69" s="14"/>
      <c r="DH69" s="14"/>
      <c r="DI69" s="14"/>
      <c r="DJ69" s="14"/>
      <c r="DK69" s="14"/>
      <c r="DL69" s="87"/>
      <c r="DM69" s="21"/>
      <c r="DN69" s="21"/>
      <c r="DO69" s="233"/>
      <c r="DP69" s="21"/>
      <c r="DQ69" s="21"/>
      <c r="DR69" s="21"/>
      <c r="DS69" s="14"/>
      <c r="DT69" s="14"/>
      <c r="DU69" s="14"/>
      <c r="DV69" s="14"/>
      <c r="DW69" s="14"/>
      <c r="DX69" s="87"/>
      <c r="DY69" s="21"/>
      <c r="DZ69" s="233"/>
      <c r="EA69" s="233"/>
      <c r="EB69" s="21" t="s">
        <v>3506</v>
      </c>
      <c r="EC69" s="21"/>
      <c r="ED69" s="14"/>
      <c r="EE69" s="14" t="s">
        <v>3507</v>
      </c>
      <c r="EF69" s="14">
        <v>3</v>
      </c>
      <c r="EG69" s="110" t="s">
        <v>3205</v>
      </c>
      <c r="EH69" s="14" t="s">
        <v>3947</v>
      </c>
      <c r="EI69" s="14" t="s">
        <v>3651</v>
      </c>
      <c r="EJ69" s="14" t="s">
        <v>3488</v>
      </c>
      <c r="EK69" s="21"/>
      <c r="EL69" s="233"/>
      <c r="EM69" s="233"/>
      <c r="EN69" s="21"/>
      <c r="EO69" s="21"/>
      <c r="EP69" s="21"/>
      <c r="EQ69" s="14"/>
      <c r="ER69" s="14"/>
      <c r="ES69" s="14"/>
      <c r="ET69" s="14"/>
      <c r="EU69" s="14"/>
      <c r="EV69" s="87"/>
      <c r="EW69" s="21"/>
      <c r="EX69" s="21"/>
      <c r="EY69" s="233"/>
      <c r="EZ69" s="233"/>
      <c r="FA69" s="233"/>
      <c r="FB69" s="233"/>
      <c r="FC69" s="233"/>
      <c r="FD69" s="233"/>
    </row>
    <row r="70" spans="1:160">
      <c r="A70" s="20" t="s">
        <v>3536</v>
      </c>
      <c r="B70" s="14">
        <v>1</v>
      </c>
      <c r="C70" s="14" t="s">
        <v>3555</v>
      </c>
      <c r="D70" s="14">
        <v>0</v>
      </c>
      <c r="E70" s="14" t="s">
        <v>3745</v>
      </c>
      <c r="F70" s="14" t="s">
        <v>3898</v>
      </c>
      <c r="G70" s="44" t="s">
        <v>3747</v>
      </c>
      <c r="H70" s="44" t="s">
        <v>4212</v>
      </c>
      <c r="I70" s="44" t="s">
        <v>3900</v>
      </c>
      <c r="J70" s="28" t="s">
        <v>4369</v>
      </c>
      <c r="K70" s="111"/>
      <c r="L70" s="26" t="s">
        <v>5025</v>
      </c>
      <c r="M70" s="21"/>
      <c r="N70" s="108" t="s">
        <v>5018</v>
      </c>
      <c r="O70" s="108" t="s">
        <v>5701</v>
      </c>
      <c r="P70" s="108" t="s">
        <v>5019</v>
      </c>
      <c r="Q70" s="108" t="s">
        <v>5020</v>
      </c>
      <c r="R70" s="108" t="s">
        <v>5021</v>
      </c>
      <c r="S70" s="108" t="s">
        <v>5022</v>
      </c>
      <c r="T70" s="282" t="s">
        <v>5316</v>
      </c>
      <c r="U70" s="26"/>
      <c r="V70" s="21"/>
      <c r="W70" s="21"/>
      <c r="X70" s="26" t="s">
        <v>5025</v>
      </c>
      <c r="Y70" s="21"/>
      <c r="Z70" s="108" t="s">
        <v>5018</v>
      </c>
      <c r="AA70" s="108" t="s">
        <v>5701</v>
      </c>
      <c r="AB70" s="108" t="s">
        <v>5019</v>
      </c>
      <c r="AC70" s="108" t="s">
        <v>5020</v>
      </c>
      <c r="AD70" s="108" t="s">
        <v>5021</v>
      </c>
      <c r="AE70" s="108" t="s">
        <v>5022</v>
      </c>
      <c r="AF70" s="282" t="s">
        <v>5316</v>
      </c>
      <c r="AG70" s="26"/>
      <c r="AH70" s="21"/>
      <c r="AI70" s="21"/>
      <c r="AJ70" s="26" t="s">
        <v>5025</v>
      </c>
      <c r="AK70" s="21"/>
      <c r="AL70" s="108" t="s">
        <v>5018</v>
      </c>
      <c r="AM70" s="108" t="s">
        <v>5701</v>
      </c>
      <c r="AN70" s="108" t="s">
        <v>5019</v>
      </c>
      <c r="AO70" s="108" t="s">
        <v>5020</v>
      </c>
      <c r="AP70" s="108" t="s">
        <v>5021</v>
      </c>
      <c r="AQ70" s="108" t="s">
        <v>5022</v>
      </c>
      <c r="AR70" s="282" t="s">
        <v>5316</v>
      </c>
      <c r="AS70" s="26"/>
      <c r="AT70" s="21"/>
      <c r="AU70" s="21"/>
      <c r="AV70" s="26" t="s">
        <v>5025</v>
      </c>
      <c r="AW70" s="21"/>
      <c r="AX70" s="108" t="s">
        <v>5018</v>
      </c>
      <c r="AY70" s="108" t="s">
        <v>5701</v>
      </c>
      <c r="AZ70" s="108" t="s">
        <v>5019</v>
      </c>
      <c r="BA70" s="108" t="s">
        <v>5020</v>
      </c>
      <c r="BB70" s="108" t="s">
        <v>5021</v>
      </c>
      <c r="BC70" s="108" t="s">
        <v>5022</v>
      </c>
      <c r="BD70" s="282" t="s">
        <v>5316</v>
      </c>
      <c r="BE70" s="26"/>
      <c r="BF70" s="21"/>
      <c r="BG70" s="21"/>
      <c r="BH70" s="26" t="s">
        <v>5025</v>
      </c>
      <c r="BI70" s="21"/>
      <c r="BJ70" s="108" t="s">
        <v>5018</v>
      </c>
      <c r="BK70" s="108" t="s">
        <v>5701</v>
      </c>
      <c r="BL70" s="108" t="s">
        <v>5019</v>
      </c>
      <c r="BM70" s="108" t="s">
        <v>5020</v>
      </c>
      <c r="BN70" s="108" t="s">
        <v>5021</v>
      </c>
      <c r="BO70" s="108" t="s">
        <v>5022</v>
      </c>
      <c r="BP70" s="282" t="s">
        <v>5316</v>
      </c>
      <c r="BQ70" s="26"/>
      <c r="BR70" s="21"/>
      <c r="BS70" s="233"/>
      <c r="BT70" s="26" t="s">
        <v>5025</v>
      </c>
      <c r="BU70" s="21"/>
      <c r="BV70" s="108" t="s">
        <v>5018</v>
      </c>
      <c r="BW70" s="108" t="s">
        <v>5701</v>
      </c>
      <c r="BX70" s="108" t="s">
        <v>5019</v>
      </c>
      <c r="BY70" s="108" t="s">
        <v>5020</v>
      </c>
      <c r="BZ70" s="108" t="s">
        <v>5021</v>
      </c>
      <c r="CA70" s="108" t="s">
        <v>5022</v>
      </c>
      <c r="CB70" s="282" t="s">
        <v>5316</v>
      </c>
      <c r="CC70" s="233"/>
      <c r="CD70" s="233"/>
      <c r="CE70" s="233"/>
      <c r="CF70" s="26" t="s">
        <v>5025</v>
      </c>
      <c r="CG70" s="21"/>
      <c r="CH70" s="108" t="s">
        <v>5018</v>
      </c>
      <c r="CI70" s="108" t="s">
        <v>5701</v>
      </c>
      <c r="CJ70" s="108" t="s">
        <v>5019</v>
      </c>
      <c r="CK70" s="108" t="s">
        <v>5020</v>
      </c>
      <c r="CL70" s="108" t="s">
        <v>5021</v>
      </c>
      <c r="CM70" s="108" t="s">
        <v>5022</v>
      </c>
      <c r="CN70" s="282" t="s">
        <v>5316</v>
      </c>
      <c r="CO70" s="233"/>
      <c r="CP70" s="233"/>
      <c r="CQ70" s="233"/>
      <c r="CR70" s="26" t="s">
        <v>5025</v>
      </c>
      <c r="CS70" s="21"/>
      <c r="CT70" s="108" t="s">
        <v>5018</v>
      </c>
      <c r="CU70" s="108" t="s">
        <v>5701</v>
      </c>
      <c r="CV70" s="108" t="s">
        <v>5019</v>
      </c>
      <c r="CW70" s="108" t="s">
        <v>5020</v>
      </c>
      <c r="CX70" s="108" t="s">
        <v>5021</v>
      </c>
      <c r="CY70" s="108" t="s">
        <v>5022</v>
      </c>
      <c r="CZ70" s="282" t="s">
        <v>5316</v>
      </c>
      <c r="DA70" s="26"/>
      <c r="DB70" s="21"/>
      <c r="DC70" s="233"/>
      <c r="DD70" s="26" t="s">
        <v>5025</v>
      </c>
      <c r="DE70" s="21"/>
      <c r="DF70" s="108" t="s">
        <v>5018</v>
      </c>
      <c r="DG70" s="108" t="s">
        <v>5701</v>
      </c>
      <c r="DH70" s="108" t="s">
        <v>5019</v>
      </c>
      <c r="DI70" s="108" t="s">
        <v>5020</v>
      </c>
      <c r="DJ70" s="108" t="s">
        <v>5021</v>
      </c>
      <c r="DK70" s="108" t="s">
        <v>5022</v>
      </c>
      <c r="DL70" s="282" t="s">
        <v>5316</v>
      </c>
      <c r="DM70" s="26"/>
      <c r="DN70" s="21"/>
      <c r="DO70" s="233"/>
      <c r="DP70" s="26" t="s">
        <v>5025</v>
      </c>
      <c r="DQ70" s="21"/>
      <c r="DR70" s="108" t="s">
        <v>5018</v>
      </c>
      <c r="DS70" s="108" t="s">
        <v>5701</v>
      </c>
      <c r="DT70" s="108" t="s">
        <v>5019</v>
      </c>
      <c r="DU70" s="108" t="s">
        <v>5020</v>
      </c>
      <c r="DV70" s="108" t="s">
        <v>5021</v>
      </c>
      <c r="DW70" s="108" t="s">
        <v>5022</v>
      </c>
      <c r="DX70" s="282" t="s">
        <v>5316</v>
      </c>
      <c r="DY70" s="26"/>
      <c r="DZ70" s="233"/>
      <c r="EA70" s="233"/>
      <c r="EB70" s="26" t="s">
        <v>5025</v>
      </c>
      <c r="EC70" s="21"/>
      <c r="ED70" s="108" t="s">
        <v>5018</v>
      </c>
      <c r="EE70" s="108" t="s">
        <v>5701</v>
      </c>
      <c r="EF70" s="108" t="s">
        <v>5019</v>
      </c>
      <c r="EG70" s="108" t="s">
        <v>5020</v>
      </c>
      <c r="EH70" s="108" t="s">
        <v>5021</v>
      </c>
      <c r="EI70" s="108" t="s">
        <v>5022</v>
      </c>
      <c r="EJ70" s="282" t="s">
        <v>5316</v>
      </c>
      <c r="EK70" s="26"/>
      <c r="EL70" s="233"/>
      <c r="EM70" s="233"/>
      <c r="EN70" s="26" t="s">
        <v>5025</v>
      </c>
      <c r="EO70" s="21"/>
      <c r="EP70" s="108" t="s">
        <v>5018</v>
      </c>
      <c r="EQ70" s="108" t="s">
        <v>5701</v>
      </c>
      <c r="ER70" s="108" t="s">
        <v>5019</v>
      </c>
      <c r="ES70" s="108" t="s">
        <v>5020</v>
      </c>
      <c r="ET70" s="108" t="s">
        <v>5021</v>
      </c>
      <c r="EU70" s="108" t="s">
        <v>5022</v>
      </c>
      <c r="EV70" s="282" t="s">
        <v>5316</v>
      </c>
      <c r="EW70" s="26"/>
      <c r="EX70" s="21"/>
      <c r="EY70" s="233"/>
      <c r="EZ70" s="233"/>
      <c r="FA70" s="233"/>
      <c r="FB70" s="233"/>
      <c r="FC70" s="233"/>
      <c r="FD70" s="233"/>
    </row>
    <row r="71" spans="1:160">
      <c r="A71" s="20" t="s">
        <v>3122</v>
      </c>
      <c r="B71" s="14">
        <v>1</v>
      </c>
      <c r="C71" s="14" t="s">
        <v>5876</v>
      </c>
      <c r="D71" s="14">
        <v>1</v>
      </c>
      <c r="E71" s="106" t="s">
        <v>4039</v>
      </c>
      <c r="F71" s="14" t="s">
        <v>3947</v>
      </c>
      <c r="G71" s="44" t="s">
        <v>3550</v>
      </c>
      <c r="H71" s="44" t="s">
        <v>384</v>
      </c>
      <c r="I71" s="44" t="s">
        <v>3900</v>
      </c>
      <c r="J71" s="28" t="s">
        <v>4369</v>
      </c>
      <c r="K71" s="111"/>
      <c r="L71" s="21" t="s">
        <v>3510</v>
      </c>
      <c r="M71" s="14"/>
      <c r="N71" s="21"/>
      <c r="O71" s="14" t="s">
        <v>3412</v>
      </c>
      <c r="P71" s="14">
        <v>2</v>
      </c>
      <c r="Q71" s="110" t="s">
        <v>3282</v>
      </c>
      <c r="R71" s="14" t="s">
        <v>4000</v>
      </c>
      <c r="S71" s="44" t="s">
        <v>3743</v>
      </c>
      <c r="T71" s="44" t="s">
        <v>3683</v>
      </c>
      <c r="U71" s="14"/>
      <c r="V71" s="21"/>
      <c r="W71" s="21"/>
      <c r="X71" s="21" t="s">
        <v>3684</v>
      </c>
      <c r="Y71" s="21"/>
      <c r="Z71" s="14"/>
      <c r="AA71" s="14" t="s">
        <v>3685</v>
      </c>
      <c r="AB71" s="14">
        <v>1</v>
      </c>
      <c r="AC71" s="110" t="s">
        <v>3686</v>
      </c>
      <c r="AD71" s="14" t="s">
        <v>3716</v>
      </c>
      <c r="AE71" s="87" t="s">
        <v>3736</v>
      </c>
      <c r="AF71" s="87" t="s">
        <v>3687</v>
      </c>
      <c r="AG71" s="14"/>
      <c r="AH71" s="21"/>
      <c r="AI71" s="21"/>
      <c r="AJ71" s="21" t="s">
        <v>3688</v>
      </c>
      <c r="AK71" s="21"/>
      <c r="AL71" s="14"/>
      <c r="AM71" s="14" t="s">
        <v>3689</v>
      </c>
      <c r="AN71" s="14">
        <v>1</v>
      </c>
      <c r="AO71" s="110" t="s">
        <v>3686</v>
      </c>
      <c r="AP71" s="14" t="s">
        <v>3947</v>
      </c>
      <c r="AQ71" s="87" t="s">
        <v>3759</v>
      </c>
      <c r="AR71" s="87" t="s">
        <v>4212</v>
      </c>
      <c r="AS71" s="14"/>
      <c r="AT71" s="21"/>
      <c r="AU71" s="21"/>
      <c r="AV71" s="21" t="s">
        <v>3510</v>
      </c>
      <c r="AW71" s="21"/>
      <c r="AX71" s="14"/>
      <c r="AY71" s="14" t="s">
        <v>3412</v>
      </c>
      <c r="AZ71" s="14">
        <v>2</v>
      </c>
      <c r="BA71" s="110" t="s">
        <v>3282</v>
      </c>
      <c r="BB71" s="14" t="s">
        <v>4000</v>
      </c>
      <c r="BC71" s="87" t="s">
        <v>3743</v>
      </c>
      <c r="BD71" s="87" t="s">
        <v>3683</v>
      </c>
      <c r="BE71" s="14"/>
      <c r="BF71" s="21"/>
      <c r="BG71" s="21"/>
      <c r="BH71" s="21" t="s">
        <v>3690</v>
      </c>
      <c r="BI71" s="21"/>
      <c r="BJ71" s="14"/>
      <c r="BK71" s="14" t="s">
        <v>3210</v>
      </c>
      <c r="BL71" s="14">
        <v>3</v>
      </c>
      <c r="BM71" s="110" t="s">
        <v>3667</v>
      </c>
      <c r="BN71" s="14" t="s">
        <v>3884</v>
      </c>
      <c r="BO71" s="87" t="s">
        <v>3538</v>
      </c>
      <c r="BP71" s="87" t="s">
        <v>3728</v>
      </c>
      <c r="BQ71" s="14"/>
      <c r="BR71" s="21"/>
      <c r="BS71" s="233"/>
      <c r="BT71" s="21" t="s">
        <v>3885</v>
      </c>
      <c r="BU71" s="21"/>
      <c r="BV71" s="14"/>
      <c r="BW71" s="14" t="s">
        <v>3886</v>
      </c>
      <c r="BX71" s="14">
        <v>1</v>
      </c>
      <c r="BY71" s="110" t="s">
        <v>3887</v>
      </c>
      <c r="BZ71" s="14" t="s">
        <v>3548</v>
      </c>
      <c r="CA71" s="87" t="s">
        <v>3651</v>
      </c>
      <c r="CB71" s="87" t="s">
        <v>3699</v>
      </c>
      <c r="CC71" s="233"/>
      <c r="CD71" s="233"/>
      <c r="CE71" s="233"/>
      <c r="CF71" s="21" t="s">
        <v>3690</v>
      </c>
      <c r="CG71" s="21"/>
      <c r="CH71" s="14"/>
      <c r="CI71" s="14" t="s">
        <v>3210</v>
      </c>
      <c r="CJ71" s="14">
        <v>3</v>
      </c>
      <c r="CK71" s="110" t="s">
        <v>3667</v>
      </c>
      <c r="CL71" s="14" t="s">
        <v>3884</v>
      </c>
      <c r="CM71" s="87" t="s">
        <v>3538</v>
      </c>
      <c r="CN71" s="87" t="s">
        <v>3728</v>
      </c>
      <c r="CO71" s="233"/>
      <c r="CP71" s="233"/>
      <c r="CQ71" s="233"/>
      <c r="CR71" s="21" t="s">
        <v>3684</v>
      </c>
      <c r="CS71" s="21"/>
      <c r="CT71" s="14"/>
      <c r="CU71" s="14" t="s">
        <v>3685</v>
      </c>
      <c r="CV71" s="14">
        <v>1</v>
      </c>
      <c r="CW71" s="110" t="s">
        <v>3686</v>
      </c>
      <c r="CX71" s="14" t="s">
        <v>3716</v>
      </c>
      <c r="CY71" s="87" t="s">
        <v>3736</v>
      </c>
      <c r="CZ71" s="87" t="s">
        <v>3687</v>
      </c>
      <c r="DA71" s="14"/>
      <c r="DB71" s="21"/>
      <c r="DC71" s="233"/>
      <c r="DD71" s="21" t="s">
        <v>3684</v>
      </c>
      <c r="DE71" s="21"/>
      <c r="DF71" s="14"/>
      <c r="DG71" s="14" t="s">
        <v>3685</v>
      </c>
      <c r="DH71" s="14">
        <v>1</v>
      </c>
      <c r="DI71" s="110" t="s">
        <v>3686</v>
      </c>
      <c r="DJ71" s="14" t="s">
        <v>3716</v>
      </c>
      <c r="DK71" s="87" t="s">
        <v>3736</v>
      </c>
      <c r="DL71" s="87" t="s">
        <v>3687</v>
      </c>
      <c r="DM71" s="14"/>
      <c r="DN71" s="21"/>
      <c r="DO71" s="233"/>
      <c r="DP71" s="21" t="s">
        <v>3184</v>
      </c>
      <c r="DQ71" s="21"/>
      <c r="DR71" s="14"/>
      <c r="DS71" s="14" t="s">
        <v>3462</v>
      </c>
      <c r="DT71" s="14">
        <v>3</v>
      </c>
      <c r="DU71" s="110" t="s">
        <v>3682</v>
      </c>
      <c r="DV71" s="14" t="s">
        <v>3898</v>
      </c>
      <c r="DW71" s="87" t="s">
        <v>3321</v>
      </c>
      <c r="DX71" s="87" t="s">
        <v>3185</v>
      </c>
      <c r="DY71" s="14"/>
      <c r="DZ71" s="233"/>
      <c r="EA71" s="233"/>
      <c r="EB71" s="21" t="s">
        <v>3688</v>
      </c>
      <c r="EC71" s="21"/>
      <c r="ED71" s="14"/>
      <c r="EE71" s="14" t="s">
        <v>3689</v>
      </c>
      <c r="EF71" s="14">
        <v>1</v>
      </c>
      <c r="EG71" s="110" t="s">
        <v>3686</v>
      </c>
      <c r="EH71" s="14" t="s">
        <v>3947</v>
      </c>
      <c r="EI71" s="87" t="s">
        <v>3759</v>
      </c>
      <c r="EJ71" s="87" t="s">
        <v>4212</v>
      </c>
      <c r="EK71" s="14"/>
      <c r="EL71" s="233"/>
      <c r="EM71" s="233"/>
      <c r="EN71" s="21" t="s">
        <v>3684</v>
      </c>
      <c r="EO71" s="21"/>
      <c r="EP71" s="14"/>
      <c r="EQ71" s="14" t="s">
        <v>3685</v>
      </c>
      <c r="ER71" s="14">
        <v>1</v>
      </c>
      <c r="ES71" s="110" t="s">
        <v>3686</v>
      </c>
      <c r="ET71" s="14" t="s">
        <v>3716</v>
      </c>
      <c r="EU71" s="87" t="s">
        <v>3736</v>
      </c>
      <c r="EV71" s="87" t="s">
        <v>3687</v>
      </c>
      <c r="EW71" s="14"/>
      <c r="EX71" s="21"/>
      <c r="EY71" s="233"/>
      <c r="EZ71" s="233"/>
      <c r="FA71" s="233"/>
      <c r="FB71" s="233"/>
      <c r="FC71" s="233"/>
      <c r="FD71" s="233"/>
    </row>
    <row r="72" spans="1:160">
      <c r="A72" s="20" t="s">
        <v>3534</v>
      </c>
      <c r="B72" s="14">
        <v>1</v>
      </c>
      <c r="C72" s="14" t="s">
        <v>3976</v>
      </c>
      <c r="D72" s="14" t="s">
        <v>5036</v>
      </c>
      <c r="E72" s="14" t="s">
        <v>3904</v>
      </c>
      <c r="F72" s="14" t="s">
        <v>3947</v>
      </c>
      <c r="G72" s="44" t="s">
        <v>3759</v>
      </c>
      <c r="H72" s="44" t="s">
        <v>3915</v>
      </c>
      <c r="I72" s="44" t="s">
        <v>3916</v>
      </c>
      <c r="J72" s="28" t="s">
        <v>4447</v>
      </c>
      <c r="K72" s="111"/>
      <c r="L72" s="21" t="s">
        <v>3690</v>
      </c>
      <c r="M72" s="14"/>
      <c r="N72" s="21"/>
      <c r="O72" s="14" t="s">
        <v>3210</v>
      </c>
      <c r="P72" s="14">
        <v>3</v>
      </c>
      <c r="Q72" s="110" t="s">
        <v>3667</v>
      </c>
      <c r="R72" s="14" t="s">
        <v>3884</v>
      </c>
      <c r="S72" s="44" t="s">
        <v>3538</v>
      </c>
      <c r="T72" s="44" t="s">
        <v>3728</v>
      </c>
      <c r="U72" s="14"/>
      <c r="V72" s="21"/>
      <c r="W72" s="21"/>
      <c r="X72" s="21" t="s">
        <v>3700</v>
      </c>
      <c r="Y72" s="21"/>
      <c r="Z72" s="14"/>
      <c r="AA72" s="14" t="s">
        <v>3685</v>
      </c>
      <c r="AB72" s="14">
        <v>2</v>
      </c>
      <c r="AC72" s="110" t="s">
        <v>3701</v>
      </c>
      <c r="AD72" s="14" t="s">
        <v>4000</v>
      </c>
      <c r="AE72" s="87" t="s">
        <v>3759</v>
      </c>
      <c r="AF72" s="87" t="s">
        <v>3859</v>
      </c>
      <c r="AG72" s="14"/>
      <c r="AH72" s="21"/>
      <c r="AI72" s="21"/>
      <c r="AJ72" s="21" t="s">
        <v>3702</v>
      </c>
      <c r="AK72" s="21"/>
      <c r="AL72" s="14"/>
      <c r="AM72" s="14" t="s">
        <v>3689</v>
      </c>
      <c r="AN72" s="14">
        <v>1</v>
      </c>
      <c r="AO72" s="110" t="s">
        <v>3526</v>
      </c>
      <c r="AP72" s="14" t="s">
        <v>3898</v>
      </c>
      <c r="AQ72" s="87" t="s">
        <v>3736</v>
      </c>
      <c r="AR72" s="87" t="s">
        <v>3522</v>
      </c>
      <c r="AS72" s="14"/>
      <c r="AT72" s="21"/>
      <c r="AU72" s="21"/>
      <c r="AV72" s="21" t="s">
        <v>378</v>
      </c>
      <c r="AW72" s="21"/>
      <c r="AX72" s="14"/>
      <c r="AY72" s="14" t="s">
        <v>5883</v>
      </c>
      <c r="AZ72" s="14">
        <v>1</v>
      </c>
      <c r="BA72" s="110" t="s">
        <v>3451</v>
      </c>
      <c r="BB72" s="14" t="s">
        <v>3898</v>
      </c>
      <c r="BC72" s="44" t="s">
        <v>3550</v>
      </c>
      <c r="BD72" s="107" t="s">
        <v>379</v>
      </c>
      <c r="BE72" s="44" t="s">
        <v>3900</v>
      </c>
      <c r="BF72" s="21" t="s">
        <v>4447</v>
      </c>
      <c r="BG72" s="21"/>
      <c r="BH72" s="21" t="s">
        <v>3360</v>
      </c>
      <c r="BI72" s="21"/>
      <c r="BJ72" s="14"/>
      <c r="BK72" s="14" t="s">
        <v>3886</v>
      </c>
      <c r="BL72" s="14">
        <v>2</v>
      </c>
      <c r="BM72" s="110" t="s">
        <v>3701</v>
      </c>
      <c r="BN72" s="14" t="s">
        <v>3854</v>
      </c>
      <c r="BO72" s="87" t="s">
        <v>3361</v>
      </c>
      <c r="BP72" s="87" t="s">
        <v>3859</v>
      </c>
      <c r="BQ72" s="14"/>
      <c r="BR72" s="21"/>
      <c r="BS72" s="233"/>
      <c r="BT72" s="21" t="s">
        <v>3362</v>
      </c>
      <c r="BU72" s="21"/>
      <c r="BV72" s="14"/>
      <c r="BW72" s="112" t="s">
        <v>3929</v>
      </c>
      <c r="BX72" s="14">
        <v>2</v>
      </c>
      <c r="BY72" s="110" t="s">
        <v>3526</v>
      </c>
      <c r="BZ72" s="14" t="s">
        <v>3363</v>
      </c>
      <c r="CA72" s="87" t="s">
        <v>3550</v>
      </c>
      <c r="CB72" s="44" t="s">
        <v>3364</v>
      </c>
      <c r="CC72" s="233"/>
      <c r="CD72" s="233"/>
      <c r="CE72" s="233"/>
      <c r="CF72" s="21" t="s">
        <v>3360</v>
      </c>
      <c r="CG72" s="21"/>
      <c r="CH72" s="14"/>
      <c r="CI72" s="14" t="s">
        <v>3886</v>
      </c>
      <c r="CJ72" s="14">
        <v>2</v>
      </c>
      <c r="CK72" s="110" t="s">
        <v>3701</v>
      </c>
      <c r="CL72" s="14" t="s">
        <v>3854</v>
      </c>
      <c r="CM72" s="87" t="s">
        <v>3361</v>
      </c>
      <c r="CN72" s="87" t="s">
        <v>3859</v>
      </c>
      <c r="CO72" s="233"/>
      <c r="CP72" s="233"/>
      <c r="CQ72" s="233"/>
      <c r="CR72" s="21" t="s">
        <v>3700</v>
      </c>
      <c r="CS72" s="21"/>
      <c r="CT72" s="14"/>
      <c r="CU72" s="14" t="s">
        <v>3685</v>
      </c>
      <c r="CV72" s="14">
        <v>2</v>
      </c>
      <c r="CW72" s="110" t="s">
        <v>3701</v>
      </c>
      <c r="CX72" s="14" t="s">
        <v>4000</v>
      </c>
      <c r="CY72" s="87" t="s">
        <v>3759</v>
      </c>
      <c r="CZ72" s="87" t="s">
        <v>3859</v>
      </c>
      <c r="DA72" s="14"/>
      <c r="DB72" s="21"/>
      <c r="DC72" s="233"/>
      <c r="DD72" s="21" t="s">
        <v>3700</v>
      </c>
      <c r="DE72" s="21"/>
      <c r="DF72" s="14"/>
      <c r="DG72" s="14" t="s">
        <v>3685</v>
      </c>
      <c r="DH72" s="14">
        <v>2</v>
      </c>
      <c r="DI72" s="110" t="s">
        <v>3701</v>
      </c>
      <c r="DJ72" s="14" t="s">
        <v>4000</v>
      </c>
      <c r="DK72" s="87" t="s">
        <v>3759</v>
      </c>
      <c r="DL72" s="87" t="s">
        <v>3859</v>
      </c>
      <c r="DM72" s="14"/>
      <c r="DN72" s="21"/>
      <c r="DO72" s="233"/>
      <c r="DP72" s="21" t="s">
        <v>3285</v>
      </c>
      <c r="DQ72" s="21"/>
      <c r="DR72" s="14"/>
      <c r="DS72" s="14" t="s">
        <v>3886</v>
      </c>
      <c r="DT72" s="14">
        <v>1</v>
      </c>
      <c r="DU72" s="14" t="s">
        <v>3701</v>
      </c>
      <c r="DV72" s="14" t="s">
        <v>3898</v>
      </c>
      <c r="DW72" s="87" t="s">
        <v>3736</v>
      </c>
      <c r="DX72" s="87" t="s">
        <v>3286</v>
      </c>
      <c r="DY72" s="14"/>
      <c r="DZ72" s="233"/>
      <c r="EA72" s="233"/>
      <c r="EB72" s="21" t="s">
        <v>3702</v>
      </c>
      <c r="EC72" s="21"/>
      <c r="ED72" s="14"/>
      <c r="EE72" s="14" t="s">
        <v>3689</v>
      </c>
      <c r="EF72" s="14">
        <v>1</v>
      </c>
      <c r="EG72" s="110" t="s">
        <v>3526</v>
      </c>
      <c r="EH72" s="14" t="s">
        <v>3898</v>
      </c>
      <c r="EI72" s="87" t="s">
        <v>3736</v>
      </c>
      <c r="EJ72" s="87" t="s">
        <v>3522</v>
      </c>
      <c r="EK72" s="14"/>
      <c r="EL72" s="233"/>
      <c r="EM72" s="233"/>
      <c r="EN72" s="21" t="s">
        <v>3700</v>
      </c>
      <c r="EO72" s="21"/>
      <c r="EP72" s="14"/>
      <c r="EQ72" s="14" t="s">
        <v>3685</v>
      </c>
      <c r="ER72" s="14">
        <v>2</v>
      </c>
      <c r="ES72" s="110" t="s">
        <v>3701</v>
      </c>
      <c r="ET72" s="14" t="s">
        <v>4000</v>
      </c>
      <c r="EU72" s="87" t="s">
        <v>3759</v>
      </c>
      <c r="EV72" s="87" t="s">
        <v>3859</v>
      </c>
      <c r="EW72" s="14"/>
      <c r="EX72" s="21"/>
      <c r="EY72" s="233"/>
      <c r="EZ72" s="233"/>
      <c r="FA72" s="233"/>
      <c r="FB72" s="233"/>
      <c r="FC72" s="233"/>
      <c r="FD72" s="233"/>
    </row>
    <row r="73" spans="1:160">
      <c r="A73" s="20" t="s">
        <v>3727</v>
      </c>
      <c r="B73" s="14">
        <v>1</v>
      </c>
      <c r="C73" s="14" t="s">
        <v>3542</v>
      </c>
      <c r="D73" s="14" t="s">
        <v>5036</v>
      </c>
      <c r="E73" s="14" t="s">
        <v>3904</v>
      </c>
      <c r="F73" s="14" t="s">
        <v>3854</v>
      </c>
      <c r="G73" s="44" t="s">
        <v>3543</v>
      </c>
      <c r="H73" s="44" t="s">
        <v>3544</v>
      </c>
      <c r="I73" s="44" t="s">
        <v>3900</v>
      </c>
      <c r="J73" s="28" t="s">
        <v>4369</v>
      </c>
      <c r="K73" s="111"/>
      <c r="L73" s="21" t="s">
        <v>3360</v>
      </c>
      <c r="M73" s="14"/>
      <c r="N73" s="21"/>
      <c r="O73" s="14" t="s">
        <v>3886</v>
      </c>
      <c r="P73" s="14">
        <v>2</v>
      </c>
      <c r="Q73" s="110" t="s">
        <v>3701</v>
      </c>
      <c r="R73" s="14" t="s">
        <v>3854</v>
      </c>
      <c r="S73" s="44" t="s">
        <v>3361</v>
      </c>
      <c r="T73" s="44" t="s">
        <v>3859</v>
      </c>
      <c r="U73" s="14"/>
      <c r="V73" s="21"/>
      <c r="W73" s="21"/>
      <c r="X73" s="21" t="s">
        <v>3365</v>
      </c>
      <c r="Y73" s="21"/>
      <c r="Z73" s="14"/>
      <c r="AA73" s="14" t="s">
        <v>3139</v>
      </c>
      <c r="AB73" s="14">
        <v>2</v>
      </c>
      <c r="AC73" s="110" t="s">
        <v>3526</v>
      </c>
      <c r="AD73" s="14" t="s">
        <v>3548</v>
      </c>
      <c r="AE73" s="87" t="s">
        <v>3651</v>
      </c>
      <c r="AF73" s="87" t="s">
        <v>3183</v>
      </c>
      <c r="AG73" s="14"/>
      <c r="AH73" s="21"/>
      <c r="AI73" s="21"/>
      <c r="AJ73" s="21" t="s">
        <v>3184</v>
      </c>
      <c r="AK73" s="21"/>
      <c r="AL73" s="14"/>
      <c r="AM73" s="14" t="s">
        <v>3462</v>
      </c>
      <c r="AN73" s="14">
        <v>3</v>
      </c>
      <c r="AO73" s="110" t="s">
        <v>3682</v>
      </c>
      <c r="AP73" s="14" t="s">
        <v>3898</v>
      </c>
      <c r="AQ73" s="87" t="s">
        <v>3321</v>
      </c>
      <c r="AR73" s="87" t="s">
        <v>3185</v>
      </c>
      <c r="AS73" s="14"/>
      <c r="AT73" s="21"/>
      <c r="AU73" s="21"/>
      <c r="AV73" s="21" t="s">
        <v>3523</v>
      </c>
      <c r="AW73" s="21"/>
      <c r="AX73" s="14"/>
      <c r="AY73" s="14" t="s">
        <v>3412</v>
      </c>
      <c r="AZ73" s="14">
        <v>2</v>
      </c>
      <c r="BA73" s="110" t="s">
        <v>3381</v>
      </c>
      <c r="BB73" s="14" t="s">
        <v>3914</v>
      </c>
      <c r="BC73" s="87" t="s">
        <v>3753</v>
      </c>
      <c r="BD73" s="87" t="s">
        <v>3728</v>
      </c>
      <c r="BE73" s="14"/>
      <c r="BF73" s="21"/>
      <c r="BG73" s="21"/>
      <c r="BH73" s="21" t="s">
        <v>3885</v>
      </c>
      <c r="BI73" s="21"/>
      <c r="BJ73" s="14"/>
      <c r="BK73" s="14" t="s">
        <v>3886</v>
      </c>
      <c r="BL73" s="14">
        <v>1</v>
      </c>
      <c r="BM73" s="110" t="s">
        <v>3887</v>
      </c>
      <c r="BN73" s="14" t="s">
        <v>3548</v>
      </c>
      <c r="BO73" s="87" t="s">
        <v>3651</v>
      </c>
      <c r="BP73" s="87" t="s">
        <v>3699</v>
      </c>
      <c r="BQ73" s="14"/>
      <c r="BR73" s="21"/>
      <c r="BS73" s="233"/>
      <c r="BT73" s="21" t="s">
        <v>3189</v>
      </c>
      <c r="BU73" s="21"/>
      <c r="BV73" s="14"/>
      <c r="BW73" s="112" t="s">
        <v>3583</v>
      </c>
      <c r="BX73" s="14">
        <v>2</v>
      </c>
      <c r="BY73" s="110" t="s">
        <v>3190</v>
      </c>
      <c r="BZ73" s="14" t="s">
        <v>3416</v>
      </c>
      <c r="CA73" s="87" t="s">
        <v>3736</v>
      </c>
      <c r="CB73" s="44" t="s">
        <v>3191</v>
      </c>
      <c r="CC73" s="233"/>
      <c r="CD73" s="233"/>
      <c r="CE73" s="233"/>
      <c r="CF73" s="21" t="s">
        <v>3885</v>
      </c>
      <c r="CG73" s="21"/>
      <c r="CH73" s="14"/>
      <c r="CI73" s="14" t="s">
        <v>3886</v>
      </c>
      <c r="CJ73" s="14">
        <v>1</v>
      </c>
      <c r="CK73" s="110" t="s">
        <v>3887</v>
      </c>
      <c r="CL73" s="14" t="s">
        <v>3548</v>
      </c>
      <c r="CM73" s="87" t="s">
        <v>3651</v>
      </c>
      <c r="CN73" s="87" t="s">
        <v>3699</v>
      </c>
      <c r="CO73" s="233"/>
      <c r="CP73" s="233"/>
      <c r="CQ73" s="233"/>
      <c r="CR73" s="21" t="s">
        <v>3365</v>
      </c>
      <c r="CS73" s="21"/>
      <c r="CT73" s="14"/>
      <c r="CU73" s="14" t="s">
        <v>3139</v>
      </c>
      <c r="CV73" s="14">
        <v>2</v>
      </c>
      <c r="CW73" s="110" t="s">
        <v>3526</v>
      </c>
      <c r="CX73" s="14" t="s">
        <v>3548</v>
      </c>
      <c r="CY73" s="87" t="s">
        <v>3651</v>
      </c>
      <c r="CZ73" s="87" t="s">
        <v>3183</v>
      </c>
      <c r="DA73" s="14"/>
      <c r="DB73" s="21"/>
      <c r="DC73" s="233"/>
      <c r="DD73" s="21" t="s">
        <v>3365</v>
      </c>
      <c r="DE73" s="21"/>
      <c r="DF73" s="14"/>
      <c r="DG73" s="14" t="s">
        <v>3139</v>
      </c>
      <c r="DH73" s="14">
        <v>2</v>
      </c>
      <c r="DI73" s="110" t="s">
        <v>3526</v>
      </c>
      <c r="DJ73" s="14" t="s">
        <v>3548</v>
      </c>
      <c r="DK73" s="87" t="s">
        <v>3651</v>
      </c>
      <c r="DL73" s="87" t="s">
        <v>3183</v>
      </c>
      <c r="DM73" s="14"/>
      <c r="DN73" s="21"/>
      <c r="DO73" s="233"/>
      <c r="DP73" s="21" t="s">
        <v>3421</v>
      </c>
      <c r="DQ73" s="21"/>
      <c r="DR73" s="14"/>
      <c r="DS73" s="14" t="s">
        <v>3187</v>
      </c>
      <c r="DT73" s="14">
        <v>1</v>
      </c>
      <c r="DU73" s="110" t="s">
        <v>3381</v>
      </c>
      <c r="DV73" s="14" t="s">
        <v>3898</v>
      </c>
      <c r="DW73" s="87" t="s">
        <v>3736</v>
      </c>
      <c r="DX73" s="87" t="s">
        <v>3422</v>
      </c>
      <c r="DY73" s="14"/>
      <c r="DZ73" s="233"/>
      <c r="EA73" s="233"/>
      <c r="EB73" s="21" t="s">
        <v>3184</v>
      </c>
      <c r="EC73" s="21"/>
      <c r="ED73" s="14"/>
      <c r="EE73" s="14" t="s">
        <v>3462</v>
      </c>
      <c r="EF73" s="14">
        <v>3</v>
      </c>
      <c r="EG73" s="110" t="s">
        <v>3682</v>
      </c>
      <c r="EH73" s="14" t="s">
        <v>3898</v>
      </c>
      <c r="EI73" s="87" t="s">
        <v>3321</v>
      </c>
      <c r="EJ73" s="87" t="s">
        <v>3185</v>
      </c>
      <c r="EK73" s="14"/>
      <c r="EL73" s="233"/>
      <c r="EM73" s="233"/>
      <c r="EN73" s="21" t="s">
        <v>3365</v>
      </c>
      <c r="EO73" s="21"/>
      <c r="EP73" s="14"/>
      <c r="EQ73" s="14" t="s">
        <v>3139</v>
      </c>
      <c r="ER73" s="14">
        <v>2</v>
      </c>
      <c r="ES73" s="110" t="s">
        <v>3526</v>
      </c>
      <c r="ET73" s="14" t="s">
        <v>3548</v>
      </c>
      <c r="EU73" s="87" t="s">
        <v>3651</v>
      </c>
      <c r="EV73" s="87" t="s">
        <v>3183</v>
      </c>
      <c r="EW73" s="14"/>
      <c r="EX73" s="21"/>
      <c r="EY73" s="233"/>
      <c r="EZ73" s="233"/>
      <c r="FA73" s="233"/>
      <c r="FB73" s="233"/>
      <c r="FC73" s="233"/>
      <c r="FD73" s="233"/>
    </row>
    <row r="74" spans="1:160">
      <c r="A74" s="20" t="s">
        <v>3713</v>
      </c>
      <c r="B74" s="14">
        <v>1</v>
      </c>
      <c r="C74" s="14" t="s">
        <v>3620</v>
      </c>
      <c r="D74" s="14">
        <v>1</v>
      </c>
      <c r="E74" s="110" t="s">
        <v>3569</v>
      </c>
      <c r="F74" s="14" t="s">
        <v>3898</v>
      </c>
      <c r="G74" s="44" t="s">
        <v>3550</v>
      </c>
      <c r="H74" s="44" t="s">
        <v>3532</v>
      </c>
      <c r="I74" s="44" t="s">
        <v>3916</v>
      </c>
      <c r="J74" s="28" t="s">
        <v>4555</v>
      </c>
      <c r="L74" s="21" t="s">
        <v>3885</v>
      </c>
      <c r="M74" s="14"/>
      <c r="N74" s="21"/>
      <c r="O74" s="14" t="s">
        <v>3886</v>
      </c>
      <c r="P74" s="14">
        <v>1</v>
      </c>
      <c r="Q74" s="14" t="s">
        <v>3887</v>
      </c>
      <c r="R74" s="14" t="s">
        <v>3548</v>
      </c>
      <c r="S74" s="44" t="s">
        <v>3651</v>
      </c>
      <c r="T74" s="107" t="s">
        <v>3699</v>
      </c>
      <c r="U74" s="14"/>
      <c r="V74" s="21"/>
      <c r="W74" s="21"/>
      <c r="X74" s="21" t="s">
        <v>3192</v>
      </c>
      <c r="Y74" s="21"/>
      <c r="Z74" s="14"/>
      <c r="AA74" s="14" t="s">
        <v>3139</v>
      </c>
      <c r="AB74" s="14">
        <v>1</v>
      </c>
      <c r="AC74" s="110" t="s">
        <v>3526</v>
      </c>
      <c r="AD74" s="14" t="s">
        <v>3193</v>
      </c>
      <c r="AE74" s="87" t="s">
        <v>3753</v>
      </c>
      <c r="AF74" s="87" t="s">
        <v>3728</v>
      </c>
      <c r="AG74" s="14"/>
      <c r="AH74" s="21"/>
      <c r="AI74" s="21"/>
      <c r="AJ74" s="21" t="s">
        <v>3372</v>
      </c>
      <c r="AK74" s="21"/>
      <c r="AL74" s="14"/>
      <c r="AM74" s="14" t="s">
        <v>3462</v>
      </c>
      <c r="AN74" s="14">
        <v>1</v>
      </c>
      <c r="AO74" s="110" t="s">
        <v>3682</v>
      </c>
      <c r="AP74" s="14" t="s">
        <v>4000</v>
      </c>
      <c r="AQ74" s="87" t="s">
        <v>3906</v>
      </c>
      <c r="AR74" s="87" t="s">
        <v>3915</v>
      </c>
      <c r="AS74" s="14"/>
      <c r="AT74" s="21"/>
      <c r="AU74" s="21"/>
      <c r="AV74" s="21" t="s">
        <v>3186</v>
      </c>
      <c r="AW74" s="21"/>
      <c r="AX74" s="14"/>
      <c r="AY74" s="14" t="s">
        <v>3187</v>
      </c>
      <c r="AZ74" s="14">
        <v>2</v>
      </c>
      <c r="BA74" s="110" t="s">
        <v>3381</v>
      </c>
      <c r="BB74" s="14" t="s">
        <v>3548</v>
      </c>
      <c r="BC74" s="87" t="s">
        <v>3651</v>
      </c>
      <c r="BD74" s="87" t="s">
        <v>3188</v>
      </c>
      <c r="BE74" s="14"/>
      <c r="BF74" s="21"/>
      <c r="BG74" s="21"/>
      <c r="BH74" s="21" t="s">
        <v>3375</v>
      </c>
      <c r="BI74" s="21"/>
      <c r="BJ74" s="14"/>
      <c r="BK74" s="14" t="s">
        <v>3929</v>
      </c>
      <c r="BL74" s="14">
        <v>2</v>
      </c>
      <c r="BM74" s="110" t="s">
        <v>3233</v>
      </c>
      <c r="BN74" s="14" t="s">
        <v>3376</v>
      </c>
      <c r="BO74" s="111" t="s">
        <v>3651</v>
      </c>
      <c r="BP74" s="111" t="s">
        <v>3377</v>
      </c>
      <c r="BQ74" s="14"/>
      <c r="BR74" s="21"/>
      <c r="BS74" s="233"/>
      <c r="BT74" s="21" t="s">
        <v>3365</v>
      </c>
      <c r="BU74" s="21"/>
      <c r="BV74" s="14"/>
      <c r="BW74" s="14" t="s">
        <v>3139</v>
      </c>
      <c r="BX74" s="14">
        <v>2</v>
      </c>
      <c r="BY74" s="110" t="s">
        <v>3526</v>
      </c>
      <c r="BZ74" s="14" t="s">
        <v>3548</v>
      </c>
      <c r="CA74" s="87" t="s">
        <v>3651</v>
      </c>
      <c r="CB74" s="87" t="s">
        <v>3183</v>
      </c>
      <c r="CC74" s="233"/>
      <c r="CD74" s="233"/>
      <c r="CE74" s="233"/>
      <c r="CF74" s="21" t="s">
        <v>3375</v>
      </c>
      <c r="CG74" s="21"/>
      <c r="CH74" s="14"/>
      <c r="CI74" s="14" t="s">
        <v>3929</v>
      </c>
      <c r="CJ74" s="14">
        <v>2</v>
      </c>
      <c r="CK74" s="110" t="s">
        <v>3233</v>
      </c>
      <c r="CL74" s="14" t="s">
        <v>3376</v>
      </c>
      <c r="CM74" s="111" t="s">
        <v>3651</v>
      </c>
      <c r="CN74" s="111" t="s">
        <v>3377</v>
      </c>
      <c r="CO74" s="233"/>
      <c r="CP74" s="233"/>
      <c r="CQ74" s="233"/>
      <c r="CR74" s="21" t="s">
        <v>3192</v>
      </c>
      <c r="CS74" s="21"/>
      <c r="CT74" s="14"/>
      <c r="CU74" s="14" t="s">
        <v>3139</v>
      </c>
      <c r="CV74" s="14">
        <v>1</v>
      </c>
      <c r="CW74" s="110" t="s">
        <v>3526</v>
      </c>
      <c r="CX74" s="14" t="s">
        <v>3193</v>
      </c>
      <c r="CY74" s="87" t="s">
        <v>3753</v>
      </c>
      <c r="CZ74" s="87" t="s">
        <v>3728</v>
      </c>
      <c r="DA74" s="14"/>
      <c r="DB74" s="21"/>
      <c r="DC74" s="233"/>
      <c r="DD74" s="21" t="s">
        <v>3192</v>
      </c>
      <c r="DE74" s="21"/>
      <c r="DF74" s="14"/>
      <c r="DG74" s="14" t="s">
        <v>3139</v>
      </c>
      <c r="DH74" s="14">
        <v>1</v>
      </c>
      <c r="DI74" s="110" t="s">
        <v>3526</v>
      </c>
      <c r="DJ74" s="14" t="s">
        <v>3193</v>
      </c>
      <c r="DK74" s="87" t="s">
        <v>3753</v>
      </c>
      <c r="DL74" s="87" t="s">
        <v>3728</v>
      </c>
      <c r="DM74" s="14"/>
      <c r="DN74" s="21"/>
      <c r="DO74" s="233"/>
      <c r="DP74" s="21" t="s">
        <v>3287</v>
      </c>
      <c r="DQ74" s="21"/>
      <c r="DR74" s="14"/>
      <c r="DS74" s="14" t="s">
        <v>3210</v>
      </c>
      <c r="DT74" s="14">
        <v>3</v>
      </c>
      <c r="DU74" s="14" t="s">
        <v>3323</v>
      </c>
      <c r="DV74" s="14" t="s">
        <v>3898</v>
      </c>
      <c r="DW74" s="87" t="s">
        <v>3736</v>
      </c>
      <c r="DX74" s="87" t="s">
        <v>4212</v>
      </c>
      <c r="DY74" s="14"/>
      <c r="DZ74" s="233"/>
      <c r="EA74" s="233"/>
      <c r="EB74" s="21" t="s">
        <v>3372</v>
      </c>
      <c r="EC74" s="21"/>
      <c r="ED74" s="14"/>
      <c r="EE74" s="14" t="s">
        <v>3462</v>
      </c>
      <c r="EF74" s="14">
        <v>1</v>
      </c>
      <c r="EG74" s="110" t="s">
        <v>3682</v>
      </c>
      <c r="EH74" s="14" t="s">
        <v>4000</v>
      </c>
      <c r="EI74" s="87" t="s">
        <v>3906</v>
      </c>
      <c r="EJ74" s="87" t="s">
        <v>3915</v>
      </c>
      <c r="EK74" s="14"/>
      <c r="EL74" s="233"/>
      <c r="EM74" s="233"/>
      <c r="EN74" s="21" t="s">
        <v>3192</v>
      </c>
      <c r="EO74" s="21"/>
      <c r="EP74" s="14"/>
      <c r="EQ74" s="14" t="s">
        <v>3139</v>
      </c>
      <c r="ER74" s="14">
        <v>1</v>
      </c>
      <c r="ES74" s="110" t="s">
        <v>3526</v>
      </c>
      <c r="ET74" s="14" t="s">
        <v>3193</v>
      </c>
      <c r="EU74" s="87" t="s">
        <v>3753</v>
      </c>
      <c r="EV74" s="87" t="s">
        <v>3728</v>
      </c>
      <c r="EW74" s="14"/>
      <c r="EX74" s="21"/>
      <c r="EY74" s="233"/>
      <c r="EZ74" s="233"/>
      <c r="FA74" s="233"/>
      <c r="FB74" s="233"/>
      <c r="FC74" s="233"/>
      <c r="FD74" s="233"/>
    </row>
    <row r="75" spans="1:160">
      <c r="A75" s="20" t="s">
        <v>382</v>
      </c>
      <c r="B75" s="14">
        <v>1</v>
      </c>
      <c r="C75" s="14" t="s">
        <v>5875</v>
      </c>
      <c r="D75" s="14" t="s">
        <v>5036</v>
      </c>
      <c r="E75" s="110" t="s">
        <v>4039</v>
      </c>
      <c r="F75" s="14" t="s">
        <v>3898</v>
      </c>
      <c r="G75" s="44" t="s">
        <v>3714</v>
      </c>
      <c r="H75" s="44" t="s">
        <v>383</v>
      </c>
      <c r="I75" s="44">
        <v>6</v>
      </c>
      <c r="J75" s="28" t="s">
        <v>5232</v>
      </c>
      <c r="L75" s="21" t="s">
        <v>3023</v>
      </c>
      <c r="M75" s="14"/>
      <c r="N75" s="21"/>
      <c r="O75" s="14" t="s">
        <v>3689</v>
      </c>
      <c r="P75" s="14">
        <v>2</v>
      </c>
      <c r="Q75" s="110" t="s">
        <v>3526</v>
      </c>
      <c r="R75" s="14" t="s">
        <v>3898</v>
      </c>
      <c r="S75" s="44" t="s">
        <v>3651</v>
      </c>
      <c r="T75" s="44" t="s">
        <v>3024</v>
      </c>
      <c r="U75" s="14"/>
      <c r="V75" s="21"/>
      <c r="W75" s="21"/>
      <c r="X75" s="21" t="s">
        <v>3025</v>
      </c>
      <c r="Y75" s="21"/>
      <c r="Z75" s="14"/>
      <c r="AA75" s="14" t="s">
        <v>3139</v>
      </c>
      <c r="AB75" s="14">
        <v>2</v>
      </c>
      <c r="AC75" s="110" t="s">
        <v>3026</v>
      </c>
      <c r="AD75" s="14" t="s">
        <v>3914</v>
      </c>
      <c r="AE75" s="87" t="s">
        <v>3550</v>
      </c>
      <c r="AF75" s="87" t="s">
        <v>3915</v>
      </c>
      <c r="AG75" s="14"/>
      <c r="AH75" s="21"/>
      <c r="AI75" s="21"/>
      <c r="AJ75" s="21" t="s">
        <v>3023</v>
      </c>
      <c r="AK75" s="21"/>
      <c r="AL75" s="14"/>
      <c r="AM75" s="14" t="s">
        <v>3689</v>
      </c>
      <c r="AN75" s="14">
        <v>2</v>
      </c>
      <c r="AO75" s="110" t="s">
        <v>3526</v>
      </c>
      <c r="AP75" s="14" t="s">
        <v>3898</v>
      </c>
      <c r="AQ75" s="87" t="s">
        <v>3651</v>
      </c>
      <c r="AR75" s="87" t="s">
        <v>3024</v>
      </c>
      <c r="AS75" s="14"/>
      <c r="AT75" s="21"/>
      <c r="AU75" s="21"/>
      <c r="AV75" s="21" t="s">
        <v>3373</v>
      </c>
      <c r="AW75" s="21"/>
      <c r="AX75" s="14"/>
      <c r="AY75" s="14" t="s">
        <v>3187</v>
      </c>
      <c r="AZ75" s="14">
        <v>1</v>
      </c>
      <c r="BA75" s="110" t="s">
        <v>3526</v>
      </c>
      <c r="BB75" s="14" t="s">
        <v>3947</v>
      </c>
      <c r="BC75" s="87" t="s">
        <v>3550</v>
      </c>
      <c r="BD75" s="87" t="s">
        <v>3374</v>
      </c>
      <c r="BE75" s="14"/>
      <c r="BF75" s="21"/>
      <c r="BG75" s="21"/>
      <c r="BH75" s="21" t="s">
        <v>3029</v>
      </c>
      <c r="BI75" s="21"/>
      <c r="BJ75" s="14"/>
      <c r="BK75" s="14" t="s">
        <v>3210</v>
      </c>
      <c r="BL75" s="14">
        <v>2</v>
      </c>
      <c r="BM75" s="110" t="s">
        <v>3323</v>
      </c>
      <c r="BN75" s="14" t="s">
        <v>3200</v>
      </c>
      <c r="BO75" s="87" t="s">
        <v>3753</v>
      </c>
      <c r="BP75" s="87" t="s">
        <v>3030</v>
      </c>
      <c r="BQ75" s="14"/>
      <c r="BR75" s="21"/>
      <c r="BS75" s="233"/>
      <c r="BT75" s="21" t="s">
        <v>3031</v>
      </c>
      <c r="BU75" s="14"/>
      <c r="BV75" s="21"/>
      <c r="BW75" s="14" t="s">
        <v>3032</v>
      </c>
      <c r="BX75" s="14">
        <v>3</v>
      </c>
      <c r="BY75" s="110" t="s">
        <v>3650</v>
      </c>
      <c r="BZ75" s="14" t="s">
        <v>3947</v>
      </c>
      <c r="CA75" s="87" t="s">
        <v>3730</v>
      </c>
      <c r="CB75" s="44" t="s">
        <v>3728</v>
      </c>
      <c r="CC75" s="233"/>
      <c r="CD75" s="233"/>
      <c r="CE75" s="233"/>
      <c r="CF75" s="21" t="s">
        <v>3029</v>
      </c>
      <c r="CG75" s="21"/>
      <c r="CH75" s="14"/>
      <c r="CI75" s="14" t="s">
        <v>3210</v>
      </c>
      <c r="CJ75" s="14">
        <v>2</v>
      </c>
      <c r="CK75" s="110" t="s">
        <v>3323</v>
      </c>
      <c r="CL75" s="14" t="s">
        <v>3200</v>
      </c>
      <c r="CM75" s="87" t="s">
        <v>3753</v>
      </c>
      <c r="CN75" s="87" t="s">
        <v>3030</v>
      </c>
      <c r="CO75" s="233"/>
      <c r="CP75" s="233"/>
      <c r="CQ75" s="233"/>
      <c r="CR75" s="21" t="s">
        <v>3025</v>
      </c>
      <c r="CS75" s="21"/>
      <c r="CT75" s="14"/>
      <c r="CU75" s="14" t="s">
        <v>3139</v>
      </c>
      <c r="CV75" s="14">
        <v>2</v>
      </c>
      <c r="CW75" s="110" t="s">
        <v>3026</v>
      </c>
      <c r="CX75" s="14" t="s">
        <v>3914</v>
      </c>
      <c r="CY75" s="87" t="s">
        <v>3550</v>
      </c>
      <c r="CZ75" s="87" t="s">
        <v>3915</v>
      </c>
      <c r="DA75" s="14"/>
      <c r="DB75" s="21"/>
      <c r="DC75" s="233"/>
      <c r="DD75" s="21" t="s">
        <v>3025</v>
      </c>
      <c r="DE75" s="21"/>
      <c r="DF75" s="14"/>
      <c r="DG75" s="14" t="s">
        <v>3139</v>
      </c>
      <c r="DH75" s="14">
        <v>2</v>
      </c>
      <c r="DI75" s="110" t="s">
        <v>3026</v>
      </c>
      <c r="DJ75" s="14" t="s">
        <v>3914</v>
      </c>
      <c r="DK75" s="87" t="s">
        <v>3550</v>
      </c>
      <c r="DL75" s="87" t="s">
        <v>3915</v>
      </c>
      <c r="DM75" s="14"/>
      <c r="DN75" s="21"/>
      <c r="DO75" s="233"/>
      <c r="DP75" s="21" t="s">
        <v>2943</v>
      </c>
      <c r="DQ75" s="21"/>
      <c r="DR75" s="14"/>
      <c r="DS75" s="14" t="s">
        <v>2944</v>
      </c>
      <c r="DT75" s="14" t="s">
        <v>5036</v>
      </c>
      <c r="DU75" s="110" t="s">
        <v>3841</v>
      </c>
      <c r="DV75" s="14" t="s">
        <v>3716</v>
      </c>
      <c r="DW75" s="87" t="s">
        <v>3843</v>
      </c>
      <c r="DX75" s="87" t="s">
        <v>3488</v>
      </c>
      <c r="DY75" s="14"/>
      <c r="DZ75" s="233"/>
      <c r="EA75" s="233"/>
      <c r="EB75" s="21" t="s">
        <v>3023</v>
      </c>
      <c r="EC75" s="21"/>
      <c r="ED75" s="14"/>
      <c r="EE75" s="14" t="s">
        <v>3689</v>
      </c>
      <c r="EF75" s="14">
        <v>2</v>
      </c>
      <c r="EG75" s="110" t="s">
        <v>3526</v>
      </c>
      <c r="EH75" s="14" t="s">
        <v>3898</v>
      </c>
      <c r="EI75" s="87" t="s">
        <v>3651</v>
      </c>
      <c r="EJ75" s="87" t="s">
        <v>3024</v>
      </c>
      <c r="EK75" s="14"/>
      <c r="EL75" s="233"/>
      <c r="EM75" s="233"/>
      <c r="EN75" s="21" t="s">
        <v>3025</v>
      </c>
      <c r="EO75" s="21"/>
      <c r="EP75" s="14"/>
      <c r="EQ75" s="14" t="s">
        <v>3139</v>
      </c>
      <c r="ER75" s="14">
        <v>2</v>
      </c>
      <c r="ES75" s="110" t="s">
        <v>3026</v>
      </c>
      <c r="ET75" s="14" t="s">
        <v>3914</v>
      </c>
      <c r="EU75" s="87" t="s">
        <v>3550</v>
      </c>
      <c r="EV75" s="87" t="s">
        <v>3915</v>
      </c>
      <c r="EW75" s="14"/>
      <c r="EX75" s="21"/>
      <c r="EY75" s="233"/>
      <c r="EZ75" s="233"/>
      <c r="FA75" s="233"/>
      <c r="FB75" s="233"/>
      <c r="FC75" s="233"/>
      <c r="FD75" s="233"/>
    </row>
    <row r="76" spans="1:160">
      <c r="A76" s="20" t="s">
        <v>3380</v>
      </c>
      <c r="B76" s="14">
        <v>2</v>
      </c>
      <c r="C76" s="14" t="s">
        <v>3902</v>
      </c>
      <c r="D76" s="14">
        <v>1</v>
      </c>
      <c r="E76" s="110" t="s">
        <v>3381</v>
      </c>
      <c r="F76" s="14" t="s">
        <v>3898</v>
      </c>
      <c r="G76" s="44" t="s">
        <v>3382</v>
      </c>
      <c r="H76" s="44" t="s">
        <v>3508</v>
      </c>
      <c r="I76" s="44">
        <v>5</v>
      </c>
      <c r="J76" s="28" t="s">
        <v>5232</v>
      </c>
      <c r="L76" s="21" t="s">
        <v>3029</v>
      </c>
      <c r="M76" s="14"/>
      <c r="N76" s="21"/>
      <c r="O76" s="14" t="s">
        <v>3210</v>
      </c>
      <c r="P76" s="14">
        <v>2</v>
      </c>
      <c r="Q76" s="110" t="s">
        <v>3323</v>
      </c>
      <c r="R76" s="14" t="s">
        <v>3200</v>
      </c>
      <c r="S76" s="44" t="s">
        <v>3753</v>
      </c>
      <c r="T76" s="107" t="s">
        <v>3030</v>
      </c>
      <c r="U76" s="14"/>
      <c r="V76" s="21"/>
      <c r="W76" s="21"/>
      <c r="X76" s="21" t="s">
        <v>3033</v>
      </c>
      <c r="Y76" s="21"/>
      <c r="Z76" s="14"/>
      <c r="AA76" s="14" t="s">
        <v>3685</v>
      </c>
      <c r="AB76" s="14">
        <v>1</v>
      </c>
      <c r="AC76" s="110" t="s">
        <v>3530</v>
      </c>
      <c r="AD76" s="14" t="s">
        <v>3947</v>
      </c>
      <c r="AE76" s="87" t="s">
        <v>3034</v>
      </c>
      <c r="AF76" s="87" t="s">
        <v>3488</v>
      </c>
      <c r="AG76" s="14"/>
      <c r="AH76" s="21"/>
      <c r="AI76" s="21"/>
      <c r="AJ76" s="21" t="s">
        <v>3035</v>
      </c>
      <c r="AK76" s="21"/>
      <c r="AL76" s="14"/>
      <c r="AM76" s="14" t="s">
        <v>3462</v>
      </c>
      <c r="AN76" s="14">
        <v>3</v>
      </c>
      <c r="AO76" s="110" t="s">
        <v>3381</v>
      </c>
      <c r="AP76" s="14" t="s">
        <v>3716</v>
      </c>
      <c r="AQ76" s="87" t="s">
        <v>3467</v>
      </c>
      <c r="AR76" s="87" t="s">
        <v>3915</v>
      </c>
      <c r="AS76" s="14"/>
      <c r="AT76" s="21"/>
      <c r="AU76" s="21"/>
      <c r="AV76" s="21" t="s">
        <v>3027</v>
      </c>
      <c r="AW76" s="21"/>
      <c r="AX76" s="14"/>
      <c r="AY76" s="14" t="s">
        <v>3115</v>
      </c>
      <c r="AZ76" s="14">
        <v>2</v>
      </c>
      <c r="BA76" s="110" t="s">
        <v>3812</v>
      </c>
      <c r="BB76" s="14" t="s">
        <v>3854</v>
      </c>
      <c r="BC76" s="87" t="s">
        <v>3028</v>
      </c>
      <c r="BD76" s="87" t="s">
        <v>3728</v>
      </c>
      <c r="BE76" s="14"/>
      <c r="BF76" s="21"/>
      <c r="BG76" s="21"/>
      <c r="BH76" s="21" t="s">
        <v>3038</v>
      </c>
      <c r="BI76" s="21"/>
      <c r="BJ76" s="14"/>
      <c r="BK76" s="14" t="s">
        <v>3886</v>
      </c>
      <c r="BL76" s="14">
        <v>0</v>
      </c>
      <c r="BM76" s="110" t="s">
        <v>3039</v>
      </c>
      <c r="BN76" s="14" t="s">
        <v>3914</v>
      </c>
      <c r="BO76" s="87" t="s">
        <v>3753</v>
      </c>
      <c r="BP76" s="87" t="s">
        <v>3214</v>
      </c>
      <c r="BQ76" s="14"/>
      <c r="BR76" s="21"/>
      <c r="BS76" s="233"/>
      <c r="BT76" s="21" t="s">
        <v>3215</v>
      </c>
      <c r="BU76" s="21"/>
      <c r="BV76" s="14"/>
      <c r="BW76" s="112" t="s">
        <v>3840</v>
      </c>
      <c r="BX76" s="14">
        <v>2</v>
      </c>
      <c r="BY76" s="110" t="s">
        <v>3934</v>
      </c>
      <c r="BZ76" s="14" t="s">
        <v>3898</v>
      </c>
      <c r="CA76" s="87" t="s">
        <v>3843</v>
      </c>
      <c r="CB76" s="44" t="s">
        <v>3216</v>
      </c>
      <c r="CC76" s="233"/>
      <c r="CD76" s="233"/>
      <c r="CE76" s="233"/>
      <c r="CF76" s="21" t="s">
        <v>3038</v>
      </c>
      <c r="CG76" s="21"/>
      <c r="CH76" s="14"/>
      <c r="CI76" s="14" t="s">
        <v>3886</v>
      </c>
      <c r="CJ76" s="14">
        <v>0</v>
      </c>
      <c r="CK76" s="110" t="s">
        <v>3039</v>
      </c>
      <c r="CL76" s="14" t="s">
        <v>3914</v>
      </c>
      <c r="CM76" s="87" t="s">
        <v>3753</v>
      </c>
      <c r="CN76" s="87" t="s">
        <v>3214</v>
      </c>
      <c r="CO76" s="233"/>
      <c r="CP76" s="233"/>
      <c r="CQ76" s="233"/>
      <c r="CR76" s="21" t="s">
        <v>3033</v>
      </c>
      <c r="CS76" s="21"/>
      <c r="CT76" s="14"/>
      <c r="CU76" s="14" t="s">
        <v>3685</v>
      </c>
      <c r="CV76" s="14">
        <v>1</v>
      </c>
      <c r="CW76" s="110" t="s">
        <v>3530</v>
      </c>
      <c r="CX76" s="14" t="s">
        <v>3947</v>
      </c>
      <c r="CY76" s="87" t="s">
        <v>3034</v>
      </c>
      <c r="CZ76" s="87" t="s">
        <v>3488</v>
      </c>
      <c r="DA76" s="14"/>
      <c r="DB76" s="21"/>
      <c r="DC76" s="233"/>
      <c r="DD76" s="21" t="s">
        <v>3033</v>
      </c>
      <c r="DE76" s="21"/>
      <c r="DF76" s="14"/>
      <c r="DG76" s="14" t="s">
        <v>3685</v>
      </c>
      <c r="DH76" s="14">
        <v>1</v>
      </c>
      <c r="DI76" s="110" t="s">
        <v>3530</v>
      </c>
      <c r="DJ76" s="14" t="s">
        <v>3947</v>
      </c>
      <c r="DK76" s="87" t="s">
        <v>3034</v>
      </c>
      <c r="DL76" s="87" t="s">
        <v>3488</v>
      </c>
      <c r="DM76" s="14"/>
      <c r="DN76" s="21"/>
      <c r="DO76" s="233"/>
      <c r="DP76" s="21"/>
      <c r="DQ76" s="21"/>
      <c r="DR76" s="14"/>
      <c r="DS76" s="14"/>
      <c r="DT76" s="14"/>
      <c r="DU76" s="110"/>
      <c r="DV76" s="14"/>
      <c r="DW76" s="87"/>
      <c r="DX76" s="87"/>
      <c r="DY76" s="14"/>
      <c r="DZ76" s="233"/>
      <c r="EA76" s="233"/>
      <c r="EB76" s="21" t="s">
        <v>3035</v>
      </c>
      <c r="EC76" s="21"/>
      <c r="ED76" s="14"/>
      <c r="EE76" s="14" t="s">
        <v>3462</v>
      </c>
      <c r="EF76" s="14">
        <v>3</v>
      </c>
      <c r="EG76" s="110" t="s">
        <v>3381</v>
      </c>
      <c r="EH76" s="14" t="s">
        <v>3716</v>
      </c>
      <c r="EI76" s="87" t="s">
        <v>3467</v>
      </c>
      <c r="EJ76" s="87" t="s">
        <v>3915</v>
      </c>
      <c r="EK76" s="14"/>
      <c r="EL76" s="233"/>
      <c r="EM76" s="233"/>
      <c r="EN76" s="21" t="s">
        <v>3033</v>
      </c>
      <c r="EO76" s="21"/>
      <c r="EP76" s="14"/>
      <c r="EQ76" s="14" t="s">
        <v>3685</v>
      </c>
      <c r="ER76" s="14">
        <v>1</v>
      </c>
      <c r="ES76" s="110" t="s">
        <v>3530</v>
      </c>
      <c r="ET76" s="14" t="s">
        <v>3947</v>
      </c>
      <c r="EU76" s="87" t="s">
        <v>3034</v>
      </c>
      <c r="EV76" s="87" t="s">
        <v>3488</v>
      </c>
      <c r="EW76" s="14"/>
      <c r="EX76" s="21"/>
      <c r="EY76" s="233"/>
      <c r="EZ76" s="233"/>
      <c r="FA76" s="233"/>
      <c r="FB76" s="233"/>
      <c r="FC76" s="233"/>
      <c r="FD76" s="233"/>
    </row>
    <row r="77" spans="1:160">
      <c r="A77" s="20" t="s">
        <v>3390</v>
      </c>
      <c r="B77" s="14">
        <v>2</v>
      </c>
      <c r="C77" s="14" t="s">
        <v>3546</v>
      </c>
      <c r="D77" s="14">
        <v>1</v>
      </c>
      <c r="E77" s="110" t="s">
        <v>3391</v>
      </c>
      <c r="F77" s="14" t="s">
        <v>3947</v>
      </c>
      <c r="G77" s="44" t="s">
        <v>3392</v>
      </c>
      <c r="H77" s="107" t="s">
        <v>3393</v>
      </c>
      <c r="I77" s="44" t="s">
        <v>3916</v>
      </c>
      <c r="J77" s="28" t="s">
        <v>4555</v>
      </c>
      <c r="L77" s="21" t="s">
        <v>3036</v>
      </c>
      <c r="M77" s="14"/>
      <c r="N77" s="21"/>
      <c r="O77" s="14" t="s">
        <v>3412</v>
      </c>
      <c r="P77" s="14">
        <v>2</v>
      </c>
      <c r="Q77" s="110" t="s">
        <v>3381</v>
      </c>
      <c r="R77" s="14" t="s">
        <v>3914</v>
      </c>
      <c r="S77" s="44" t="s">
        <v>3809</v>
      </c>
      <c r="T77" s="44" t="s">
        <v>3037</v>
      </c>
      <c r="U77" s="14"/>
      <c r="V77" s="21"/>
      <c r="W77" s="21"/>
      <c r="X77" s="21" t="s">
        <v>3217</v>
      </c>
      <c r="Y77" s="21"/>
      <c r="Z77" s="14"/>
      <c r="AA77" s="14" t="s">
        <v>3685</v>
      </c>
      <c r="AB77" s="14" t="s">
        <v>5036</v>
      </c>
      <c r="AC77" s="14" t="s">
        <v>3745</v>
      </c>
      <c r="AD77" s="14" t="s">
        <v>3898</v>
      </c>
      <c r="AE77" s="87" t="s">
        <v>3378</v>
      </c>
      <c r="AF77" s="87" t="s">
        <v>3488</v>
      </c>
      <c r="AG77" s="14"/>
      <c r="AH77" s="21"/>
      <c r="AI77" s="21"/>
      <c r="AJ77" s="21" t="s">
        <v>3218</v>
      </c>
      <c r="AK77" s="21"/>
      <c r="AL77" s="14"/>
      <c r="AM77" s="14" t="s">
        <v>3689</v>
      </c>
      <c r="AN77" s="14">
        <v>1</v>
      </c>
      <c r="AO77" s="14" t="s">
        <v>3887</v>
      </c>
      <c r="AP77" s="14" t="s">
        <v>3898</v>
      </c>
      <c r="AQ77" s="87" t="s">
        <v>3400</v>
      </c>
      <c r="AR77" s="87" t="s">
        <v>3222</v>
      </c>
      <c r="AS77" s="14"/>
      <c r="AT77" s="21"/>
      <c r="AU77" s="21"/>
      <c r="AV77" s="21" t="s">
        <v>3036</v>
      </c>
      <c r="AW77" s="21"/>
      <c r="AX77" s="14"/>
      <c r="AY77" s="14" t="s">
        <v>3412</v>
      </c>
      <c r="AZ77" s="14">
        <v>2</v>
      </c>
      <c r="BA77" s="110" t="s">
        <v>3381</v>
      </c>
      <c r="BB77" s="14" t="s">
        <v>3914</v>
      </c>
      <c r="BC77" s="87" t="s">
        <v>3809</v>
      </c>
      <c r="BD77" s="87" t="s">
        <v>3037</v>
      </c>
      <c r="BE77" s="14"/>
      <c r="BF77" s="21"/>
      <c r="BG77" s="21"/>
      <c r="BH77" s="21" t="s">
        <v>3223</v>
      </c>
      <c r="BI77" s="21"/>
      <c r="BJ77" s="14"/>
      <c r="BK77" s="14" t="s">
        <v>3886</v>
      </c>
      <c r="BL77" s="14">
        <v>1</v>
      </c>
      <c r="BM77" s="110" t="s">
        <v>3858</v>
      </c>
      <c r="BN77" s="14" t="s">
        <v>3548</v>
      </c>
      <c r="BO77" s="87" t="s">
        <v>3901</v>
      </c>
      <c r="BP77" s="87" t="s">
        <v>3224</v>
      </c>
      <c r="BQ77" s="14"/>
      <c r="BR77" s="21"/>
      <c r="BS77" s="233"/>
      <c r="BT77" s="21" t="s">
        <v>3225</v>
      </c>
      <c r="BU77" s="21"/>
      <c r="BV77" s="14"/>
      <c r="BW77" s="14" t="s">
        <v>3226</v>
      </c>
      <c r="BX77" s="14">
        <v>1</v>
      </c>
      <c r="BY77" s="110" t="s">
        <v>3701</v>
      </c>
      <c r="BZ77" s="14" t="s">
        <v>3200</v>
      </c>
      <c r="CA77" s="87" t="s">
        <v>3736</v>
      </c>
      <c r="CB77" s="87" t="s">
        <v>3687</v>
      </c>
      <c r="CC77" s="233"/>
      <c r="CD77" s="233"/>
      <c r="CE77" s="233"/>
      <c r="CF77" s="21" t="s">
        <v>3223</v>
      </c>
      <c r="CG77" s="21"/>
      <c r="CH77" s="14"/>
      <c r="CI77" s="14" t="s">
        <v>3886</v>
      </c>
      <c r="CJ77" s="14">
        <v>1</v>
      </c>
      <c r="CK77" s="110" t="s">
        <v>3858</v>
      </c>
      <c r="CL77" s="14" t="s">
        <v>3548</v>
      </c>
      <c r="CM77" s="87" t="s">
        <v>3901</v>
      </c>
      <c r="CN77" s="87" t="s">
        <v>3224</v>
      </c>
      <c r="CO77" s="233"/>
      <c r="CP77" s="233"/>
      <c r="CQ77" s="233"/>
      <c r="CR77" s="21" t="s">
        <v>3217</v>
      </c>
      <c r="CS77" s="21"/>
      <c r="CT77" s="14"/>
      <c r="CU77" s="14" t="s">
        <v>3685</v>
      </c>
      <c r="CV77" s="14" t="s">
        <v>5036</v>
      </c>
      <c r="CW77" s="14" t="s">
        <v>3745</v>
      </c>
      <c r="CX77" s="14" t="s">
        <v>3898</v>
      </c>
      <c r="CY77" s="87" t="s">
        <v>3378</v>
      </c>
      <c r="CZ77" s="87" t="s">
        <v>3488</v>
      </c>
      <c r="DA77" s="14"/>
      <c r="DB77" s="21"/>
      <c r="DC77" s="233"/>
      <c r="DD77" s="21" t="s">
        <v>3217</v>
      </c>
      <c r="DE77" s="21"/>
      <c r="DF77" s="14"/>
      <c r="DG77" s="14" t="s">
        <v>3685</v>
      </c>
      <c r="DH77" s="14" t="s">
        <v>5036</v>
      </c>
      <c r="DI77" s="14" t="s">
        <v>3745</v>
      </c>
      <c r="DJ77" s="14" t="s">
        <v>3898</v>
      </c>
      <c r="DK77" s="87" t="s">
        <v>3378</v>
      </c>
      <c r="DL77" s="87" t="s">
        <v>3488</v>
      </c>
      <c r="DM77" s="14"/>
      <c r="DN77" s="21"/>
      <c r="DO77" s="233"/>
      <c r="DP77" s="21"/>
      <c r="DQ77" s="21"/>
      <c r="DR77" s="14"/>
      <c r="DS77" s="14"/>
      <c r="DT77" s="14"/>
      <c r="DU77" s="14"/>
      <c r="DV77" s="14"/>
      <c r="DW77" s="87"/>
      <c r="DX77" s="87"/>
      <c r="DY77" s="14"/>
      <c r="DZ77" s="233"/>
      <c r="EA77" s="233"/>
      <c r="EB77" s="21" t="s">
        <v>3218</v>
      </c>
      <c r="EC77" s="21"/>
      <c r="ED77" s="14"/>
      <c r="EE77" s="14" t="s">
        <v>3689</v>
      </c>
      <c r="EF77" s="14">
        <v>1</v>
      </c>
      <c r="EG77" s="14" t="s">
        <v>3887</v>
      </c>
      <c r="EH77" s="14" t="s">
        <v>3898</v>
      </c>
      <c r="EI77" s="87" t="s">
        <v>3400</v>
      </c>
      <c r="EJ77" s="87" t="s">
        <v>3222</v>
      </c>
      <c r="EK77" s="14"/>
      <c r="EL77" s="233"/>
      <c r="EM77" s="233"/>
      <c r="EN77" s="21" t="s">
        <v>3217</v>
      </c>
      <c r="EO77" s="21"/>
      <c r="EP77" s="14"/>
      <c r="EQ77" s="14" t="s">
        <v>3685</v>
      </c>
      <c r="ER77" s="14" t="s">
        <v>5036</v>
      </c>
      <c r="ES77" s="14" t="s">
        <v>3745</v>
      </c>
      <c r="ET77" s="14" t="s">
        <v>3898</v>
      </c>
      <c r="EU77" s="87" t="s">
        <v>3378</v>
      </c>
      <c r="EV77" s="87" t="s">
        <v>3488</v>
      </c>
      <c r="EW77" s="14"/>
      <c r="EX77" s="21"/>
      <c r="EY77" s="233"/>
      <c r="EZ77" s="233"/>
      <c r="FA77" s="233"/>
      <c r="FB77" s="233"/>
      <c r="FC77" s="233"/>
      <c r="FD77" s="233"/>
    </row>
    <row r="78" spans="1:160">
      <c r="A78" s="20" t="s">
        <v>3509</v>
      </c>
      <c r="B78" s="14">
        <v>2</v>
      </c>
      <c r="C78" s="14" t="s">
        <v>3912</v>
      </c>
      <c r="D78" s="14">
        <v>1</v>
      </c>
      <c r="E78" s="110" t="s">
        <v>3749</v>
      </c>
      <c r="F78" s="14" t="s">
        <v>3561</v>
      </c>
      <c r="G78" s="44" t="s">
        <v>3736</v>
      </c>
      <c r="H78" s="44" t="s">
        <v>3915</v>
      </c>
      <c r="I78" s="44" t="s">
        <v>3900</v>
      </c>
      <c r="J78" s="28" t="s">
        <v>5232</v>
      </c>
      <c r="L78" s="21" t="s">
        <v>3365</v>
      </c>
      <c r="M78" s="14"/>
      <c r="N78" s="21"/>
      <c r="O78" s="14" t="s">
        <v>3139</v>
      </c>
      <c r="P78" s="14">
        <v>2</v>
      </c>
      <c r="Q78" s="110" t="s">
        <v>3526</v>
      </c>
      <c r="R78" s="14" t="s">
        <v>3548</v>
      </c>
      <c r="S78" s="44" t="s">
        <v>3651</v>
      </c>
      <c r="T78" s="44" t="s">
        <v>3183</v>
      </c>
      <c r="U78" s="14"/>
      <c r="V78" s="21"/>
      <c r="W78" s="21"/>
      <c r="X78" s="21" t="s">
        <v>3227</v>
      </c>
      <c r="Y78" s="21"/>
      <c r="Z78" s="14"/>
      <c r="AA78" s="14" t="s">
        <v>3226</v>
      </c>
      <c r="AB78" s="14">
        <v>3</v>
      </c>
      <c r="AC78" s="110" t="s">
        <v>3701</v>
      </c>
      <c r="AD78" s="14" t="s">
        <v>3548</v>
      </c>
      <c r="AE78" s="87" t="s">
        <v>3759</v>
      </c>
      <c r="AF78" s="87" t="s">
        <v>4212</v>
      </c>
      <c r="AG78" s="14"/>
      <c r="AH78" s="21"/>
      <c r="AI78" s="21"/>
      <c r="AJ78" s="21" t="s">
        <v>3228</v>
      </c>
      <c r="AK78" s="21"/>
      <c r="AL78" s="14"/>
      <c r="AM78" s="14" t="s">
        <v>3689</v>
      </c>
      <c r="AN78" s="14">
        <v>3</v>
      </c>
      <c r="AO78" s="110" t="s">
        <v>3701</v>
      </c>
      <c r="AP78" s="14" t="s">
        <v>3898</v>
      </c>
      <c r="AQ78" s="87" t="s">
        <v>3420</v>
      </c>
      <c r="AR78" s="87" t="s">
        <v>3052</v>
      </c>
      <c r="AS78" s="14"/>
      <c r="AT78" s="21"/>
      <c r="AU78" s="21"/>
      <c r="AV78" s="21" t="s">
        <v>3031</v>
      </c>
      <c r="AW78" s="21"/>
      <c r="AX78" s="14"/>
      <c r="AY78" s="14" t="s">
        <v>3032</v>
      </c>
      <c r="AZ78" s="14">
        <v>3</v>
      </c>
      <c r="BA78" s="110" t="s">
        <v>3650</v>
      </c>
      <c r="BB78" s="14" t="s">
        <v>3947</v>
      </c>
      <c r="BC78" s="87" t="s">
        <v>3730</v>
      </c>
      <c r="BD78" s="87" t="s">
        <v>3728</v>
      </c>
      <c r="BE78" s="14"/>
      <c r="BF78" s="21"/>
      <c r="BG78" s="21"/>
      <c r="BH78" s="21" t="s">
        <v>3235</v>
      </c>
      <c r="BI78" s="21"/>
      <c r="BJ78" s="14"/>
      <c r="BK78" s="14" t="s">
        <v>3886</v>
      </c>
      <c r="BL78" s="14">
        <v>1</v>
      </c>
      <c r="BM78" s="14" t="s">
        <v>3526</v>
      </c>
      <c r="BN78" s="14" t="s">
        <v>3200</v>
      </c>
      <c r="BO78" s="87" t="s">
        <v>3736</v>
      </c>
      <c r="BP78" s="87" t="s">
        <v>3706</v>
      </c>
      <c r="BQ78" s="14"/>
      <c r="BR78" s="21"/>
      <c r="BS78" s="233"/>
      <c r="BT78" s="21" t="s">
        <v>3236</v>
      </c>
      <c r="BU78" s="21"/>
      <c r="BV78" s="14"/>
      <c r="BW78" s="14" t="s">
        <v>3237</v>
      </c>
      <c r="BX78" s="14">
        <v>3</v>
      </c>
      <c r="BY78" s="110" t="s">
        <v>3233</v>
      </c>
      <c r="BZ78" s="14" t="s">
        <v>3851</v>
      </c>
      <c r="CA78" s="87" t="s">
        <v>3651</v>
      </c>
      <c r="CB78" s="44" t="s">
        <v>3418</v>
      </c>
      <c r="CC78" s="233"/>
      <c r="CD78" s="233"/>
      <c r="CE78" s="233"/>
      <c r="CF78" s="21" t="s">
        <v>3235</v>
      </c>
      <c r="CG78" s="21"/>
      <c r="CH78" s="14"/>
      <c r="CI78" s="14" t="s">
        <v>3886</v>
      </c>
      <c r="CJ78" s="14">
        <v>1</v>
      </c>
      <c r="CK78" s="14" t="s">
        <v>3526</v>
      </c>
      <c r="CL78" s="14" t="s">
        <v>3200</v>
      </c>
      <c r="CM78" s="87" t="s">
        <v>3736</v>
      </c>
      <c r="CN78" s="87" t="s">
        <v>3706</v>
      </c>
      <c r="CO78" s="233"/>
      <c r="CP78" s="233"/>
      <c r="CQ78" s="233"/>
      <c r="CR78" s="21" t="s">
        <v>3227</v>
      </c>
      <c r="CS78" s="21"/>
      <c r="CT78" s="14"/>
      <c r="CU78" s="14" t="s">
        <v>3226</v>
      </c>
      <c r="CV78" s="14">
        <v>3</v>
      </c>
      <c r="CW78" s="110" t="s">
        <v>3701</v>
      </c>
      <c r="CX78" s="14" t="s">
        <v>3548</v>
      </c>
      <c r="CY78" s="87" t="s">
        <v>3759</v>
      </c>
      <c r="CZ78" s="87" t="s">
        <v>4212</v>
      </c>
      <c r="DA78" s="14"/>
      <c r="DB78" s="21"/>
      <c r="DC78" s="233"/>
      <c r="DD78" s="21" t="s">
        <v>3227</v>
      </c>
      <c r="DE78" s="21"/>
      <c r="DF78" s="14"/>
      <c r="DG78" s="14" t="s">
        <v>3226</v>
      </c>
      <c r="DH78" s="14">
        <v>3</v>
      </c>
      <c r="DI78" s="110" t="s">
        <v>3701</v>
      </c>
      <c r="DJ78" s="14" t="s">
        <v>3548</v>
      </c>
      <c r="DK78" s="87" t="s">
        <v>3759</v>
      </c>
      <c r="DL78" s="87" t="s">
        <v>4212</v>
      </c>
      <c r="DM78" s="14"/>
      <c r="DN78" s="21"/>
      <c r="DO78" s="233"/>
      <c r="DP78" s="21"/>
      <c r="DQ78" s="21"/>
      <c r="DR78" s="14"/>
      <c r="DS78" s="14"/>
      <c r="DT78" s="14"/>
      <c r="DU78" s="110"/>
      <c r="DV78" s="14"/>
      <c r="DW78" s="87"/>
      <c r="DX78" s="87"/>
      <c r="DY78" s="14"/>
      <c r="DZ78" s="233"/>
      <c r="EA78" s="233"/>
      <c r="EB78" s="21" t="s">
        <v>3228</v>
      </c>
      <c r="EC78" s="21"/>
      <c r="ED78" s="14"/>
      <c r="EE78" s="14" t="s">
        <v>3689</v>
      </c>
      <c r="EF78" s="14">
        <v>3</v>
      </c>
      <c r="EG78" s="110" t="s">
        <v>3701</v>
      </c>
      <c r="EH78" s="14" t="s">
        <v>3898</v>
      </c>
      <c r="EI78" s="87" t="s">
        <v>3420</v>
      </c>
      <c r="EJ78" s="87" t="s">
        <v>3052</v>
      </c>
      <c r="EK78" s="14"/>
      <c r="EL78" s="233"/>
      <c r="EM78" s="233"/>
      <c r="EN78" s="21" t="s">
        <v>3227</v>
      </c>
      <c r="EO78" s="21"/>
      <c r="EP78" s="14"/>
      <c r="EQ78" s="14" t="s">
        <v>3226</v>
      </c>
      <c r="ER78" s="14">
        <v>3</v>
      </c>
      <c r="ES78" s="110" t="s">
        <v>3701</v>
      </c>
      <c r="ET78" s="14" t="s">
        <v>3548</v>
      </c>
      <c r="EU78" s="87" t="s">
        <v>3759</v>
      </c>
      <c r="EV78" s="87" t="s">
        <v>4212</v>
      </c>
      <c r="EW78" s="14"/>
      <c r="EX78" s="21"/>
      <c r="EY78" s="233"/>
      <c r="EZ78" s="233"/>
      <c r="FA78" s="233"/>
      <c r="FB78" s="233"/>
      <c r="FC78" s="233"/>
      <c r="FD78" s="233"/>
    </row>
    <row r="79" spans="1:160">
      <c r="A79" s="20" t="s">
        <v>385</v>
      </c>
      <c r="B79" s="14">
        <v>2</v>
      </c>
      <c r="C79" s="14" t="s">
        <v>5877</v>
      </c>
      <c r="D79" s="14">
        <v>1</v>
      </c>
      <c r="E79" s="110" t="s">
        <v>3999</v>
      </c>
      <c r="F79" s="14" t="s">
        <v>3947</v>
      </c>
      <c r="G79" s="44" t="s">
        <v>3843</v>
      </c>
      <c r="H79" s="107" t="s">
        <v>386</v>
      </c>
      <c r="I79" s="44" t="s">
        <v>3900</v>
      </c>
      <c r="J79" s="28" t="s">
        <v>4447</v>
      </c>
      <c r="L79" s="21" t="s">
        <v>3031</v>
      </c>
      <c r="M79" s="14"/>
      <c r="N79" s="21"/>
      <c r="O79" s="14" t="s">
        <v>3032</v>
      </c>
      <c r="P79" s="14">
        <v>3</v>
      </c>
      <c r="Q79" s="110" t="s">
        <v>3650</v>
      </c>
      <c r="R79" s="14" t="s">
        <v>3947</v>
      </c>
      <c r="S79" s="44" t="s">
        <v>3730</v>
      </c>
      <c r="T79" s="44" t="s">
        <v>3728</v>
      </c>
      <c r="U79" s="14"/>
      <c r="V79" s="21"/>
      <c r="W79" s="21"/>
      <c r="X79" s="21" t="s">
        <v>3225</v>
      </c>
      <c r="Y79" s="21"/>
      <c r="Z79" s="14"/>
      <c r="AA79" s="14" t="s">
        <v>3226</v>
      </c>
      <c r="AB79" s="14">
        <v>1</v>
      </c>
      <c r="AC79" s="110" t="s">
        <v>3701</v>
      </c>
      <c r="AD79" s="14" t="s">
        <v>3200</v>
      </c>
      <c r="AE79" s="87" t="s">
        <v>3736</v>
      </c>
      <c r="AF79" s="87" t="s">
        <v>3687</v>
      </c>
      <c r="AG79" s="14"/>
      <c r="AH79" s="21"/>
      <c r="AI79" s="21"/>
      <c r="AJ79" s="21" t="s">
        <v>3247</v>
      </c>
      <c r="AK79" s="21"/>
      <c r="AL79" s="14"/>
      <c r="AM79" s="14" t="s">
        <v>3462</v>
      </c>
      <c r="AN79" s="14">
        <v>3</v>
      </c>
      <c r="AO79" s="110" t="s">
        <v>3248</v>
      </c>
      <c r="AP79" s="14" t="s">
        <v>3735</v>
      </c>
      <c r="AQ79" s="87" t="s">
        <v>3612</v>
      </c>
      <c r="AR79" s="87" t="s">
        <v>3746</v>
      </c>
      <c r="AS79" s="14"/>
      <c r="AT79" s="21"/>
      <c r="AU79" s="21"/>
      <c r="AV79" s="21" t="s">
        <v>3234</v>
      </c>
      <c r="AW79" s="21"/>
      <c r="AX79" s="14"/>
      <c r="AY79" s="14" t="s">
        <v>3187</v>
      </c>
      <c r="AZ79" s="14">
        <v>2</v>
      </c>
      <c r="BA79" s="14" t="s">
        <v>3526</v>
      </c>
      <c r="BB79" s="14" t="s">
        <v>3947</v>
      </c>
      <c r="BC79" s="87" t="s">
        <v>3753</v>
      </c>
      <c r="BD79" s="87" t="s">
        <v>3728</v>
      </c>
      <c r="BE79" s="14"/>
      <c r="BF79" s="21"/>
      <c r="BG79" s="21"/>
      <c r="BH79" s="21" t="s">
        <v>3423</v>
      </c>
      <c r="BI79" s="21"/>
      <c r="BJ79" s="14"/>
      <c r="BK79" s="14" t="s">
        <v>3210</v>
      </c>
      <c r="BL79" s="14">
        <v>4</v>
      </c>
      <c r="BM79" s="110" t="s">
        <v>3233</v>
      </c>
      <c r="BN79" s="14" t="s">
        <v>3914</v>
      </c>
      <c r="BO79" s="87" t="s">
        <v>3758</v>
      </c>
      <c r="BP79" s="87" t="s">
        <v>3859</v>
      </c>
      <c r="BQ79" s="14"/>
      <c r="BR79" s="21"/>
      <c r="BS79" s="233"/>
      <c r="BT79" s="21" t="s">
        <v>3424</v>
      </c>
      <c r="BU79" s="21"/>
      <c r="BV79" s="14"/>
      <c r="BW79" s="112" t="s">
        <v>3615</v>
      </c>
      <c r="BX79" s="14" t="s">
        <v>5036</v>
      </c>
      <c r="BY79" s="197" t="s">
        <v>3425</v>
      </c>
      <c r="BZ79" s="14" t="s">
        <v>3851</v>
      </c>
      <c r="CA79" s="87" t="s">
        <v>3843</v>
      </c>
      <c r="CB79" s="44" t="s">
        <v>3426</v>
      </c>
      <c r="CC79" s="233"/>
      <c r="CD79" s="233"/>
      <c r="CE79" s="233"/>
      <c r="CF79" s="21" t="s">
        <v>3423</v>
      </c>
      <c r="CG79" s="21"/>
      <c r="CH79" s="14"/>
      <c r="CI79" s="14" t="s">
        <v>3210</v>
      </c>
      <c r="CJ79" s="14">
        <v>4</v>
      </c>
      <c r="CK79" s="110" t="s">
        <v>3233</v>
      </c>
      <c r="CL79" s="14" t="s">
        <v>3914</v>
      </c>
      <c r="CM79" s="87" t="s">
        <v>3758</v>
      </c>
      <c r="CN79" s="87" t="s">
        <v>3859</v>
      </c>
      <c r="CO79" s="233"/>
      <c r="CP79" s="233"/>
      <c r="CQ79" s="233"/>
      <c r="CR79" s="21" t="s">
        <v>3225</v>
      </c>
      <c r="CS79" s="21"/>
      <c r="CT79" s="14"/>
      <c r="CU79" s="14" t="s">
        <v>3226</v>
      </c>
      <c r="CV79" s="14">
        <v>1</v>
      </c>
      <c r="CW79" s="110" t="s">
        <v>3701</v>
      </c>
      <c r="CX79" s="14" t="s">
        <v>3200</v>
      </c>
      <c r="CY79" s="87" t="s">
        <v>3736</v>
      </c>
      <c r="CZ79" s="87" t="s">
        <v>3687</v>
      </c>
      <c r="DA79" s="14"/>
      <c r="DB79" s="21"/>
      <c r="DC79" s="233"/>
      <c r="DD79" s="21" t="s">
        <v>3225</v>
      </c>
      <c r="DE79" s="21"/>
      <c r="DF79" s="14"/>
      <c r="DG79" s="14" t="s">
        <v>3226</v>
      </c>
      <c r="DH79" s="14">
        <v>1</v>
      </c>
      <c r="DI79" s="110" t="s">
        <v>3701</v>
      </c>
      <c r="DJ79" s="14" t="s">
        <v>3200</v>
      </c>
      <c r="DK79" s="87" t="s">
        <v>3736</v>
      </c>
      <c r="DL79" s="87" t="s">
        <v>3687</v>
      </c>
      <c r="DM79" s="14"/>
      <c r="DN79" s="21"/>
      <c r="DO79" s="233"/>
      <c r="DP79" s="21"/>
      <c r="DQ79" s="21"/>
      <c r="DR79" s="14"/>
      <c r="DS79" s="14"/>
      <c r="DT79" s="14"/>
      <c r="DU79" s="110"/>
      <c r="DV79" s="14"/>
      <c r="DW79" s="87"/>
      <c r="DX79" s="87"/>
      <c r="DY79" s="14"/>
      <c r="DZ79" s="233"/>
      <c r="EA79" s="233"/>
      <c r="EB79" s="21" t="s">
        <v>3247</v>
      </c>
      <c r="EC79" s="21"/>
      <c r="ED79" s="14"/>
      <c r="EE79" s="14" t="s">
        <v>3462</v>
      </c>
      <c r="EF79" s="14">
        <v>3</v>
      </c>
      <c r="EG79" s="110" t="s">
        <v>3248</v>
      </c>
      <c r="EH79" s="14" t="s">
        <v>3735</v>
      </c>
      <c r="EI79" s="87" t="s">
        <v>3612</v>
      </c>
      <c r="EJ79" s="87" t="s">
        <v>3746</v>
      </c>
      <c r="EK79" s="14"/>
      <c r="EL79" s="233"/>
      <c r="EM79" s="233"/>
      <c r="EN79" s="21" t="s">
        <v>3225</v>
      </c>
      <c r="EO79" s="21"/>
      <c r="EP79" s="14"/>
      <c r="EQ79" s="14" t="s">
        <v>3226</v>
      </c>
      <c r="ER79" s="14">
        <v>1</v>
      </c>
      <c r="ES79" s="110" t="s">
        <v>3701</v>
      </c>
      <c r="ET79" s="14" t="s">
        <v>3200</v>
      </c>
      <c r="EU79" s="87" t="s">
        <v>3736</v>
      </c>
      <c r="EV79" s="87" t="s">
        <v>3687</v>
      </c>
      <c r="EW79" s="14"/>
      <c r="EX79" s="21"/>
      <c r="EY79" s="233"/>
      <c r="EZ79" s="233"/>
      <c r="FA79" s="233"/>
      <c r="FB79" s="233"/>
      <c r="FC79" s="233"/>
      <c r="FD79" s="233"/>
    </row>
    <row r="80" spans="1:160">
      <c r="A80" s="20" t="s">
        <v>3545</v>
      </c>
      <c r="B80" s="14">
        <v>2</v>
      </c>
      <c r="C80" s="14" t="s">
        <v>3546</v>
      </c>
      <c r="D80" s="14" t="s">
        <v>5036</v>
      </c>
      <c r="E80" s="14" t="s">
        <v>3904</v>
      </c>
      <c r="F80" s="14" t="s">
        <v>3898</v>
      </c>
      <c r="G80" s="44" t="s">
        <v>3378</v>
      </c>
      <c r="H80" s="44" t="s">
        <v>3379</v>
      </c>
      <c r="I80" s="44" t="s">
        <v>3916</v>
      </c>
      <c r="J80" s="28" t="s">
        <v>3732</v>
      </c>
      <c r="L80" s="21" t="s">
        <v>3025</v>
      </c>
      <c r="M80" s="14"/>
      <c r="N80" s="21"/>
      <c r="O80" s="14" t="s">
        <v>3139</v>
      </c>
      <c r="P80" s="14">
        <v>2</v>
      </c>
      <c r="Q80" s="110" t="s">
        <v>3026</v>
      </c>
      <c r="R80" s="14" t="s">
        <v>3914</v>
      </c>
      <c r="S80" s="44" t="s">
        <v>3550</v>
      </c>
      <c r="T80" s="44" t="s">
        <v>3915</v>
      </c>
      <c r="U80" s="14"/>
      <c r="V80" s="21"/>
      <c r="W80" s="21"/>
      <c r="X80" s="21" t="s">
        <v>3791</v>
      </c>
      <c r="Y80" s="21"/>
      <c r="Z80" s="14"/>
      <c r="AA80" s="14" t="s">
        <v>3226</v>
      </c>
      <c r="AB80" s="14">
        <v>2</v>
      </c>
      <c r="AC80" s="14" t="s">
        <v>3792</v>
      </c>
      <c r="AD80" s="14" t="s">
        <v>3947</v>
      </c>
      <c r="AE80" s="87" t="s">
        <v>3901</v>
      </c>
      <c r="AF80" s="87" t="s">
        <v>3488</v>
      </c>
      <c r="AG80" s="14"/>
      <c r="AH80" s="21"/>
      <c r="AI80" s="21"/>
      <c r="AJ80" s="21" t="s">
        <v>3793</v>
      </c>
      <c r="AK80" s="21"/>
      <c r="AL80" s="14"/>
      <c r="AM80" s="14" t="s">
        <v>3794</v>
      </c>
      <c r="AN80" s="14">
        <v>2</v>
      </c>
      <c r="AO80" s="14" t="s">
        <v>3701</v>
      </c>
      <c r="AP80" s="14" t="s">
        <v>3140</v>
      </c>
      <c r="AQ80" s="87" t="s">
        <v>3612</v>
      </c>
      <c r="AR80" s="87" t="s">
        <v>3915</v>
      </c>
      <c r="AS80" s="14"/>
      <c r="AT80" s="21"/>
      <c r="AU80" s="21"/>
      <c r="AV80" s="21" t="s">
        <v>3421</v>
      </c>
      <c r="AW80" s="21"/>
      <c r="AX80" s="14"/>
      <c r="AY80" s="14" t="s">
        <v>3187</v>
      </c>
      <c r="AZ80" s="14">
        <v>1</v>
      </c>
      <c r="BA80" s="110" t="s">
        <v>3381</v>
      </c>
      <c r="BB80" s="14" t="s">
        <v>3898</v>
      </c>
      <c r="BC80" s="87" t="s">
        <v>3736</v>
      </c>
      <c r="BD80" s="87" t="s">
        <v>3422</v>
      </c>
      <c r="BE80" s="14"/>
      <c r="BF80" s="21"/>
      <c r="BG80" s="21"/>
      <c r="BH80" s="21" t="s">
        <v>3797</v>
      </c>
      <c r="BI80" s="21"/>
      <c r="BJ80" s="14"/>
      <c r="BK80" s="14" t="s">
        <v>3886</v>
      </c>
      <c r="BL80" s="14">
        <v>2</v>
      </c>
      <c r="BM80" s="110" t="s">
        <v>3701</v>
      </c>
      <c r="BN80" s="14" t="s">
        <v>3979</v>
      </c>
      <c r="BO80" s="87" t="s">
        <v>3843</v>
      </c>
      <c r="BP80" s="87" t="s">
        <v>3728</v>
      </c>
      <c r="BQ80" s="14"/>
      <c r="BR80" s="21"/>
      <c r="BS80" s="233"/>
      <c r="BT80" s="87" t="s">
        <v>3601</v>
      </c>
      <c r="BU80" s="21"/>
      <c r="BV80" s="14"/>
      <c r="BW80" s="112" t="s">
        <v>3615</v>
      </c>
      <c r="BX80" s="14">
        <v>2</v>
      </c>
      <c r="BY80" s="110" t="s">
        <v>3190</v>
      </c>
      <c r="BZ80" s="14" t="s">
        <v>3602</v>
      </c>
      <c r="CA80" s="87" t="s">
        <v>3736</v>
      </c>
      <c r="CB80" s="44" t="s">
        <v>3603</v>
      </c>
      <c r="CC80" s="233"/>
      <c r="CD80" s="233"/>
      <c r="CE80" s="233"/>
      <c r="CF80" s="21" t="s">
        <v>3797</v>
      </c>
      <c r="CG80" s="21"/>
      <c r="CH80" s="14"/>
      <c r="CI80" s="14" t="s">
        <v>3886</v>
      </c>
      <c r="CJ80" s="14">
        <v>2</v>
      </c>
      <c r="CK80" s="110" t="s">
        <v>3701</v>
      </c>
      <c r="CL80" s="14" t="s">
        <v>3979</v>
      </c>
      <c r="CM80" s="87" t="s">
        <v>3843</v>
      </c>
      <c r="CN80" s="87" t="s">
        <v>3728</v>
      </c>
      <c r="CO80" s="233"/>
      <c r="CP80" s="233"/>
      <c r="CQ80" s="233"/>
      <c r="CR80" s="21" t="s">
        <v>3791</v>
      </c>
      <c r="CS80" s="21"/>
      <c r="CT80" s="14"/>
      <c r="CU80" s="14" t="s">
        <v>3226</v>
      </c>
      <c r="CV80" s="14">
        <v>2</v>
      </c>
      <c r="CW80" s="14" t="s">
        <v>3792</v>
      </c>
      <c r="CX80" s="14" t="s">
        <v>3947</v>
      </c>
      <c r="CY80" s="87" t="s">
        <v>3901</v>
      </c>
      <c r="CZ80" s="87" t="s">
        <v>3488</v>
      </c>
      <c r="DA80" s="14"/>
      <c r="DB80" s="21"/>
      <c r="DC80" s="233"/>
      <c r="DD80" s="21" t="s">
        <v>3791</v>
      </c>
      <c r="DE80" s="21"/>
      <c r="DF80" s="14"/>
      <c r="DG80" s="14" t="s">
        <v>3226</v>
      </c>
      <c r="DH80" s="14">
        <v>2</v>
      </c>
      <c r="DI80" s="14" t="s">
        <v>3792</v>
      </c>
      <c r="DJ80" s="14" t="s">
        <v>3947</v>
      </c>
      <c r="DK80" s="87" t="s">
        <v>3901</v>
      </c>
      <c r="DL80" s="87" t="s">
        <v>3488</v>
      </c>
      <c r="DM80" s="14"/>
      <c r="DN80" s="21"/>
      <c r="DO80" s="233"/>
      <c r="DP80" s="21"/>
      <c r="DQ80" s="21"/>
      <c r="DR80" s="14"/>
      <c r="DS80" s="14"/>
      <c r="DT80" s="14"/>
      <c r="DU80" s="14"/>
      <c r="DV80" s="14"/>
      <c r="DW80" s="87"/>
      <c r="DX80" s="87"/>
      <c r="DY80" s="14"/>
      <c r="DZ80" s="233"/>
      <c r="EA80" s="233"/>
      <c r="EB80" s="21" t="s">
        <v>3793</v>
      </c>
      <c r="EC80" s="21"/>
      <c r="ED80" s="14"/>
      <c r="EE80" s="14" t="s">
        <v>3794</v>
      </c>
      <c r="EF80" s="14">
        <v>2</v>
      </c>
      <c r="EG80" s="14" t="s">
        <v>3701</v>
      </c>
      <c r="EH80" s="14" t="s">
        <v>3140</v>
      </c>
      <c r="EI80" s="87" t="s">
        <v>3612</v>
      </c>
      <c r="EJ80" s="87" t="s">
        <v>3915</v>
      </c>
      <c r="EK80" s="14"/>
      <c r="EL80" s="233"/>
      <c r="EM80" s="233"/>
      <c r="EN80" s="21" t="s">
        <v>3791</v>
      </c>
      <c r="EO80" s="21"/>
      <c r="EP80" s="14"/>
      <c r="EQ80" s="14" t="s">
        <v>3226</v>
      </c>
      <c r="ER80" s="14">
        <v>2</v>
      </c>
      <c r="ES80" s="14" t="s">
        <v>3792</v>
      </c>
      <c r="ET80" s="14" t="s">
        <v>3947</v>
      </c>
      <c r="EU80" s="87" t="s">
        <v>3901</v>
      </c>
      <c r="EV80" s="87" t="s">
        <v>3488</v>
      </c>
      <c r="EW80" s="14"/>
      <c r="EX80" s="21"/>
      <c r="EY80" s="233"/>
      <c r="EZ80" s="233"/>
      <c r="FA80" s="233"/>
      <c r="FB80" s="233"/>
      <c r="FC80" s="233"/>
      <c r="FD80" s="233"/>
    </row>
    <row r="81" spans="1:160">
      <c r="A81" s="20" t="s">
        <v>387</v>
      </c>
      <c r="B81" s="14">
        <v>2</v>
      </c>
      <c r="C81" s="14" t="s">
        <v>5878</v>
      </c>
      <c r="D81" s="14" t="s">
        <v>5036</v>
      </c>
      <c r="E81" s="106" t="s">
        <v>3999</v>
      </c>
      <c r="F81" s="14" t="s">
        <v>3947</v>
      </c>
      <c r="G81" s="44" t="s">
        <v>3843</v>
      </c>
      <c r="H81" s="44" t="s">
        <v>388</v>
      </c>
      <c r="I81" s="44"/>
      <c r="J81" s="28" t="s">
        <v>4555</v>
      </c>
      <c r="L81" s="21" t="s">
        <v>3217</v>
      </c>
      <c r="M81" s="14"/>
      <c r="N81" s="21"/>
      <c r="O81" s="14" t="s">
        <v>3685</v>
      </c>
      <c r="P81" s="14" t="s">
        <v>5036</v>
      </c>
      <c r="Q81" s="14" t="s">
        <v>3745</v>
      </c>
      <c r="R81" s="14" t="s">
        <v>3898</v>
      </c>
      <c r="S81" s="44" t="s">
        <v>3378</v>
      </c>
      <c r="T81" s="44" t="s">
        <v>3488</v>
      </c>
      <c r="U81" s="14"/>
      <c r="V81" s="21"/>
      <c r="W81" s="21"/>
      <c r="X81" s="21" t="s">
        <v>3604</v>
      </c>
      <c r="Y81" s="21"/>
      <c r="Z81" s="14"/>
      <c r="AA81" s="14" t="s">
        <v>3605</v>
      </c>
      <c r="AB81" s="14">
        <v>0</v>
      </c>
      <c r="AC81" s="14" t="s">
        <v>3039</v>
      </c>
      <c r="AD81" s="14" t="s">
        <v>3947</v>
      </c>
      <c r="AE81" s="87" t="s">
        <v>3753</v>
      </c>
      <c r="AF81" s="87" t="s">
        <v>4212</v>
      </c>
      <c r="AG81" s="14"/>
      <c r="AH81" s="21"/>
      <c r="AI81" s="21"/>
      <c r="AJ81" s="21" t="s">
        <v>3268</v>
      </c>
      <c r="AK81" s="21"/>
      <c r="AL81" s="14"/>
      <c r="AM81" s="14" t="s">
        <v>3462</v>
      </c>
      <c r="AN81" s="14">
        <v>2</v>
      </c>
      <c r="AO81" s="14" t="s">
        <v>3682</v>
      </c>
      <c r="AP81" s="14" t="s">
        <v>3898</v>
      </c>
      <c r="AQ81" s="87" t="s">
        <v>3269</v>
      </c>
      <c r="AR81" s="87" t="s">
        <v>3270</v>
      </c>
      <c r="AS81" s="14"/>
      <c r="AT81" s="21"/>
      <c r="AU81" s="21"/>
      <c r="AV81" s="21" t="s">
        <v>3795</v>
      </c>
      <c r="AW81" s="21"/>
      <c r="AX81" s="14"/>
      <c r="AY81" s="14" t="s">
        <v>3187</v>
      </c>
      <c r="AZ81" s="14">
        <v>2</v>
      </c>
      <c r="BA81" s="110" t="s">
        <v>3381</v>
      </c>
      <c r="BB81" s="14" t="s">
        <v>3548</v>
      </c>
      <c r="BC81" s="87" t="s">
        <v>3570</v>
      </c>
      <c r="BD81" s="87" t="s">
        <v>3796</v>
      </c>
      <c r="BE81" s="14"/>
      <c r="BF81" s="21"/>
      <c r="BG81" s="21"/>
      <c r="BH81" s="14" t="s">
        <v>3094</v>
      </c>
      <c r="BI81" s="21"/>
      <c r="BJ81" s="14"/>
      <c r="BK81" s="14" t="s">
        <v>3095</v>
      </c>
      <c r="BL81" s="14">
        <v>4</v>
      </c>
      <c r="BM81" s="110" t="s">
        <v>3749</v>
      </c>
      <c r="BN81" s="14" t="s">
        <v>3898</v>
      </c>
      <c r="BO81" s="87" t="s">
        <v>3096</v>
      </c>
      <c r="BP81" s="87" t="s">
        <v>3746</v>
      </c>
      <c r="BQ81" s="14"/>
      <c r="BR81" s="21"/>
      <c r="BS81" s="233"/>
      <c r="BT81" s="21" t="s">
        <v>3097</v>
      </c>
      <c r="BU81" s="21"/>
      <c r="BV81" s="14"/>
      <c r="BW81" s="112" t="s">
        <v>3615</v>
      </c>
      <c r="BX81" s="14">
        <v>1</v>
      </c>
      <c r="BY81" s="110" t="s">
        <v>3934</v>
      </c>
      <c r="BZ81" s="14" t="s">
        <v>3898</v>
      </c>
      <c r="CA81" s="87" t="s">
        <v>3651</v>
      </c>
      <c r="CB81" s="44" t="s">
        <v>3098</v>
      </c>
      <c r="CC81" s="233"/>
      <c r="CD81" s="233"/>
      <c r="CE81" s="233"/>
      <c r="CF81" s="14" t="s">
        <v>3094</v>
      </c>
      <c r="CG81" s="21"/>
      <c r="CH81" s="14"/>
      <c r="CI81" s="14" t="s">
        <v>3095</v>
      </c>
      <c r="CJ81" s="14">
        <v>4</v>
      </c>
      <c r="CK81" s="110" t="s">
        <v>3749</v>
      </c>
      <c r="CL81" s="14" t="s">
        <v>3898</v>
      </c>
      <c r="CM81" s="87" t="s">
        <v>3096</v>
      </c>
      <c r="CN81" s="87" t="s">
        <v>3746</v>
      </c>
      <c r="CO81" s="233"/>
      <c r="CP81" s="233"/>
      <c r="CQ81" s="233"/>
      <c r="CR81" s="21" t="s">
        <v>3604</v>
      </c>
      <c r="CS81" s="21"/>
      <c r="CT81" s="14"/>
      <c r="CU81" s="14" t="s">
        <v>3605</v>
      </c>
      <c r="CV81" s="14">
        <v>0</v>
      </c>
      <c r="CW81" s="14" t="s">
        <v>3039</v>
      </c>
      <c r="CX81" s="14" t="s">
        <v>3947</v>
      </c>
      <c r="CY81" s="87" t="s">
        <v>3753</v>
      </c>
      <c r="CZ81" s="87" t="s">
        <v>4212</v>
      </c>
      <c r="DA81" s="14"/>
      <c r="DB81" s="21"/>
      <c r="DC81" s="233"/>
      <c r="DD81" s="21" t="s">
        <v>3604</v>
      </c>
      <c r="DE81" s="21"/>
      <c r="DF81" s="14"/>
      <c r="DG81" s="14" t="s">
        <v>3605</v>
      </c>
      <c r="DH81" s="14">
        <v>0</v>
      </c>
      <c r="DI81" s="14" t="s">
        <v>3039</v>
      </c>
      <c r="DJ81" s="14" t="s">
        <v>3947</v>
      </c>
      <c r="DK81" s="87" t="s">
        <v>3753</v>
      </c>
      <c r="DL81" s="87" t="s">
        <v>4212</v>
      </c>
      <c r="DM81" s="14"/>
      <c r="DN81" s="21"/>
      <c r="DO81" s="233"/>
      <c r="DP81" s="21"/>
      <c r="DQ81" s="21"/>
      <c r="DR81" s="14"/>
      <c r="DS81" s="14"/>
      <c r="DT81" s="14"/>
      <c r="DU81" s="14"/>
      <c r="DV81" s="14"/>
      <c r="DW81" s="87"/>
      <c r="DX81" s="87"/>
      <c r="DY81" s="14"/>
      <c r="DZ81" s="233"/>
      <c r="EA81" s="233"/>
      <c r="EB81" s="21" t="s">
        <v>3268</v>
      </c>
      <c r="EC81" s="21"/>
      <c r="ED81" s="14"/>
      <c r="EE81" s="14" t="s">
        <v>3462</v>
      </c>
      <c r="EF81" s="14">
        <v>2</v>
      </c>
      <c r="EG81" s="14" t="s">
        <v>3682</v>
      </c>
      <c r="EH81" s="14" t="s">
        <v>3898</v>
      </c>
      <c r="EI81" s="87" t="s">
        <v>3269</v>
      </c>
      <c r="EJ81" s="87" t="s">
        <v>3270</v>
      </c>
      <c r="EK81" s="14"/>
      <c r="EL81" s="233"/>
      <c r="EM81" s="233"/>
      <c r="EN81" s="21" t="s">
        <v>3604</v>
      </c>
      <c r="EO81" s="21"/>
      <c r="EP81" s="14"/>
      <c r="EQ81" s="14" t="s">
        <v>3605</v>
      </c>
      <c r="ER81" s="14">
        <v>0</v>
      </c>
      <c r="ES81" s="14" t="s">
        <v>3039</v>
      </c>
      <c r="ET81" s="14" t="s">
        <v>3947</v>
      </c>
      <c r="EU81" s="87" t="s">
        <v>3753</v>
      </c>
      <c r="EV81" s="87" t="s">
        <v>4212</v>
      </c>
      <c r="EW81" s="14"/>
      <c r="EX81" s="21"/>
      <c r="EY81" s="233"/>
      <c r="EZ81" s="233"/>
      <c r="FA81" s="233"/>
      <c r="FB81" s="233"/>
      <c r="FC81" s="233"/>
      <c r="FD81" s="233"/>
    </row>
    <row r="82" spans="1:160">
      <c r="A82" s="20" t="s">
        <v>3750</v>
      </c>
      <c r="B82" s="14">
        <v>2</v>
      </c>
      <c r="C82" s="14" t="s">
        <v>3902</v>
      </c>
      <c r="D82" s="14">
        <v>1</v>
      </c>
      <c r="E82" s="110" t="s">
        <v>3569</v>
      </c>
      <c r="F82" s="14" t="s">
        <v>3898</v>
      </c>
      <c r="G82" s="44" t="s">
        <v>3759</v>
      </c>
      <c r="H82" s="44" t="s">
        <v>3746</v>
      </c>
      <c r="I82" s="44" t="s">
        <v>3900</v>
      </c>
      <c r="J82" s="28" t="s">
        <v>5232</v>
      </c>
      <c r="L82" s="21" t="s">
        <v>3225</v>
      </c>
      <c r="M82" s="14"/>
      <c r="N82" s="21"/>
      <c r="O82" s="14" t="s">
        <v>3226</v>
      </c>
      <c r="P82" s="14">
        <v>1</v>
      </c>
      <c r="Q82" s="110" t="s">
        <v>3701</v>
      </c>
      <c r="R82" s="14" t="s">
        <v>3200</v>
      </c>
      <c r="S82" s="44" t="s">
        <v>3736</v>
      </c>
      <c r="T82" s="44" t="s">
        <v>3687</v>
      </c>
      <c r="U82" s="14"/>
      <c r="V82" s="21"/>
      <c r="W82" s="21"/>
      <c r="X82" s="21" t="s">
        <v>3099</v>
      </c>
      <c r="Y82" s="21"/>
      <c r="Z82" s="14"/>
      <c r="AA82" s="14" t="s">
        <v>3605</v>
      </c>
      <c r="AB82" s="14">
        <v>1</v>
      </c>
      <c r="AC82" s="110" t="s">
        <v>3701</v>
      </c>
      <c r="AD82" s="14" t="s">
        <v>3898</v>
      </c>
      <c r="AE82" s="87" t="s">
        <v>3753</v>
      </c>
      <c r="AF82" s="87" t="s">
        <v>3728</v>
      </c>
      <c r="AG82" s="14"/>
      <c r="AH82" s="21"/>
      <c r="AI82" s="21"/>
      <c r="AJ82" s="21" t="s">
        <v>3100</v>
      </c>
      <c r="AK82" s="21"/>
      <c r="AL82" s="14"/>
      <c r="AM82" s="14" t="s">
        <v>3794</v>
      </c>
      <c r="AN82" s="14">
        <v>5</v>
      </c>
      <c r="AO82" s="110" t="s">
        <v>3701</v>
      </c>
      <c r="AP82" s="14" t="s">
        <v>3931</v>
      </c>
      <c r="AQ82" s="87" t="s">
        <v>3420</v>
      </c>
      <c r="AR82" s="87" t="s">
        <v>3101</v>
      </c>
      <c r="AS82" s="14"/>
      <c r="AT82" s="21"/>
      <c r="AU82" s="21"/>
      <c r="AV82" s="21" t="s">
        <v>3271</v>
      </c>
      <c r="AW82" s="21"/>
      <c r="AX82" s="14"/>
      <c r="AY82" s="14" t="s">
        <v>3032</v>
      </c>
      <c r="AZ82" s="14">
        <v>3</v>
      </c>
      <c r="BA82" s="14" t="s">
        <v>3272</v>
      </c>
      <c r="BB82" s="14" t="s">
        <v>3898</v>
      </c>
      <c r="BC82" s="87" t="s">
        <v>3273</v>
      </c>
      <c r="BD82" s="87" t="s">
        <v>3274</v>
      </c>
      <c r="BE82" s="14"/>
      <c r="BF82" s="21"/>
      <c r="BG82" s="21"/>
      <c r="BH82" s="21" t="s">
        <v>3285</v>
      </c>
      <c r="BI82" s="21"/>
      <c r="BJ82" s="14"/>
      <c r="BK82" s="14" t="s">
        <v>3886</v>
      </c>
      <c r="BL82" s="14">
        <v>1</v>
      </c>
      <c r="BM82" s="14" t="s">
        <v>3701</v>
      </c>
      <c r="BN82" s="14" t="s">
        <v>3898</v>
      </c>
      <c r="BO82" s="87" t="s">
        <v>3736</v>
      </c>
      <c r="BP82" s="87" t="s">
        <v>3286</v>
      </c>
      <c r="BQ82" s="14"/>
      <c r="BR82" s="21"/>
      <c r="BS82" s="233"/>
      <c r="BT82" s="21"/>
      <c r="BU82" s="21"/>
      <c r="BV82" s="14"/>
      <c r="BW82" s="14"/>
      <c r="BX82" s="14"/>
      <c r="BY82" s="14"/>
      <c r="BZ82" s="14"/>
      <c r="CA82" s="14"/>
      <c r="CB82" s="87"/>
      <c r="CC82" s="233"/>
      <c r="CD82" s="233"/>
      <c r="CE82" s="233"/>
      <c r="CF82" s="21" t="s">
        <v>3285</v>
      </c>
      <c r="CG82" s="21"/>
      <c r="CH82" s="14"/>
      <c r="CI82" s="14" t="s">
        <v>3886</v>
      </c>
      <c r="CJ82" s="14">
        <v>1</v>
      </c>
      <c r="CK82" s="14" t="s">
        <v>3701</v>
      </c>
      <c r="CL82" s="14" t="s">
        <v>3898</v>
      </c>
      <c r="CM82" s="87" t="s">
        <v>3736</v>
      </c>
      <c r="CN82" s="87" t="s">
        <v>3286</v>
      </c>
      <c r="CO82" s="233"/>
      <c r="CP82" s="233"/>
      <c r="CQ82" s="233"/>
      <c r="CR82" s="21" t="s">
        <v>3099</v>
      </c>
      <c r="CS82" s="21"/>
      <c r="CT82" s="14"/>
      <c r="CU82" s="14" t="s">
        <v>3605</v>
      </c>
      <c r="CV82" s="14">
        <v>1</v>
      </c>
      <c r="CW82" s="110" t="s">
        <v>3701</v>
      </c>
      <c r="CX82" s="14" t="s">
        <v>3898</v>
      </c>
      <c r="CY82" s="87" t="s">
        <v>3753</v>
      </c>
      <c r="CZ82" s="87" t="s">
        <v>3728</v>
      </c>
      <c r="DA82" s="14"/>
      <c r="DB82" s="21"/>
      <c r="DC82" s="233"/>
      <c r="DD82" s="21" t="s">
        <v>3099</v>
      </c>
      <c r="DE82" s="21"/>
      <c r="DF82" s="14"/>
      <c r="DG82" s="14" t="s">
        <v>3605</v>
      </c>
      <c r="DH82" s="14">
        <v>1</v>
      </c>
      <c r="DI82" s="110" t="s">
        <v>3701</v>
      </c>
      <c r="DJ82" s="14" t="s">
        <v>3898</v>
      </c>
      <c r="DK82" s="87" t="s">
        <v>3753</v>
      </c>
      <c r="DL82" s="87" t="s">
        <v>3728</v>
      </c>
      <c r="DM82" s="14"/>
      <c r="DN82" s="21"/>
      <c r="DO82" s="233"/>
      <c r="DP82" s="21"/>
      <c r="DQ82" s="21"/>
      <c r="DR82" s="14"/>
      <c r="DS82" s="14"/>
      <c r="DT82" s="14"/>
      <c r="DU82" s="110"/>
      <c r="DV82" s="14"/>
      <c r="DW82" s="87"/>
      <c r="DX82" s="87"/>
      <c r="DY82" s="14"/>
      <c r="DZ82" s="233"/>
      <c r="EA82" s="233"/>
      <c r="EB82" s="21" t="s">
        <v>3100</v>
      </c>
      <c r="EC82" s="21"/>
      <c r="ED82" s="14"/>
      <c r="EE82" s="14" t="s">
        <v>3794</v>
      </c>
      <c r="EF82" s="14">
        <v>5</v>
      </c>
      <c r="EG82" s="110" t="s">
        <v>3701</v>
      </c>
      <c r="EH82" s="14" t="s">
        <v>3931</v>
      </c>
      <c r="EI82" s="87" t="s">
        <v>3420</v>
      </c>
      <c r="EJ82" s="87" t="s">
        <v>3101</v>
      </c>
      <c r="EK82" s="14"/>
      <c r="EL82" s="233"/>
      <c r="EM82" s="233"/>
      <c r="EN82" s="21" t="s">
        <v>3099</v>
      </c>
      <c r="EO82" s="21"/>
      <c r="EP82" s="14"/>
      <c r="EQ82" s="14" t="s">
        <v>3605</v>
      </c>
      <c r="ER82" s="14">
        <v>1</v>
      </c>
      <c r="ES82" s="110" t="s">
        <v>3701</v>
      </c>
      <c r="ET82" s="14" t="s">
        <v>3898</v>
      </c>
      <c r="EU82" s="87" t="s">
        <v>3753</v>
      </c>
      <c r="EV82" s="87" t="s">
        <v>3728</v>
      </c>
      <c r="EW82" s="14"/>
      <c r="EX82" s="21"/>
      <c r="EY82" s="233"/>
      <c r="EZ82" s="233"/>
      <c r="FA82" s="233"/>
      <c r="FB82" s="233"/>
      <c r="FC82" s="233"/>
      <c r="FD82" s="233"/>
    </row>
    <row r="83" spans="1:160">
      <c r="A83" s="20" t="s">
        <v>3384</v>
      </c>
      <c r="B83" s="14">
        <v>2</v>
      </c>
      <c r="C83" s="14" t="s">
        <v>3555</v>
      </c>
      <c r="D83" s="14">
        <v>1</v>
      </c>
      <c r="E83" s="110" t="s">
        <v>3385</v>
      </c>
      <c r="F83" s="14" t="s">
        <v>3914</v>
      </c>
      <c r="G83" s="44" t="s">
        <v>3901</v>
      </c>
      <c r="H83" s="44" t="s">
        <v>3632</v>
      </c>
      <c r="I83" s="44" t="s">
        <v>3900</v>
      </c>
      <c r="J83" s="28" t="s">
        <v>4369</v>
      </c>
      <c r="L83" s="21" t="s">
        <v>3287</v>
      </c>
      <c r="M83" s="14"/>
      <c r="N83" s="21"/>
      <c r="O83" s="14" t="s">
        <v>3210</v>
      </c>
      <c r="P83" s="14">
        <v>3</v>
      </c>
      <c r="Q83" s="110" t="s">
        <v>3323</v>
      </c>
      <c r="R83" s="14" t="s">
        <v>3898</v>
      </c>
      <c r="S83" s="44" t="s">
        <v>3736</v>
      </c>
      <c r="T83" s="44" t="s">
        <v>4212</v>
      </c>
      <c r="U83" s="14"/>
      <c r="V83" s="21"/>
      <c r="W83" s="21"/>
      <c r="X83" s="21" t="s">
        <v>3288</v>
      </c>
      <c r="Y83" s="21"/>
      <c r="Z83" s="21"/>
      <c r="AA83" s="14" t="s">
        <v>3669</v>
      </c>
      <c r="AB83" s="14">
        <v>2</v>
      </c>
      <c r="AC83" s="110" t="s">
        <v>3233</v>
      </c>
      <c r="AD83" s="14" t="s">
        <v>3289</v>
      </c>
      <c r="AE83" s="87" t="s">
        <v>3106</v>
      </c>
      <c r="AF83" s="44" t="s">
        <v>3107</v>
      </c>
      <c r="AG83" s="14"/>
      <c r="AH83" s="21"/>
      <c r="AI83" s="21"/>
      <c r="AJ83" s="21" t="s">
        <v>3464</v>
      </c>
      <c r="AK83" s="21"/>
      <c r="AL83" s="14"/>
      <c r="AM83" s="14" t="s">
        <v>5884</v>
      </c>
      <c r="AN83" s="14">
        <v>1</v>
      </c>
      <c r="AO83" s="110" t="s">
        <v>3451</v>
      </c>
      <c r="AP83" s="14" t="s">
        <v>3898</v>
      </c>
      <c r="AQ83" s="44" t="s">
        <v>3550</v>
      </c>
      <c r="AR83" s="44" t="s">
        <v>380</v>
      </c>
      <c r="AS83" s="44"/>
      <c r="AT83" s="21"/>
      <c r="AU83" s="21"/>
      <c r="AV83" s="21" t="s">
        <v>3102</v>
      </c>
      <c r="AW83" s="21"/>
      <c r="AX83" s="14"/>
      <c r="AY83" s="14" t="s">
        <v>3032</v>
      </c>
      <c r="AZ83" s="14">
        <v>1</v>
      </c>
      <c r="BA83" s="14" t="s">
        <v>3650</v>
      </c>
      <c r="BB83" s="14" t="s">
        <v>3898</v>
      </c>
      <c r="BC83" s="87" t="s">
        <v>3927</v>
      </c>
      <c r="BD83" s="87" t="s">
        <v>3103</v>
      </c>
      <c r="BE83" s="14"/>
      <c r="BF83" s="21"/>
      <c r="BG83" s="21"/>
      <c r="BH83" s="21" t="s">
        <v>2939</v>
      </c>
      <c r="BI83" s="21"/>
      <c r="BJ83" s="14"/>
      <c r="BK83" s="14" t="s">
        <v>3494</v>
      </c>
      <c r="BL83" s="14">
        <v>2</v>
      </c>
      <c r="BM83" s="110" t="s">
        <v>3934</v>
      </c>
      <c r="BN83" s="14" t="s">
        <v>3898</v>
      </c>
      <c r="BO83" s="111" t="s">
        <v>2940</v>
      </c>
      <c r="BP83" s="111" t="s">
        <v>2941</v>
      </c>
      <c r="BQ83" s="14"/>
      <c r="BR83" s="21"/>
      <c r="BS83" s="233"/>
      <c r="BT83" s="21"/>
      <c r="BU83" s="21"/>
      <c r="BV83" s="14"/>
      <c r="BW83" s="14"/>
      <c r="BX83" s="14"/>
      <c r="BY83" s="110"/>
      <c r="BZ83" s="14"/>
      <c r="CA83" s="14"/>
      <c r="CB83" s="87"/>
      <c r="CC83" s="233"/>
      <c r="CD83" s="233"/>
      <c r="CE83" s="233"/>
      <c r="CF83" s="21" t="s">
        <v>2939</v>
      </c>
      <c r="CG83" s="21"/>
      <c r="CH83" s="14"/>
      <c r="CI83" s="14" t="s">
        <v>3494</v>
      </c>
      <c r="CJ83" s="14">
        <v>2</v>
      </c>
      <c r="CK83" s="110" t="s">
        <v>3934</v>
      </c>
      <c r="CL83" s="14" t="s">
        <v>3898</v>
      </c>
      <c r="CM83" s="111" t="s">
        <v>2940</v>
      </c>
      <c r="CN83" s="111" t="s">
        <v>2941</v>
      </c>
      <c r="CO83" s="233"/>
      <c r="CP83" s="233"/>
      <c r="CQ83" s="233"/>
      <c r="CR83" s="21" t="s">
        <v>3288</v>
      </c>
      <c r="CS83" s="21"/>
      <c r="CT83" s="21"/>
      <c r="CU83" s="14" t="s">
        <v>3669</v>
      </c>
      <c r="CV83" s="14">
        <v>2</v>
      </c>
      <c r="CW83" s="110" t="s">
        <v>3233</v>
      </c>
      <c r="CX83" s="14" t="s">
        <v>3289</v>
      </c>
      <c r="CY83" s="87" t="s">
        <v>3106</v>
      </c>
      <c r="CZ83" s="44" t="s">
        <v>3107</v>
      </c>
      <c r="DA83" s="14"/>
      <c r="DB83" s="21"/>
      <c r="DC83" s="233"/>
      <c r="DD83" s="21" t="s">
        <v>3288</v>
      </c>
      <c r="DE83" s="21"/>
      <c r="DF83" s="21"/>
      <c r="DG83" s="14" t="s">
        <v>3669</v>
      </c>
      <c r="DH83" s="14">
        <v>2</v>
      </c>
      <c r="DI83" s="110" t="s">
        <v>3233</v>
      </c>
      <c r="DJ83" s="14" t="s">
        <v>3289</v>
      </c>
      <c r="DK83" s="87" t="s">
        <v>3106</v>
      </c>
      <c r="DL83" s="44" t="s">
        <v>3107</v>
      </c>
      <c r="DM83" s="14"/>
      <c r="DN83" s="21"/>
      <c r="DO83" s="233"/>
      <c r="DP83" s="21"/>
      <c r="DQ83" s="21"/>
      <c r="DR83" s="14"/>
      <c r="DS83" s="14"/>
      <c r="DT83" s="14"/>
      <c r="DU83" s="110"/>
      <c r="DV83" s="14"/>
      <c r="DW83" s="87"/>
      <c r="DX83" s="87"/>
      <c r="DY83" s="14"/>
      <c r="DZ83" s="233"/>
      <c r="EA83" s="233"/>
      <c r="EB83" s="21" t="s">
        <v>3464</v>
      </c>
      <c r="EC83" s="21"/>
      <c r="ED83" s="14"/>
      <c r="EE83" s="14" t="s">
        <v>5884</v>
      </c>
      <c r="EF83" s="14">
        <v>1</v>
      </c>
      <c r="EG83" s="110" t="s">
        <v>3451</v>
      </c>
      <c r="EH83" s="14" t="s">
        <v>3898</v>
      </c>
      <c r="EI83" s="44" t="s">
        <v>3550</v>
      </c>
      <c r="EJ83" s="44" t="s">
        <v>380</v>
      </c>
      <c r="EK83" s="14"/>
      <c r="EL83" s="233"/>
      <c r="EM83" s="233"/>
      <c r="EN83" s="21" t="s">
        <v>3288</v>
      </c>
      <c r="EO83" s="21"/>
      <c r="EP83" s="21"/>
      <c r="EQ83" s="14" t="s">
        <v>3669</v>
      </c>
      <c r="ER83" s="14">
        <v>2</v>
      </c>
      <c r="ES83" s="110" t="s">
        <v>3233</v>
      </c>
      <c r="ET83" s="14" t="s">
        <v>3289</v>
      </c>
      <c r="EU83" s="87" t="s">
        <v>3106</v>
      </c>
      <c r="EV83" s="44" t="s">
        <v>3107</v>
      </c>
      <c r="EW83" s="14"/>
      <c r="EX83" s="21"/>
      <c r="EY83" s="233"/>
      <c r="EZ83" s="233"/>
      <c r="FA83" s="233"/>
      <c r="FB83" s="233"/>
      <c r="FC83" s="233"/>
      <c r="FD83" s="233"/>
    </row>
    <row r="84" spans="1:160">
      <c r="A84" s="20" t="s">
        <v>3565</v>
      </c>
      <c r="B84" s="14">
        <v>2</v>
      </c>
      <c r="C84" s="14" t="s">
        <v>3622</v>
      </c>
      <c r="D84" s="14">
        <v>2</v>
      </c>
      <c r="E84" s="110" t="s">
        <v>3566</v>
      </c>
      <c r="F84" s="14" t="s">
        <v>3898</v>
      </c>
      <c r="G84" s="44" t="s">
        <v>3765</v>
      </c>
      <c r="H84" s="44" t="s">
        <v>3567</v>
      </c>
      <c r="I84" s="44">
        <v>2</v>
      </c>
      <c r="J84" s="28" t="s">
        <v>3537</v>
      </c>
      <c r="L84" s="21" t="s">
        <v>3604</v>
      </c>
      <c r="M84" s="14"/>
      <c r="N84" s="21"/>
      <c r="O84" s="14" t="s">
        <v>3605</v>
      </c>
      <c r="P84" s="14">
        <v>0</v>
      </c>
      <c r="Q84" s="14" t="s">
        <v>3039</v>
      </c>
      <c r="R84" s="14" t="s">
        <v>3947</v>
      </c>
      <c r="S84" s="44" t="s">
        <v>3753</v>
      </c>
      <c r="T84" s="44" t="s">
        <v>4212</v>
      </c>
      <c r="U84" s="14"/>
      <c r="V84" s="21"/>
      <c r="W84" s="21"/>
      <c r="X84" s="21" t="s">
        <v>2942</v>
      </c>
      <c r="Y84" s="21"/>
      <c r="Z84" s="14"/>
      <c r="AA84" s="14" t="s">
        <v>3605</v>
      </c>
      <c r="AB84" s="14">
        <v>1</v>
      </c>
      <c r="AC84" s="110" t="s">
        <v>3812</v>
      </c>
      <c r="AD84" s="14" t="s">
        <v>3854</v>
      </c>
      <c r="AE84" s="87" t="s">
        <v>3736</v>
      </c>
      <c r="AF84" s="87" t="s">
        <v>3728</v>
      </c>
      <c r="AG84" s="14"/>
      <c r="AH84" s="21"/>
      <c r="AI84" s="21"/>
      <c r="AJ84" s="21" t="s">
        <v>2935</v>
      </c>
      <c r="AK84" s="21"/>
      <c r="AL84" s="14"/>
      <c r="AM84" s="14" t="s">
        <v>3507</v>
      </c>
      <c r="AN84" s="14">
        <v>1</v>
      </c>
      <c r="AO84" s="110" t="s">
        <v>3812</v>
      </c>
      <c r="AP84" s="14" t="s">
        <v>3979</v>
      </c>
      <c r="AQ84" s="87" t="s">
        <v>3911</v>
      </c>
      <c r="AR84" s="87" t="s">
        <v>2936</v>
      </c>
      <c r="AS84" s="14"/>
      <c r="AT84" s="21"/>
      <c r="AU84" s="21"/>
      <c r="AV84" s="21" t="s">
        <v>2937</v>
      </c>
      <c r="AW84" s="21"/>
      <c r="AX84" s="14"/>
      <c r="AY84" s="14" t="s">
        <v>3032</v>
      </c>
      <c r="AZ84" s="14">
        <v>1</v>
      </c>
      <c r="BA84" s="110" t="s">
        <v>3650</v>
      </c>
      <c r="BB84" s="14" t="s">
        <v>4000</v>
      </c>
      <c r="BC84" s="87" t="s">
        <v>3395</v>
      </c>
      <c r="BD84" s="87" t="s">
        <v>2938</v>
      </c>
      <c r="BE84" s="14"/>
      <c r="BF84" s="233"/>
      <c r="BG84" s="14"/>
      <c r="BH84" s="21" t="s">
        <v>3287</v>
      </c>
      <c r="BI84" s="21"/>
      <c r="BJ84" s="14"/>
      <c r="BK84" s="14" t="s">
        <v>3210</v>
      </c>
      <c r="BL84" s="14">
        <v>3</v>
      </c>
      <c r="BM84" s="14" t="s">
        <v>3323</v>
      </c>
      <c r="BN84" s="14" t="s">
        <v>3898</v>
      </c>
      <c r="BO84" s="87" t="s">
        <v>3736</v>
      </c>
      <c r="BP84" s="87" t="s">
        <v>4212</v>
      </c>
      <c r="BQ84" s="14"/>
      <c r="BR84" s="21"/>
      <c r="BS84" s="233"/>
      <c r="BT84" s="21"/>
      <c r="BU84" s="21"/>
      <c r="BV84" s="14"/>
      <c r="BW84" s="14"/>
      <c r="BX84" s="14"/>
      <c r="BY84" s="110"/>
      <c r="BZ84" s="14"/>
      <c r="CA84" s="14"/>
      <c r="CB84" s="87"/>
      <c r="CC84" s="233"/>
      <c r="CD84" s="233"/>
      <c r="CE84" s="233"/>
      <c r="CF84" s="21" t="s">
        <v>3287</v>
      </c>
      <c r="CG84" s="21"/>
      <c r="CH84" s="14"/>
      <c r="CI84" s="14" t="s">
        <v>3210</v>
      </c>
      <c r="CJ84" s="14">
        <v>3</v>
      </c>
      <c r="CK84" s="14" t="s">
        <v>3323</v>
      </c>
      <c r="CL84" s="14" t="s">
        <v>3898</v>
      </c>
      <c r="CM84" s="87" t="s">
        <v>3736</v>
      </c>
      <c r="CN84" s="87" t="s">
        <v>4212</v>
      </c>
      <c r="CO84" s="233"/>
      <c r="CP84" s="233"/>
      <c r="CQ84" s="233"/>
      <c r="CR84" s="21" t="s">
        <v>2942</v>
      </c>
      <c r="CS84" s="21"/>
      <c r="CT84" s="14"/>
      <c r="CU84" s="14" t="s">
        <v>3605</v>
      </c>
      <c r="CV84" s="14">
        <v>1</v>
      </c>
      <c r="CW84" s="110" t="s">
        <v>3812</v>
      </c>
      <c r="CX84" s="14" t="s">
        <v>3854</v>
      </c>
      <c r="CY84" s="87" t="s">
        <v>3736</v>
      </c>
      <c r="CZ84" s="87" t="s">
        <v>3728</v>
      </c>
      <c r="DA84" s="14"/>
      <c r="DB84" s="21"/>
      <c r="DC84" s="233"/>
      <c r="DD84" s="21" t="s">
        <v>2942</v>
      </c>
      <c r="DE84" s="21"/>
      <c r="DF84" s="14"/>
      <c r="DG84" s="14" t="s">
        <v>3605</v>
      </c>
      <c r="DH84" s="14">
        <v>1</v>
      </c>
      <c r="DI84" s="110" t="s">
        <v>3812</v>
      </c>
      <c r="DJ84" s="14" t="s">
        <v>3854</v>
      </c>
      <c r="DK84" s="87" t="s">
        <v>3736</v>
      </c>
      <c r="DL84" s="87" t="s">
        <v>3728</v>
      </c>
      <c r="DM84" s="14"/>
      <c r="DN84" s="21"/>
      <c r="DO84" s="233"/>
      <c r="DP84" s="21"/>
      <c r="DQ84" s="21"/>
      <c r="DR84" s="14"/>
      <c r="DS84" s="14"/>
      <c r="DT84" s="14"/>
      <c r="DU84" s="110"/>
      <c r="DV84" s="14"/>
      <c r="DW84" s="87"/>
      <c r="DX84" s="87"/>
      <c r="DY84" s="14"/>
      <c r="DZ84" s="233"/>
      <c r="EA84" s="233"/>
      <c r="EB84" s="21" t="s">
        <v>2935</v>
      </c>
      <c r="EC84" s="21"/>
      <c r="ED84" s="14"/>
      <c r="EE84" s="14" t="s">
        <v>3507</v>
      </c>
      <c r="EF84" s="14">
        <v>1</v>
      </c>
      <c r="EG84" s="110" t="s">
        <v>3812</v>
      </c>
      <c r="EH84" s="14" t="s">
        <v>3979</v>
      </c>
      <c r="EI84" s="87" t="s">
        <v>3911</v>
      </c>
      <c r="EJ84" s="87" t="s">
        <v>2936</v>
      </c>
      <c r="EK84" s="14"/>
      <c r="EL84" s="233"/>
      <c r="EM84" s="233"/>
      <c r="EN84" s="21" t="s">
        <v>2942</v>
      </c>
      <c r="EO84" s="21"/>
      <c r="EP84" s="14"/>
      <c r="EQ84" s="14" t="s">
        <v>3605</v>
      </c>
      <c r="ER84" s="14">
        <v>1</v>
      </c>
      <c r="ES84" s="110" t="s">
        <v>3812</v>
      </c>
      <c r="ET84" s="14" t="s">
        <v>3854</v>
      </c>
      <c r="EU84" s="87" t="s">
        <v>3736</v>
      </c>
      <c r="EV84" s="87" t="s">
        <v>3728</v>
      </c>
      <c r="EW84" s="14"/>
      <c r="EX84" s="21"/>
      <c r="EY84" s="233"/>
      <c r="EZ84" s="233"/>
      <c r="FA84" s="233"/>
      <c r="FB84" s="233"/>
      <c r="FC84" s="233"/>
      <c r="FD84" s="233"/>
    </row>
    <row r="85" spans="1:160">
      <c r="A85" s="20" t="s">
        <v>3386</v>
      </c>
      <c r="B85" s="14">
        <v>2</v>
      </c>
      <c r="C85" s="14" t="s">
        <v>3387</v>
      </c>
      <c r="D85" s="14">
        <v>3</v>
      </c>
      <c r="E85" s="110" t="s">
        <v>3388</v>
      </c>
      <c r="F85" s="14" t="s">
        <v>3473</v>
      </c>
      <c r="G85" s="44" t="s">
        <v>3389</v>
      </c>
      <c r="H85" s="44" t="s">
        <v>3746</v>
      </c>
      <c r="I85" s="44">
        <v>9</v>
      </c>
      <c r="J85" s="28" t="s">
        <v>4037</v>
      </c>
      <c r="L85" s="21" t="s">
        <v>3099</v>
      </c>
      <c r="M85" s="14"/>
      <c r="N85" s="21"/>
      <c r="O85" s="14" t="s">
        <v>3605</v>
      </c>
      <c r="P85" s="14">
        <v>1</v>
      </c>
      <c r="Q85" s="110" t="s">
        <v>3701</v>
      </c>
      <c r="R85" s="14" t="s">
        <v>3898</v>
      </c>
      <c r="S85" s="44" t="s">
        <v>3753</v>
      </c>
      <c r="T85" s="44" t="s">
        <v>3728</v>
      </c>
      <c r="U85" s="14"/>
      <c r="V85" s="21"/>
      <c r="W85" s="21"/>
      <c r="X85" s="21" t="s">
        <v>2945</v>
      </c>
      <c r="Y85" s="21"/>
      <c r="Z85" s="14"/>
      <c r="AA85" s="14" t="s">
        <v>3605</v>
      </c>
      <c r="AB85" s="14">
        <v>3</v>
      </c>
      <c r="AC85" s="110" t="s">
        <v>3701</v>
      </c>
      <c r="AD85" s="14" t="s">
        <v>3898</v>
      </c>
      <c r="AE85" s="87" t="s">
        <v>3651</v>
      </c>
      <c r="AF85" s="87" t="s">
        <v>3728</v>
      </c>
      <c r="AG85" s="14"/>
      <c r="AH85" s="21"/>
      <c r="AI85" s="21"/>
      <c r="AJ85" s="21" t="s">
        <v>499</v>
      </c>
      <c r="AK85" s="21"/>
      <c r="AL85" s="14"/>
      <c r="AM85" s="14" t="s">
        <v>5885</v>
      </c>
      <c r="AN85" s="14">
        <v>1</v>
      </c>
      <c r="AO85" s="110" t="s">
        <v>3451</v>
      </c>
      <c r="AP85" s="14" t="s">
        <v>3931</v>
      </c>
      <c r="AQ85" s="111" t="s">
        <v>3736</v>
      </c>
      <c r="AR85" s="111" t="s">
        <v>4209</v>
      </c>
      <c r="AS85" s="44"/>
      <c r="AT85" s="21"/>
      <c r="AU85" s="21"/>
      <c r="AV85" s="21"/>
      <c r="AW85" s="21"/>
      <c r="AX85" s="14"/>
      <c r="AY85" s="14"/>
      <c r="AZ85" s="14"/>
      <c r="BA85" s="110"/>
      <c r="BB85" s="14"/>
      <c r="BC85" s="14"/>
      <c r="BD85" s="87"/>
      <c r="BE85" s="14"/>
      <c r="BF85" s="233"/>
      <c r="BG85" s="14"/>
      <c r="BH85" s="21" t="s">
        <v>500</v>
      </c>
      <c r="BI85" s="14"/>
      <c r="BJ85" s="14"/>
      <c r="BK85" s="14" t="s">
        <v>501</v>
      </c>
      <c r="BL85" s="14">
        <v>1</v>
      </c>
      <c r="BM85" s="110" t="s">
        <v>3749</v>
      </c>
      <c r="BN85" s="14" t="s">
        <v>3898</v>
      </c>
      <c r="BO85" s="44" t="s">
        <v>3859</v>
      </c>
      <c r="BP85" s="44" t="s">
        <v>2484</v>
      </c>
      <c r="BQ85" s="233"/>
      <c r="BR85" s="233"/>
      <c r="BS85" s="233"/>
      <c r="BT85" s="21"/>
      <c r="BU85" s="21"/>
      <c r="BV85" s="14"/>
      <c r="BW85" s="14"/>
      <c r="BX85" s="14"/>
      <c r="BY85" s="110"/>
      <c r="BZ85" s="14"/>
      <c r="CA85" s="14"/>
      <c r="CB85" s="87"/>
      <c r="CC85" s="233"/>
      <c r="CD85" s="233"/>
      <c r="CE85" s="233"/>
      <c r="CF85" s="21" t="s">
        <v>500</v>
      </c>
      <c r="CG85" s="14"/>
      <c r="CH85" s="14"/>
      <c r="CI85" s="14" t="s">
        <v>501</v>
      </c>
      <c r="CJ85" s="14">
        <v>1</v>
      </c>
      <c r="CK85" s="110" t="s">
        <v>3749</v>
      </c>
      <c r="CL85" s="14" t="s">
        <v>3898</v>
      </c>
      <c r="CM85" s="44" t="s">
        <v>3859</v>
      </c>
      <c r="CN85" s="44" t="s">
        <v>2484</v>
      </c>
      <c r="CO85" s="233"/>
      <c r="CP85" s="233"/>
      <c r="CQ85" s="233"/>
      <c r="CR85" s="21" t="s">
        <v>2945</v>
      </c>
      <c r="CS85" s="21"/>
      <c r="CT85" s="14"/>
      <c r="CU85" s="14" t="s">
        <v>3605</v>
      </c>
      <c r="CV85" s="14">
        <v>3</v>
      </c>
      <c r="CW85" s="110" t="s">
        <v>3701</v>
      </c>
      <c r="CX85" s="14" t="s">
        <v>3898</v>
      </c>
      <c r="CY85" s="87" t="s">
        <v>3651</v>
      </c>
      <c r="CZ85" s="87" t="s">
        <v>3728</v>
      </c>
      <c r="DA85" s="14"/>
      <c r="DB85" s="21"/>
      <c r="DC85" s="233"/>
      <c r="DD85" s="21" t="s">
        <v>2945</v>
      </c>
      <c r="DE85" s="21"/>
      <c r="DF85" s="14"/>
      <c r="DG85" s="14" t="s">
        <v>3605</v>
      </c>
      <c r="DH85" s="14">
        <v>3</v>
      </c>
      <c r="DI85" s="110" t="s">
        <v>3701</v>
      </c>
      <c r="DJ85" s="14" t="s">
        <v>3898</v>
      </c>
      <c r="DK85" s="87" t="s">
        <v>3651</v>
      </c>
      <c r="DL85" s="87" t="s">
        <v>3728</v>
      </c>
      <c r="DM85" s="14"/>
      <c r="DN85" s="21"/>
      <c r="DO85" s="233"/>
      <c r="DP85" s="21"/>
      <c r="DQ85" s="21"/>
      <c r="DR85" s="14"/>
      <c r="DS85" s="14"/>
      <c r="DT85" s="14"/>
      <c r="DU85" s="110"/>
      <c r="DV85" s="14"/>
      <c r="DW85" s="14"/>
      <c r="DX85" s="87"/>
      <c r="DY85" s="14"/>
      <c r="DZ85" s="233"/>
      <c r="EA85" s="233"/>
      <c r="EB85" s="21" t="s">
        <v>499</v>
      </c>
      <c r="EC85" s="21"/>
      <c r="ED85" s="14"/>
      <c r="EE85" s="14" t="s">
        <v>5885</v>
      </c>
      <c r="EF85" s="14">
        <v>1</v>
      </c>
      <c r="EG85" s="110" t="s">
        <v>3451</v>
      </c>
      <c r="EH85" s="14" t="s">
        <v>3931</v>
      </c>
      <c r="EI85" s="111" t="s">
        <v>3736</v>
      </c>
      <c r="EJ85" s="111" t="s">
        <v>4209</v>
      </c>
      <c r="EK85" s="14"/>
      <c r="EL85" s="233"/>
      <c r="EM85" s="233"/>
      <c r="EN85" s="21" t="s">
        <v>2945</v>
      </c>
      <c r="EO85" s="21"/>
      <c r="EP85" s="14"/>
      <c r="EQ85" s="14" t="s">
        <v>3605</v>
      </c>
      <c r="ER85" s="14">
        <v>3</v>
      </c>
      <c r="ES85" s="110" t="s">
        <v>3701</v>
      </c>
      <c r="ET85" s="14" t="s">
        <v>3898</v>
      </c>
      <c r="EU85" s="87" t="s">
        <v>3651</v>
      </c>
      <c r="EV85" s="87" t="s">
        <v>3728</v>
      </c>
      <c r="EW85" s="14"/>
      <c r="EX85" s="21"/>
      <c r="EY85" s="233"/>
      <c r="EZ85" s="233"/>
      <c r="FA85" s="233"/>
      <c r="FB85" s="233"/>
      <c r="FC85" s="233"/>
      <c r="FD85" s="233"/>
    </row>
    <row r="86" spans="1:160">
      <c r="A86" s="20" t="s">
        <v>3757</v>
      </c>
      <c r="B86" s="14">
        <v>2</v>
      </c>
      <c r="C86" s="14" t="s">
        <v>3546</v>
      </c>
      <c r="D86" s="14">
        <v>2</v>
      </c>
      <c r="E86" s="110" t="s">
        <v>4211</v>
      </c>
      <c r="F86" s="14" t="s">
        <v>3898</v>
      </c>
      <c r="G86" s="44" t="s">
        <v>3758</v>
      </c>
      <c r="H86" s="44" t="s">
        <v>3915</v>
      </c>
      <c r="I86" s="44" t="s">
        <v>3916</v>
      </c>
      <c r="J86" s="28" t="s">
        <v>4946</v>
      </c>
      <c r="L86" s="21" t="s">
        <v>2942</v>
      </c>
      <c r="M86" s="14"/>
      <c r="N86" s="21"/>
      <c r="O86" s="14" t="s">
        <v>3605</v>
      </c>
      <c r="P86" s="14">
        <v>1</v>
      </c>
      <c r="Q86" s="110" t="s">
        <v>3812</v>
      </c>
      <c r="R86" s="14" t="s">
        <v>3854</v>
      </c>
      <c r="S86" s="44" t="s">
        <v>3736</v>
      </c>
      <c r="T86" s="44" t="s">
        <v>3728</v>
      </c>
      <c r="U86" s="14"/>
      <c r="V86" s="21"/>
      <c r="W86" s="21"/>
      <c r="X86" s="21" t="s">
        <v>2950</v>
      </c>
      <c r="Y86" s="21"/>
      <c r="Z86" s="14"/>
      <c r="AA86" s="14" t="s">
        <v>3685</v>
      </c>
      <c r="AB86" s="14">
        <v>2</v>
      </c>
      <c r="AC86" s="110" t="s">
        <v>3233</v>
      </c>
      <c r="AD86" s="14" t="s">
        <v>3914</v>
      </c>
      <c r="AE86" s="87" t="s">
        <v>3120</v>
      </c>
      <c r="AF86" s="87" t="s">
        <v>3121</v>
      </c>
      <c r="AG86" s="14"/>
      <c r="AH86" s="21"/>
      <c r="AI86" s="21"/>
      <c r="AJ86" s="21" t="s">
        <v>2943</v>
      </c>
      <c r="AK86" s="21"/>
      <c r="AL86" s="14"/>
      <c r="AM86" s="14" t="s">
        <v>2944</v>
      </c>
      <c r="AN86" s="14" t="s">
        <v>5036</v>
      </c>
      <c r="AO86" s="110" t="s">
        <v>3841</v>
      </c>
      <c r="AP86" s="14" t="s">
        <v>3716</v>
      </c>
      <c r="AQ86" s="87" t="s">
        <v>3843</v>
      </c>
      <c r="AR86" s="87" t="s">
        <v>3488</v>
      </c>
      <c r="AS86" s="14"/>
      <c r="AT86" s="21"/>
      <c r="AU86" s="21"/>
      <c r="AV86" s="21"/>
      <c r="AW86" s="21"/>
      <c r="AX86" s="14"/>
      <c r="AY86" s="14"/>
      <c r="AZ86" s="14"/>
      <c r="BA86" s="110"/>
      <c r="BB86" s="14"/>
      <c r="BC86" s="14"/>
      <c r="BD86" s="87"/>
      <c r="BE86" s="14"/>
      <c r="BF86" s="233"/>
      <c r="BG86" s="14"/>
      <c r="BH86" s="21" t="s">
        <v>2947</v>
      </c>
      <c r="BI86" s="21"/>
      <c r="BJ86" s="14"/>
      <c r="BK86" s="14" t="s">
        <v>2948</v>
      </c>
      <c r="BL86" s="14">
        <v>1</v>
      </c>
      <c r="BM86" s="110" t="s">
        <v>2949</v>
      </c>
      <c r="BN86" s="14" t="s">
        <v>3898</v>
      </c>
      <c r="BO86" s="87" t="s">
        <v>3378</v>
      </c>
      <c r="BP86" s="87" t="s">
        <v>4212</v>
      </c>
      <c r="BQ86" s="14"/>
      <c r="BR86" s="21"/>
      <c r="BS86" s="233"/>
      <c r="BT86" s="21"/>
      <c r="BU86" s="21"/>
      <c r="BV86" s="14"/>
      <c r="BW86" s="14"/>
      <c r="BX86" s="14"/>
      <c r="BY86" s="110"/>
      <c r="BZ86" s="14"/>
      <c r="CA86" s="14"/>
      <c r="CB86" s="87"/>
      <c r="CC86" s="233"/>
      <c r="CD86" s="233"/>
      <c r="CE86" s="233"/>
      <c r="CF86" s="21" t="s">
        <v>2947</v>
      </c>
      <c r="CG86" s="21"/>
      <c r="CH86" s="14"/>
      <c r="CI86" s="14" t="s">
        <v>2948</v>
      </c>
      <c r="CJ86" s="14">
        <v>1</v>
      </c>
      <c r="CK86" s="110" t="s">
        <v>2949</v>
      </c>
      <c r="CL86" s="14" t="s">
        <v>3898</v>
      </c>
      <c r="CM86" s="87" t="s">
        <v>3378</v>
      </c>
      <c r="CN86" s="87" t="s">
        <v>4212</v>
      </c>
      <c r="CO86" s="233"/>
      <c r="CP86" s="233"/>
      <c r="CQ86" s="233"/>
      <c r="CR86" s="21" t="s">
        <v>2950</v>
      </c>
      <c r="CS86" s="21"/>
      <c r="CT86" s="14"/>
      <c r="CU86" s="14" t="s">
        <v>3685</v>
      </c>
      <c r="CV86" s="14">
        <v>2</v>
      </c>
      <c r="CW86" s="110" t="s">
        <v>3233</v>
      </c>
      <c r="CX86" s="14" t="s">
        <v>3914</v>
      </c>
      <c r="CY86" s="87" t="s">
        <v>3120</v>
      </c>
      <c r="CZ86" s="87" t="s">
        <v>3121</v>
      </c>
      <c r="DA86" s="14"/>
      <c r="DB86" s="21"/>
      <c r="DC86" s="233"/>
      <c r="DD86" s="21" t="s">
        <v>2950</v>
      </c>
      <c r="DE86" s="21"/>
      <c r="DF86" s="14"/>
      <c r="DG86" s="14" t="s">
        <v>3685</v>
      </c>
      <c r="DH86" s="14">
        <v>2</v>
      </c>
      <c r="DI86" s="110" t="s">
        <v>3233</v>
      </c>
      <c r="DJ86" s="14" t="s">
        <v>3914</v>
      </c>
      <c r="DK86" s="87" t="s">
        <v>3120</v>
      </c>
      <c r="DL86" s="87" t="s">
        <v>3121</v>
      </c>
      <c r="DM86" s="14"/>
      <c r="DN86" s="21"/>
      <c r="DO86" s="233"/>
      <c r="DP86" s="21"/>
      <c r="DQ86" s="21"/>
      <c r="DR86" s="14"/>
      <c r="DS86" s="14"/>
      <c r="DT86" s="14"/>
      <c r="DU86" s="110"/>
      <c r="DV86" s="14"/>
      <c r="DW86" s="14"/>
      <c r="DX86" s="87"/>
      <c r="DY86" s="14"/>
      <c r="DZ86" s="233"/>
      <c r="EA86" s="233"/>
      <c r="EB86" s="21" t="s">
        <v>2943</v>
      </c>
      <c r="EC86" s="21"/>
      <c r="ED86" s="14"/>
      <c r="EE86" s="14" t="s">
        <v>2944</v>
      </c>
      <c r="EF86" s="14" t="s">
        <v>5036</v>
      </c>
      <c r="EG86" s="110" t="s">
        <v>3841</v>
      </c>
      <c r="EH86" s="14" t="s">
        <v>3716</v>
      </c>
      <c r="EI86" s="87" t="s">
        <v>3843</v>
      </c>
      <c r="EJ86" s="87" t="s">
        <v>3488</v>
      </c>
      <c r="EK86" s="14"/>
      <c r="EL86" s="233"/>
      <c r="EM86" s="233"/>
      <c r="EN86" s="21" t="s">
        <v>2950</v>
      </c>
      <c r="EO86" s="21"/>
      <c r="EP86" s="14"/>
      <c r="EQ86" s="14" t="s">
        <v>3685</v>
      </c>
      <c r="ER86" s="14">
        <v>2</v>
      </c>
      <c r="ES86" s="110" t="s">
        <v>3233</v>
      </c>
      <c r="ET86" s="14" t="s">
        <v>3914</v>
      </c>
      <c r="EU86" s="87" t="s">
        <v>3120</v>
      </c>
      <c r="EV86" s="87" t="s">
        <v>3121</v>
      </c>
      <c r="EW86" s="14"/>
      <c r="EX86" s="21"/>
      <c r="EY86" s="233"/>
      <c r="EZ86" s="233"/>
      <c r="FA86" s="233"/>
      <c r="FB86" s="233"/>
      <c r="FC86" s="233"/>
      <c r="FD86" s="233"/>
    </row>
    <row r="87" spans="1:160">
      <c r="A87" s="20" t="s">
        <v>3562</v>
      </c>
      <c r="B87" s="14">
        <v>2</v>
      </c>
      <c r="C87" s="14" t="s">
        <v>3542</v>
      </c>
      <c r="D87" s="14">
        <v>1</v>
      </c>
      <c r="E87" s="110" t="s">
        <v>3569</v>
      </c>
      <c r="F87" s="14" t="s">
        <v>3563</v>
      </c>
      <c r="G87" s="44" t="s">
        <v>3550</v>
      </c>
      <c r="H87" s="44" t="s">
        <v>3746</v>
      </c>
      <c r="I87" s="44" t="s">
        <v>3900</v>
      </c>
      <c r="J87" s="28" t="s">
        <v>4369</v>
      </c>
      <c r="L87" s="21" t="s">
        <v>2947</v>
      </c>
      <c r="M87" s="14"/>
      <c r="N87" s="21"/>
      <c r="O87" s="14" t="s">
        <v>2948</v>
      </c>
      <c r="P87" s="14">
        <v>1</v>
      </c>
      <c r="Q87" s="110" t="s">
        <v>2949</v>
      </c>
      <c r="R87" s="14" t="s">
        <v>3898</v>
      </c>
      <c r="S87" s="44" t="s">
        <v>3378</v>
      </c>
      <c r="T87" s="44" t="s">
        <v>4212</v>
      </c>
      <c r="U87" s="14"/>
      <c r="V87" s="21"/>
      <c r="W87" s="21"/>
      <c r="X87" s="21" t="s">
        <v>3123</v>
      </c>
      <c r="Y87" s="21"/>
      <c r="Z87" s="14"/>
      <c r="AA87" s="14" t="s">
        <v>3685</v>
      </c>
      <c r="AB87" s="14">
        <v>1</v>
      </c>
      <c r="AC87" s="110" t="s">
        <v>3124</v>
      </c>
      <c r="AD87" s="14" t="s">
        <v>3914</v>
      </c>
      <c r="AE87" s="87" t="s">
        <v>3747</v>
      </c>
      <c r="AF87" s="87" t="s">
        <v>3125</v>
      </c>
      <c r="AG87" s="14"/>
      <c r="AH87" s="21"/>
      <c r="AI87" s="21"/>
      <c r="AJ87" s="21" t="s">
        <v>2946</v>
      </c>
      <c r="AK87" s="21"/>
      <c r="AL87" s="14"/>
      <c r="AM87" s="14" t="s">
        <v>3794</v>
      </c>
      <c r="AN87" s="14">
        <v>1</v>
      </c>
      <c r="AO87" s="110" t="s">
        <v>3526</v>
      </c>
      <c r="AP87" s="14" t="s">
        <v>3931</v>
      </c>
      <c r="AQ87" s="87" t="s">
        <v>3765</v>
      </c>
      <c r="AR87" s="87" t="s">
        <v>3728</v>
      </c>
      <c r="AS87" s="14"/>
      <c r="AT87" s="21"/>
      <c r="AU87" s="21"/>
      <c r="AV87" s="21"/>
      <c r="AW87" s="21"/>
      <c r="AX87" s="14"/>
      <c r="AY87" s="14"/>
      <c r="AZ87" s="14"/>
      <c r="BA87" s="110"/>
      <c r="BB87" s="14"/>
      <c r="BC87" s="14"/>
      <c r="BD87" s="87"/>
      <c r="BE87" s="14"/>
      <c r="BF87" s="233"/>
      <c r="BG87" s="14"/>
      <c r="BH87" s="21" t="s">
        <v>3122</v>
      </c>
      <c r="BI87" s="21"/>
      <c r="BJ87" s="14"/>
      <c r="BK87" s="14" t="s">
        <v>2948</v>
      </c>
      <c r="BL87" s="14">
        <v>1</v>
      </c>
      <c r="BM87" s="110" t="s">
        <v>3792</v>
      </c>
      <c r="BN87" s="14" t="s">
        <v>3573</v>
      </c>
      <c r="BO87" s="87" t="s">
        <v>3550</v>
      </c>
      <c r="BP87" s="87" t="s">
        <v>3488</v>
      </c>
      <c r="BQ87" s="14"/>
      <c r="BR87" s="21"/>
      <c r="BS87" s="233"/>
      <c r="BT87" s="21"/>
      <c r="BU87" s="21"/>
      <c r="BV87" s="14"/>
      <c r="BW87" s="14"/>
      <c r="BX87" s="14"/>
      <c r="BY87" s="110"/>
      <c r="BZ87" s="14"/>
      <c r="CA87" s="14"/>
      <c r="CB87" s="87"/>
      <c r="CC87" s="233"/>
      <c r="CD87" s="233"/>
      <c r="CE87" s="233"/>
      <c r="CF87" s="21" t="s">
        <v>3122</v>
      </c>
      <c r="CG87" s="21"/>
      <c r="CH87" s="14"/>
      <c r="CI87" s="14" t="s">
        <v>2948</v>
      </c>
      <c r="CJ87" s="14">
        <v>1</v>
      </c>
      <c r="CK87" s="110" t="s">
        <v>3792</v>
      </c>
      <c r="CL87" s="14" t="s">
        <v>3573</v>
      </c>
      <c r="CM87" s="87" t="s">
        <v>3550</v>
      </c>
      <c r="CN87" s="87" t="s">
        <v>3488</v>
      </c>
      <c r="CO87" s="233"/>
      <c r="CP87" s="233"/>
      <c r="CQ87" s="233"/>
      <c r="CR87" s="21" t="s">
        <v>3123</v>
      </c>
      <c r="CS87" s="21"/>
      <c r="CT87" s="14"/>
      <c r="CU87" s="14" t="s">
        <v>3685</v>
      </c>
      <c r="CV87" s="14">
        <v>1</v>
      </c>
      <c r="CW87" s="110" t="s">
        <v>3124</v>
      </c>
      <c r="CX87" s="14" t="s">
        <v>3914</v>
      </c>
      <c r="CY87" s="87" t="s">
        <v>3747</v>
      </c>
      <c r="CZ87" s="87" t="s">
        <v>3125</v>
      </c>
      <c r="DA87" s="14"/>
      <c r="DB87" s="21"/>
      <c r="DC87" s="233"/>
      <c r="DD87" s="21" t="s">
        <v>3123</v>
      </c>
      <c r="DE87" s="21"/>
      <c r="DF87" s="14"/>
      <c r="DG87" s="14" t="s">
        <v>3685</v>
      </c>
      <c r="DH87" s="14">
        <v>1</v>
      </c>
      <c r="DI87" s="110" t="s">
        <v>3124</v>
      </c>
      <c r="DJ87" s="14" t="s">
        <v>3914</v>
      </c>
      <c r="DK87" s="87" t="s">
        <v>3747</v>
      </c>
      <c r="DL87" s="87" t="s">
        <v>3125</v>
      </c>
      <c r="DM87" s="14"/>
      <c r="DN87" s="21"/>
      <c r="DO87" s="233"/>
      <c r="DP87" s="21"/>
      <c r="DQ87" s="21"/>
      <c r="DR87" s="14"/>
      <c r="DS87" s="14"/>
      <c r="DT87" s="14"/>
      <c r="DU87" s="110"/>
      <c r="DV87" s="14"/>
      <c r="DW87" s="14"/>
      <c r="DX87" s="87"/>
      <c r="DY87" s="14"/>
      <c r="DZ87" s="233"/>
      <c r="EA87" s="233"/>
      <c r="EB87" s="21" t="s">
        <v>2946</v>
      </c>
      <c r="EC87" s="21"/>
      <c r="ED87" s="14"/>
      <c r="EE87" s="14" t="s">
        <v>3794</v>
      </c>
      <c r="EF87" s="14">
        <v>1</v>
      </c>
      <c r="EG87" s="110" t="s">
        <v>3526</v>
      </c>
      <c r="EH87" s="14" t="s">
        <v>3931</v>
      </c>
      <c r="EI87" s="87" t="s">
        <v>3765</v>
      </c>
      <c r="EJ87" s="87" t="s">
        <v>3728</v>
      </c>
      <c r="EK87" s="14"/>
      <c r="EL87" s="233"/>
      <c r="EM87" s="233"/>
      <c r="EN87" s="21" t="s">
        <v>3123</v>
      </c>
      <c r="EO87" s="21"/>
      <c r="EP87" s="14"/>
      <c r="EQ87" s="14" t="s">
        <v>3685</v>
      </c>
      <c r="ER87" s="14">
        <v>1</v>
      </c>
      <c r="ES87" s="110" t="s">
        <v>3124</v>
      </c>
      <c r="ET87" s="14" t="s">
        <v>3914</v>
      </c>
      <c r="EU87" s="87" t="s">
        <v>3747</v>
      </c>
      <c r="EV87" s="87" t="s">
        <v>3125</v>
      </c>
      <c r="EW87" s="14"/>
      <c r="EX87" s="21"/>
      <c r="EY87" s="233"/>
      <c r="EZ87" s="233"/>
      <c r="FA87" s="233"/>
      <c r="FB87" s="233"/>
      <c r="FC87" s="233"/>
      <c r="FD87" s="233"/>
    </row>
    <row r="88" spans="1:160">
      <c r="A88" s="20" t="s">
        <v>394</v>
      </c>
      <c r="B88" s="14">
        <v>2</v>
      </c>
      <c r="C88" s="14" t="s">
        <v>3564</v>
      </c>
      <c r="D88" s="14">
        <v>2</v>
      </c>
      <c r="E88" s="110" t="s">
        <v>3715</v>
      </c>
      <c r="F88" s="14" t="s">
        <v>3716</v>
      </c>
      <c r="G88" s="44" t="s">
        <v>3730</v>
      </c>
      <c r="H88" s="44" t="s">
        <v>3728</v>
      </c>
      <c r="I88" s="44" t="s">
        <v>3419</v>
      </c>
      <c r="J88" s="28" t="s">
        <v>5232</v>
      </c>
      <c r="L88" s="21" t="s">
        <v>2946</v>
      </c>
      <c r="M88" s="14"/>
      <c r="N88" s="21"/>
      <c r="O88" s="14" t="s">
        <v>3794</v>
      </c>
      <c r="P88" s="14">
        <v>1</v>
      </c>
      <c r="Q88" s="110" t="s">
        <v>3526</v>
      </c>
      <c r="R88" s="14" t="s">
        <v>3931</v>
      </c>
      <c r="S88" s="44" t="s">
        <v>3765</v>
      </c>
      <c r="T88" s="44" t="s">
        <v>3728</v>
      </c>
      <c r="U88" s="21"/>
      <c r="V88" s="21"/>
      <c r="W88" s="21"/>
      <c r="X88" s="21" t="s">
        <v>3308</v>
      </c>
      <c r="Y88" s="21"/>
      <c r="Z88" s="14"/>
      <c r="AA88" s="14" t="s">
        <v>3685</v>
      </c>
      <c r="AB88" s="14">
        <v>2</v>
      </c>
      <c r="AC88" s="110" t="s">
        <v>3309</v>
      </c>
      <c r="AD88" s="14" t="s">
        <v>3854</v>
      </c>
      <c r="AE88" s="87" t="s">
        <v>3759</v>
      </c>
      <c r="AF88" s="87" t="s">
        <v>3728</v>
      </c>
      <c r="AG88" s="21"/>
      <c r="AH88" s="21"/>
      <c r="AI88" s="21"/>
      <c r="AJ88" s="21"/>
      <c r="AK88" s="21"/>
      <c r="AL88" s="21"/>
      <c r="AM88" s="14"/>
      <c r="AN88" s="14"/>
      <c r="AO88" s="14"/>
      <c r="AP88" s="14"/>
      <c r="AQ88" s="14"/>
      <c r="AR88" s="87"/>
      <c r="AS88" s="21"/>
      <c r="AT88" s="21"/>
      <c r="AU88" s="21"/>
      <c r="AV88" s="21"/>
      <c r="AW88" s="21"/>
      <c r="AX88" s="21"/>
      <c r="AY88" s="14"/>
      <c r="AZ88" s="14"/>
      <c r="BA88" s="14"/>
      <c r="BB88" s="14"/>
      <c r="BC88" s="14"/>
      <c r="BD88" s="87"/>
      <c r="BE88" s="21"/>
      <c r="BF88" s="233"/>
      <c r="BG88" s="14"/>
      <c r="BH88" s="21" t="s">
        <v>3126</v>
      </c>
      <c r="BI88" s="21"/>
      <c r="BJ88" s="14"/>
      <c r="BK88" s="14" t="s">
        <v>3127</v>
      </c>
      <c r="BL88" s="14">
        <v>2</v>
      </c>
      <c r="BM88" s="110" t="s">
        <v>3701</v>
      </c>
      <c r="BN88" s="14" t="s">
        <v>3898</v>
      </c>
      <c r="BO88" s="87" t="s">
        <v>3901</v>
      </c>
      <c r="BP88" s="87" t="s">
        <v>3859</v>
      </c>
      <c r="BQ88" s="21"/>
      <c r="BR88" s="21"/>
      <c r="BS88" s="233"/>
      <c r="BT88" s="21"/>
      <c r="BU88" s="21"/>
      <c r="BV88" s="21"/>
      <c r="BW88" s="14"/>
      <c r="BX88" s="14"/>
      <c r="BY88" s="14"/>
      <c r="BZ88" s="14"/>
      <c r="CA88" s="14"/>
      <c r="CB88" s="87"/>
      <c r="CC88" s="233"/>
      <c r="CD88" s="233"/>
      <c r="CE88" s="233"/>
      <c r="CF88" s="21" t="s">
        <v>3126</v>
      </c>
      <c r="CG88" s="21"/>
      <c r="CH88" s="14"/>
      <c r="CI88" s="14" t="s">
        <v>3127</v>
      </c>
      <c r="CJ88" s="14">
        <v>2</v>
      </c>
      <c r="CK88" s="110" t="s">
        <v>3701</v>
      </c>
      <c r="CL88" s="14" t="s">
        <v>3898</v>
      </c>
      <c r="CM88" s="87" t="s">
        <v>3901</v>
      </c>
      <c r="CN88" s="87" t="s">
        <v>3859</v>
      </c>
      <c r="CO88" s="233"/>
      <c r="CP88" s="233"/>
      <c r="CQ88" s="233"/>
      <c r="CR88" s="21" t="s">
        <v>3308</v>
      </c>
      <c r="CS88" s="21"/>
      <c r="CT88" s="14"/>
      <c r="CU88" s="14" t="s">
        <v>3685</v>
      </c>
      <c r="CV88" s="14">
        <v>2</v>
      </c>
      <c r="CW88" s="110" t="s">
        <v>3309</v>
      </c>
      <c r="CX88" s="14" t="s">
        <v>3854</v>
      </c>
      <c r="CY88" s="87" t="s">
        <v>3759</v>
      </c>
      <c r="CZ88" s="87" t="s">
        <v>3728</v>
      </c>
      <c r="DA88" s="21"/>
      <c r="DB88" s="21"/>
      <c r="DC88" s="233"/>
      <c r="DD88" s="21" t="s">
        <v>3308</v>
      </c>
      <c r="DE88" s="21"/>
      <c r="DF88" s="14"/>
      <c r="DG88" s="14" t="s">
        <v>3685</v>
      </c>
      <c r="DH88" s="14">
        <v>2</v>
      </c>
      <c r="DI88" s="110" t="s">
        <v>3309</v>
      </c>
      <c r="DJ88" s="14" t="s">
        <v>3854</v>
      </c>
      <c r="DK88" s="87" t="s">
        <v>3759</v>
      </c>
      <c r="DL88" s="87" t="s">
        <v>3728</v>
      </c>
      <c r="DM88" s="21"/>
      <c r="DN88" s="21"/>
      <c r="DO88" s="233"/>
      <c r="DP88" s="21"/>
      <c r="DQ88" s="21"/>
      <c r="DR88" s="21"/>
      <c r="DS88" s="14"/>
      <c r="DT88" s="14"/>
      <c r="DU88" s="14"/>
      <c r="DV88" s="14"/>
      <c r="DW88" s="14"/>
      <c r="DX88" s="87"/>
      <c r="DY88" s="21"/>
      <c r="DZ88" s="233"/>
      <c r="EA88" s="233"/>
      <c r="EB88" s="21"/>
      <c r="EC88" s="21"/>
      <c r="ED88" s="21"/>
      <c r="EE88" s="14"/>
      <c r="EF88" s="14"/>
      <c r="EG88" s="14"/>
      <c r="EH88" s="14"/>
      <c r="EI88" s="14"/>
      <c r="EJ88" s="87"/>
      <c r="EK88" s="21"/>
      <c r="EL88" s="233"/>
      <c r="EM88" s="233"/>
      <c r="EN88" s="21" t="s">
        <v>3308</v>
      </c>
      <c r="EO88" s="21"/>
      <c r="EP88" s="14"/>
      <c r="EQ88" s="14" t="s">
        <v>3685</v>
      </c>
      <c r="ER88" s="14">
        <v>2</v>
      </c>
      <c r="ES88" s="110" t="s">
        <v>3309</v>
      </c>
      <c r="ET88" s="14" t="s">
        <v>3854</v>
      </c>
      <c r="EU88" s="87" t="s">
        <v>3759</v>
      </c>
      <c r="EV88" s="87" t="s">
        <v>3728</v>
      </c>
      <c r="EW88" s="21"/>
      <c r="EX88" s="21"/>
      <c r="EY88" s="233"/>
      <c r="EZ88" s="233"/>
      <c r="FA88" s="233"/>
      <c r="FB88" s="233"/>
      <c r="FC88" s="233"/>
      <c r="FD88" s="233"/>
    </row>
    <row r="89" spans="1:160">
      <c r="A89" s="20" t="s">
        <v>591</v>
      </c>
      <c r="B89" s="14">
        <v>2</v>
      </c>
      <c r="C89" s="14" t="s">
        <v>3564</v>
      </c>
      <c r="D89" s="14">
        <v>2</v>
      </c>
      <c r="E89" s="110" t="s">
        <v>3715</v>
      </c>
      <c r="F89" s="14" t="s">
        <v>3716</v>
      </c>
      <c r="G89" s="44" t="s">
        <v>3730</v>
      </c>
      <c r="H89" s="44" t="s">
        <v>3728</v>
      </c>
      <c r="I89" s="44" t="s">
        <v>3419</v>
      </c>
      <c r="J89" s="28" t="s">
        <v>4447</v>
      </c>
      <c r="L89" s="26" t="s">
        <v>5026</v>
      </c>
      <c r="M89" s="21"/>
      <c r="N89" s="108" t="s">
        <v>5018</v>
      </c>
      <c r="O89" s="108" t="s">
        <v>5701</v>
      </c>
      <c r="P89" s="108" t="s">
        <v>5019</v>
      </c>
      <c r="Q89" s="108" t="s">
        <v>5020</v>
      </c>
      <c r="R89" s="108" t="s">
        <v>5021</v>
      </c>
      <c r="S89" s="108" t="s">
        <v>5022</v>
      </c>
      <c r="T89" s="282" t="s">
        <v>5316</v>
      </c>
      <c r="U89" s="26"/>
      <c r="V89" s="21"/>
      <c r="W89" s="21"/>
      <c r="X89" s="26" t="s">
        <v>5026</v>
      </c>
      <c r="Y89" s="21"/>
      <c r="Z89" s="108" t="s">
        <v>5018</v>
      </c>
      <c r="AA89" s="108" t="s">
        <v>5701</v>
      </c>
      <c r="AB89" s="108" t="s">
        <v>5019</v>
      </c>
      <c r="AC89" s="108" t="s">
        <v>5020</v>
      </c>
      <c r="AD89" s="108" t="s">
        <v>5021</v>
      </c>
      <c r="AE89" s="108" t="s">
        <v>5022</v>
      </c>
      <c r="AF89" s="282" t="s">
        <v>5316</v>
      </c>
      <c r="AG89" s="26"/>
      <c r="AH89" s="21"/>
      <c r="AI89" s="21"/>
      <c r="AJ89" s="26" t="s">
        <v>5026</v>
      </c>
      <c r="AK89" s="21"/>
      <c r="AL89" s="108" t="s">
        <v>5018</v>
      </c>
      <c r="AM89" s="108" t="s">
        <v>5701</v>
      </c>
      <c r="AN89" s="108" t="s">
        <v>5019</v>
      </c>
      <c r="AO89" s="108" t="s">
        <v>5020</v>
      </c>
      <c r="AP89" s="108" t="s">
        <v>5021</v>
      </c>
      <c r="AQ89" s="108" t="s">
        <v>5022</v>
      </c>
      <c r="AR89" s="282" t="s">
        <v>5316</v>
      </c>
      <c r="AS89" s="26"/>
      <c r="AT89" s="21"/>
      <c r="AU89" s="21"/>
      <c r="AV89" s="26" t="s">
        <v>5026</v>
      </c>
      <c r="AW89" s="21"/>
      <c r="AX89" s="108" t="s">
        <v>5018</v>
      </c>
      <c r="AY89" s="108" t="s">
        <v>5701</v>
      </c>
      <c r="AZ89" s="108" t="s">
        <v>5019</v>
      </c>
      <c r="BA89" s="108" t="s">
        <v>5020</v>
      </c>
      <c r="BB89" s="108" t="s">
        <v>5021</v>
      </c>
      <c r="BC89" s="108" t="s">
        <v>5022</v>
      </c>
      <c r="BD89" s="282" t="s">
        <v>5316</v>
      </c>
      <c r="BE89" s="26"/>
      <c r="BF89" s="233"/>
      <c r="BG89" s="14"/>
      <c r="BH89" s="26" t="s">
        <v>5026</v>
      </c>
      <c r="BI89" s="21"/>
      <c r="BJ89" s="108" t="s">
        <v>5018</v>
      </c>
      <c r="BK89" s="108" t="s">
        <v>5701</v>
      </c>
      <c r="BL89" s="108" t="s">
        <v>5019</v>
      </c>
      <c r="BM89" s="108" t="s">
        <v>5020</v>
      </c>
      <c r="BN89" s="108" t="s">
        <v>5021</v>
      </c>
      <c r="BO89" s="108" t="s">
        <v>5022</v>
      </c>
      <c r="BP89" s="282" t="s">
        <v>5316</v>
      </c>
      <c r="BQ89" s="26"/>
      <c r="BR89" s="21"/>
      <c r="BS89" s="233"/>
      <c r="BT89" s="26" t="s">
        <v>5026</v>
      </c>
      <c r="BU89" s="21"/>
      <c r="BV89" s="108" t="s">
        <v>5018</v>
      </c>
      <c r="BW89" s="108" t="s">
        <v>5701</v>
      </c>
      <c r="BX89" s="108" t="s">
        <v>5019</v>
      </c>
      <c r="BY89" s="108" t="s">
        <v>5020</v>
      </c>
      <c r="BZ89" s="108" t="s">
        <v>5021</v>
      </c>
      <c r="CA89" s="108" t="s">
        <v>5022</v>
      </c>
      <c r="CB89" s="282" t="s">
        <v>5316</v>
      </c>
      <c r="CC89" s="233"/>
      <c r="CD89" s="233"/>
      <c r="CE89" s="233"/>
      <c r="CF89" s="26" t="s">
        <v>5026</v>
      </c>
      <c r="CG89" s="21"/>
      <c r="CH89" s="108" t="s">
        <v>5018</v>
      </c>
      <c r="CI89" s="108" t="s">
        <v>5701</v>
      </c>
      <c r="CJ89" s="108" t="s">
        <v>5019</v>
      </c>
      <c r="CK89" s="108" t="s">
        <v>5020</v>
      </c>
      <c r="CL89" s="108" t="s">
        <v>5021</v>
      </c>
      <c r="CM89" s="108" t="s">
        <v>5022</v>
      </c>
      <c r="CN89" s="282" t="s">
        <v>5316</v>
      </c>
      <c r="CO89" s="233"/>
      <c r="CP89" s="233"/>
      <c r="CQ89" s="233"/>
      <c r="CR89" s="26" t="s">
        <v>5026</v>
      </c>
      <c r="CS89" s="21"/>
      <c r="CT89" s="108" t="s">
        <v>5018</v>
      </c>
      <c r="CU89" s="108" t="s">
        <v>5701</v>
      </c>
      <c r="CV89" s="108" t="s">
        <v>5019</v>
      </c>
      <c r="CW89" s="108" t="s">
        <v>5020</v>
      </c>
      <c r="CX89" s="108" t="s">
        <v>5021</v>
      </c>
      <c r="CY89" s="108" t="s">
        <v>5022</v>
      </c>
      <c r="CZ89" s="282" t="s">
        <v>5316</v>
      </c>
      <c r="DA89" s="26"/>
      <c r="DB89" s="21"/>
      <c r="DC89" s="233"/>
      <c r="DD89" s="26" t="s">
        <v>5026</v>
      </c>
      <c r="DE89" s="21"/>
      <c r="DF89" s="108" t="s">
        <v>5018</v>
      </c>
      <c r="DG89" s="108" t="s">
        <v>5701</v>
      </c>
      <c r="DH89" s="108" t="s">
        <v>5019</v>
      </c>
      <c r="DI89" s="108" t="s">
        <v>5020</v>
      </c>
      <c r="DJ89" s="108" t="s">
        <v>5021</v>
      </c>
      <c r="DK89" s="108" t="s">
        <v>5022</v>
      </c>
      <c r="DL89" s="282" t="s">
        <v>5316</v>
      </c>
      <c r="DM89" s="26"/>
      <c r="DN89" s="21"/>
      <c r="DO89" s="233"/>
      <c r="DP89" s="26" t="s">
        <v>5026</v>
      </c>
      <c r="DQ89" s="21"/>
      <c r="DR89" s="108" t="s">
        <v>5018</v>
      </c>
      <c r="DS89" s="108" t="s">
        <v>5701</v>
      </c>
      <c r="DT89" s="108" t="s">
        <v>5019</v>
      </c>
      <c r="DU89" s="108" t="s">
        <v>5020</v>
      </c>
      <c r="DV89" s="108" t="s">
        <v>5021</v>
      </c>
      <c r="DW89" s="108" t="s">
        <v>5022</v>
      </c>
      <c r="DX89" s="282" t="s">
        <v>5316</v>
      </c>
      <c r="DY89" s="26"/>
      <c r="DZ89" s="233"/>
      <c r="EA89" s="233"/>
      <c r="EB89" s="26" t="s">
        <v>5026</v>
      </c>
      <c r="EC89" s="21"/>
      <c r="ED89" s="108" t="s">
        <v>5018</v>
      </c>
      <c r="EE89" s="108" t="s">
        <v>5701</v>
      </c>
      <c r="EF89" s="108" t="s">
        <v>5019</v>
      </c>
      <c r="EG89" s="108" t="s">
        <v>5020</v>
      </c>
      <c r="EH89" s="108" t="s">
        <v>5021</v>
      </c>
      <c r="EI89" s="108" t="s">
        <v>5022</v>
      </c>
      <c r="EJ89" s="282" t="s">
        <v>5316</v>
      </c>
      <c r="EK89" s="26"/>
      <c r="EL89" s="233"/>
      <c r="EM89" s="233"/>
      <c r="EN89" s="26" t="s">
        <v>5026</v>
      </c>
      <c r="EO89" s="21"/>
      <c r="EP89" s="108" t="s">
        <v>5018</v>
      </c>
      <c r="EQ89" s="108" t="s">
        <v>5701</v>
      </c>
      <c r="ER89" s="108" t="s">
        <v>5019</v>
      </c>
      <c r="ES89" s="108" t="s">
        <v>5020</v>
      </c>
      <c r="ET89" s="108" t="s">
        <v>5021</v>
      </c>
      <c r="EU89" s="108" t="s">
        <v>5022</v>
      </c>
      <c r="EV89" s="282" t="s">
        <v>5316</v>
      </c>
      <c r="EW89" s="26"/>
      <c r="EX89" s="21"/>
      <c r="EY89" s="233"/>
      <c r="EZ89" s="233"/>
      <c r="FA89" s="233"/>
      <c r="FB89" s="233"/>
      <c r="FC89" s="233"/>
      <c r="FD89" s="233"/>
    </row>
    <row r="90" spans="1:160">
      <c r="A90" s="20" t="s">
        <v>3751</v>
      </c>
      <c r="B90" s="14">
        <v>2</v>
      </c>
      <c r="C90" s="14" t="s">
        <v>3752</v>
      </c>
      <c r="D90" s="14">
        <v>1</v>
      </c>
      <c r="E90" s="110" t="s">
        <v>3650</v>
      </c>
      <c r="F90" s="14" t="s">
        <v>3947</v>
      </c>
      <c r="G90" s="44" t="s">
        <v>3753</v>
      </c>
      <c r="H90" s="44" t="s">
        <v>3728</v>
      </c>
      <c r="I90" s="44" t="s">
        <v>3790</v>
      </c>
      <c r="J90" s="28" t="s">
        <v>4369</v>
      </c>
      <c r="L90" s="21" t="s">
        <v>3310</v>
      </c>
      <c r="M90" s="14"/>
      <c r="N90" s="21"/>
      <c r="O90" s="14" t="s">
        <v>3129</v>
      </c>
      <c r="P90" s="14">
        <v>2</v>
      </c>
      <c r="Q90" s="110" t="s">
        <v>3124</v>
      </c>
      <c r="R90" s="14" t="s">
        <v>3548</v>
      </c>
      <c r="S90" s="44" t="s">
        <v>3765</v>
      </c>
      <c r="T90" s="44" t="s">
        <v>3859</v>
      </c>
      <c r="U90" s="14"/>
      <c r="V90" s="21"/>
      <c r="W90" s="21"/>
      <c r="X90" s="21" t="s">
        <v>3130</v>
      </c>
      <c r="Y90" s="21"/>
      <c r="Z90" s="14"/>
      <c r="AA90" s="14" t="s">
        <v>3605</v>
      </c>
      <c r="AB90" s="14">
        <v>3</v>
      </c>
      <c r="AC90" s="110" t="s">
        <v>3279</v>
      </c>
      <c r="AD90" s="14" t="s">
        <v>3914</v>
      </c>
      <c r="AE90" s="87" t="s">
        <v>3901</v>
      </c>
      <c r="AF90" s="87" t="s">
        <v>3915</v>
      </c>
      <c r="AG90" s="14"/>
      <c r="AH90" s="21"/>
      <c r="AI90" s="21"/>
      <c r="AJ90" s="21" t="s">
        <v>3131</v>
      </c>
      <c r="AK90" s="21"/>
      <c r="AL90" s="14"/>
      <c r="AM90" s="14" t="s">
        <v>3794</v>
      </c>
      <c r="AN90" s="14">
        <v>2</v>
      </c>
      <c r="AO90" s="110" t="s">
        <v>3124</v>
      </c>
      <c r="AP90" s="14" t="s">
        <v>3898</v>
      </c>
      <c r="AQ90" s="87" t="s">
        <v>3736</v>
      </c>
      <c r="AR90" s="87" t="s">
        <v>3728</v>
      </c>
      <c r="AS90" s="14"/>
      <c r="AT90" s="21"/>
      <c r="AU90" s="21"/>
      <c r="AV90" s="21" t="s">
        <v>3132</v>
      </c>
      <c r="AW90" s="21"/>
      <c r="AX90" s="14"/>
      <c r="AY90" s="14" t="s">
        <v>3032</v>
      </c>
      <c r="AZ90" s="14">
        <v>3</v>
      </c>
      <c r="BA90" s="110" t="s">
        <v>3133</v>
      </c>
      <c r="BB90" s="14" t="s">
        <v>3914</v>
      </c>
      <c r="BC90" s="87" t="s">
        <v>3321</v>
      </c>
      <c r="BD90" s="87" t="s">
        <v>3746</v>
      </c>
      <c r="BE90" s="14"/>
      <c r="BF90" s="233"/>
      <c r="BG90" s="14"/>
      <c r="BH90" s="21" t="s">
        <v>3134</v>
      </c>
      <c r="BI90" s="21"/>
      <c r="BJ90" s="14"/>
      <c r="BK90" s="14" t="s">
        <v>2948</v>
      </c>
      <c r="BL90" s="14" t="s">
        <v>5036</v>
      </c>
      <c r="BM90" s="110" t="s">
        <v>3472</v>
      </c>
      <c r="BN90" s="14" t="s">
        <v>3618</v>
      </c>
      <c r="BO90" s="87" t="s">
        <v>3809</v>
      </c>
      <c r="BP90" s="87" t="s">
        <v>3746</v>
      </c>
      <c r="BQ90" s="14"/>
      <c r="BR90" s="21"/>
      <c r="BS90" s="233"/>
      <c r="BT90" s="21" t="s">
        <v>3131</v>
      </c>
      <c r="BU90" s="21"/>
      <c r="BV90" s="14"/>
      <c r="BW90" s="14" t="s">
        <v>3794</v>
      </c>
      <c r="BX90" s="14">
        <v>2</v>
      </c>
      <c r="BY90" s="110" t="s">
        <v>3124</v>
      </c>
      <c r="BZ90" s="14" t="s">
        <v>3898</v>
      </c>
      <c r="CA90" s="87" t="s">
        <v>3736</v>
      </c>
      <c r="CB90" s="87" t="s">
        <v>3728</v>
      </c>
      <c r="CC90" s="233"/>
      <c r="CD90" s="233"/>
      <c r="CE90" s="233"/>
      <c r="CF90" s="21" t="s">
        <v>3134</v>
      </c>
      <c r="CG90" s="21"/>
      <c r="CH90" s="14"/>
      <c r="CI90" s="14" t="s">
        <v>2948</v>
      </c>
      <c r="CJ90" s="14" t="s">
        <v>5036</v>
      </c>
      <c r="CK90" s="110" t="s">
        <v>3472</v>
      </c>
      <c r="CL90" s="14" t="s">
        <v>3618</v>
      </c>
      <c r="CM90" s="87" t="s">
        <v>3809</v>
      </c>
      <c r="CN90" s="87" t="s">
        <v>3746</v>
      </c>
      <c r="CO90" s="233"/>
      <c r="CP90" s="233"/>
      <c r="CQ90" s="233"/>
      <c r="CR90" s="21" t="s">
        <v>3130</v>
      </c>
      <c r="CS90" s="21"/>
      <c r="CT90" s="14"/>
      <c r="CU90" s="14" t="s">
        <v>3605</v>
      </c>
      <c r="CV90" s="14">
        <v>3</v>
      </c>
      <c r="CW90" s="110" t="s">
        <v>3279</v>
      </c>
      <c r="CX90" s="14" t="s">
        <v>3914</v>
      </c>
      <c r="CY90" s="87" t="s">
        <v>3901</v>
      </c>
      <c r="CZ90" s="87" t="s">
        <v>3915</v>
      </c>
      <c r="DA90" s="14"/>
      <c r="DB90" s="21"/>
      <c r="DC90" s="233"/>
      <c r="DD90" s="21" t="s">
        <v>3130</v>
      </c>
      <c r="DE90" s="21"/>
      <c r="DF90" s="14"/>
      <c r="DG90" s="14" t="s">
        <v>3605</v>
      </c>
      <c r="DH90" s="14">
        <v>3</v>
      </c>
      <c r="DI90" s="110" t="s">
        <v>3279</v>
      </c>
      <c r="DJ90" s="14" t="s">
        <v>3914</v>
      </c>
      <c r="DK90" s="87" t="s">
        <v>3901</v>
      </c>
      <c r="DL90" s="87" t="s">
        <v>3915</v>
      </c>
      <c r="DM90" s="14"/>
      <c r="DN90" s="21"/>
      <c r="DO90" s="233"/>
      <c r="DP90" s="21" t="s">
        <v>3131</v>
      </c>
      <c r="DQ90" s="21"/>
      <c r="DR90" s="14"/>
      <c r="DS90" s="14" t="s">
        <v>3794</v>
      </c>
      <c r="DT90" s="14">
        <v>2</v>
      </c>
      <c r="DU90" s="110" t="s">
        <v>3124</v>
      </c>
      <c r="DV90" s="14" t="s">
        <v>3898</v>
      </c>
      <c r="DW90" s="87" t="s">
        <v>3736</v>
      </c>
      <c r="DX90" s="87" t="s">
        <v>3728</v>
      </c>
      <c r="DY90" s="14"/>
      <c r="DZ90" s="233"/>
      <c r="EA90" s="233"/>
      <c r="EB90" s="21" t="s">
        <v>3131</v>
      </c>
      <c r="EC90" s="21"/>
      <c r="ED90" s="14"/>
      <c r="EE90" s="14" t="s">
        <v>3794</v>
      </c>
      <c r="EF90" s="14">
        <v>2</v>
      </c>
      <c r="EG90" s="110" t="s">
        <v>3124</v>
      </c>
      <c r="EH90" s="14" t="s">
        <v>3898</v>
      </c>
      <c r="EI90" s="87" t="s">
        <v>3736</v>
      </c>
      <c r="EJ90" s="87" t="s">
        <v>3728</v>
      </c>
      <c r="EK90" s="14"/>
      <c r="EL90" s="233"/>
      <c r="EM90" s="233"/>
      <c r="EN90" s="21" t="s">
        <v>3130</v>
      </c>
      <c r="EO90" s="21"/>
      <c r="EP90" s="14"/>
      <c r="EQ90" s="14" t="s">
        <v>3605</v>
      </c>
      <c r="ER90" s="14">
        <v>3</v>
      </c>
      <c r="ES90" s="110" t="s">
        <v>3279</v>
      </c>
      <c r="ET90" s="14" t="s">
        <v>3914</v>
      </c>
      <c r="EU90" s="87" t="s">
        <v>3901</v>
      </c>
      <c r="EV90" s="87" t="s">
        <v>3915</v>
      </c>
      <c r="EW90" s="14"/>
      <c r="EX90" s="21"/>
      <c r="EY90" s="233"/>
      <c r="EZ90" s="233"/>
      <c r="FA90" s="233"/>
      <c r="FB90" s="233"/>
      <c r="FC90" s="233"/>
      <c r="FD90" s="233"/>
    </row>
    <row r="91" spans="1:160">
      <c r="A91" s="20" t="s">
        <v>3763</v>
      </c>
      <c r="B91" s="14">
        <v>2</v>
      </c>
      <c r="C91" s="14" t="s">
        <v>3764</v>
      </c>
      <c r="D91" s="14" t="s">
        <v>5036</v>
      </c>
      <c r="E91" s="14" t="s">
        <v>3415</v>
      </c>
      <c r="F91" s="14" t="s">
        <v>3548</v>
      </c>
      <c r="G91" s="44" t="s">
        <v>3753</v>
      </c>
      <c r="H91" s="44" t="s">
        <v>3581</v>
      </c>
      <c r="I91" s="44" t="s">
        <v>3916</v>
      </c>
      <c r="J91" s="28" t="s">
        <v>4555</v>
      </c>
      <c r="L91" s="21" t="s">
        <v>2967</v>
      </c>
      <c r="M91" s="14"/>
      <c r="N91" s="21"/>
      <c r="O91" s="14" t="s">
        <v>3141</v>
      </c>
      <c r="P91" s="14">
        <v>3</v>
      </c>
      <c r="Q91" s="110" t="s">
        <v>3305</v>
      </c>
      <c r="R91" s="14" t="s">
        <v>3898</v>
      </c>
      <c r="S91" s="44" t="s">
        <v>3467</v>
      </c>
      <c r="T91" s="44" t="s">
        <v>3859</v>
      </c>
      <c r="U91" s="14"/>
      <c r="V91" s="21"/>
      <c r="W91" s="21"/>
      <c r="X91" s="21" t="s">
        <v>3980</v>
      </c>
      <c r="Y91" s="21"/>
      <c r="Z91" s="14"/>
      <c r="AA91" s="14" t="s">
        <v>3142</v>
      </c>
      <c r="AB91" s="14">
        <v>1</v>
      </c>
      <c r="AC91" s="110" t="s">
        <v>3807</v>
      </c>
      <c r="AD91" s="14" t="s">
        <v>3716</v>
      </c>
      <c r="AE91" s="87" t="s">
        <v>3736</v>
      </c>
      <c r="AF91" s="87" t="s">
        <v>5483</v>
      </c>
      <c r="AG91" s="14"/>
      <c r="AH91" s="21"/>
      <c r="AI91" s="21"/>
      <c r="AJ91" s="21" t="s">
        <v>3143</v>
      </c>
      <c r="AK91" s="21"/>
      <c r="AL91" s="14"/>
      <c r="AM91" s="14" t="s">
        <v>3794</v>
      </c>
      <c r="AN91" s="14">
        <v>3</v>
      </c>
      <c r="AO91" s="110" t="s">
        <v>3124</v>
      </c>
      <c r="AP91" s="14" t="s">
        <v>3931</v>
      </c>
      <c r="AQ91" s="87" t="s">
        <v>3550</v>
      </c>
      <c r="AR91" s="87" t="s">
        <v>3915</v>
      </c>
      <c r="AS91" s="14"/>
      <c r="AT91" s="21"/>
      <c r="AU91" s="21"/>
      <c r="AV91" s="21" t="s">
        <v>3144</v>
      </c>
      <c r="AW91" s="21"/>
      <c r="AX91" s="14"/>
      <c r="AY91" s="14" t="s">
        <v>3141</v>
      </c>
      <c r="AZ91" s="14">
        <v>3</v>
      </c>
      <c r="BA91" s="110" t="s">
        <v>3145</v>
      </c>
      <c r="BB91" s="14" t="s">
        <v>3735</v>
      </c>
      <c r="BC91" s="87" t="s">
        <v>3467</v>
      </c>
      <c r="BD91" s="87" t="s">
        <v>3728</v>
      </c>
      <c r="BE91" s="14"/>
      <c r="BF91" s="233"/>
      <c r="BG91" s="14"/>
      <c r="BH91" s="21" t="s">
        <v>3146</v>
      </c>
      <c r="BI91" s="21"/>
      <c r="BJ91" s="14"/>
      <c r="BK91" s="14" t="s">
        <v>3127</v>
      </c>
      <c r="BL91" s="14">
        <v>2</v>
      </c>
      <c r="BM91" s="110" t="s">
        <v>3124</v>
      </c>
      <c r="BN91" s="14" t="s">
        <v>3898</v>
      </c>
      <c r="BO91" s="87" t="s">
        <v>3400</v>
      </c>
      <c r="BP91" s="87" t="s">
        <v>3147</v>
      </c>
      <c r="BQ91" s="14"/>
      <c r="BR91" s="21"/>
      <c r="BS91" s="233"/>
      <c r="BT91" s="21" t="s">
        <v>3134</v>
      </c>
      <c r="BU91" s="21"/>
      <c r="BV91" s="14"/>
      <c r="BW91" s="14" t="s">
        <v>2948</v>
      </c>
      <c r="BX91" s="14" t="s">
        <v>5036</v>
      </c>
      <c r="BY91" s="110" t="s">
        <v>3472</v>
      </c>
      <c r="BZ91" s="14" t="s">
        <v>3618</v>
      </c>
      <c r="CA91" s="87" t="s">
        <v>3809</v>
      </c>
      <c r="CB91" s="87" t="s">
        <v>3746</v>
      </c>
      <c r="CC91" s="233"/>
      <c r="CD91" s="233"/>
      <c r="CE91" s="233"/>
      <c r="CF91" s="21" t="s">
        <v>3146</v>
      </c>
      <c r="CG91" s="21"/>
      <c r="CH91" s="14"/>
      <c r="CI91" s="14" t="s">
        <v>3127</v>
      </c>
      <c r="CJ91" s="14">
        <v>2</v>
      </c>
      <c r="CK91" s="110" t="s">
        <v>3124</v>
      </c>
      <c r="CL91" s="14" t="s">
        <v>3898</v>
      </c>
      <c r="CM91" s="87" t="s">
        <v>3400</v>
      </c>
      <c r="CN91" s="87" t="s">
        <v>3147</v>
      </c>
      <c r="CO91" s="233"/>
      <c r="CP91" s="233"/>
      <c r="CQ91" s="233"/>
      <c r="CR91" s="21" t="s">
        <v>3980</v>
      </c>
      <c r="CS91" s="21"/>
      <c r="CT91" s="14"/>
      <c r="CU91" s="14" t="s">
        <v>3142</v>
      </c>
      <c r="CV91" s="14">
        <v>1</v>
      </c>
      <c r="CW91" s="110" t="s">
        <v>3807</v>
      </c>
      <c r="CX91" s="14" t="s">
        <v>3716</v>
      </c>
      <c r="CY91" s="87" t="s">
        <v>3736</v>
      </c>
      <c r="CZ91" s="87" t="s">
        <v>5483</v>
      </c>
      <c r="DA91" s="14"/>
      <c r="DB91" s="21"/>
      <c r="DC91" s="233"/>
      <c r="DD91" s="21" t="s">
        <v>3980</v>
      </c>
      <c r="DE91" s="21"/>
      <c r="DF91" s="14"/>
      <c r="DG91" s="14" t="s">
        <v>3142</v>
      </c>
      <c r="DH91" s="14">
        <v>1</v>
      </c>
      <c r="DI91" s="110" t="s">
        <v>3807</v>
      </c>
      <c r="DJ91" s="14" t="s">
        <v>3716</v>
      </c>
      <c r="DK91" s="87" t="s">
        <v>3736</v>
      </c>
      <c r="DL91" s="87" t="s">
        <v>5483</v>
      </c>
      <c r="DM91" s="14"/>
      <c r="DN91" s="21"/>
      <c r="DO91" s="233"/>
      <c r="DP91" s="21" t="s">
        <v>3980</v>
      </c>
      <c r="DQ91" s="21"/>
      <c r="DR91" s="14"/>
      <c r="DS91" s="14" t="s">
        <v>3142</v>
      </c>
      <c r="DT91" s="14">
        <v>1</v>
      </c>
      <c r="DU91" s="110" t="s">
        <v>3807</v>
      </c>
      <c r="DV91" s="14" t="s">
        <v>3716</v>
      </c>
      <c r="DW91" s="87" t="s">
        <v>3736</v>
      </c>
      <c r="DX91" s="87" t="s">
        <v>5483</v>
      </c>
      <c r="DY91" s="14"/>
      <c r="DZ91" s="233"/>
      <c r="EA91" s="233"/>
      <c r="EB91" s="21" t="s">
        <v>3143</v>
      </c>
      <c r="EC91" s="21"/>
      <c r="ED91" s="14"/>
      <c r="EE91" s="14" t="s">
        <v>3794</v>
      </c>
      <c r="EF91" s="14">
        <v>3</v>
      </c>
      <c r="EG91" s="110" t="s">
        <v>3124</v>
      </c>
      <c r="EH91" s="14" t="s">
        <v>3931</v>
      </c>
      <c r="EI91" s="87" t="s">
        <v>3550</v>
      </c>
      <c r="EJ91" s="87" t="s">
        <v>3915</v>
      </c>
      <c r="EK91" s="14"/>
      <c r="EL91" s="233"/>
      <c r="EM91" s="233"/>
      <c r="EN91" s="21" t="s">
        <v>3980</v>
      </c>
      <c r="EO91" s="21"/>
      <c r="EP91" s="14"/>
      <c r="EQ91" s="14" t="s">
        <v>3142</v>
      </c>
      <c r="ER91" s="14">
        <v>1</v>
      </c>
      <c r="ES91" s="110" t="s">
        <v>3807</v>
      </c>
      <c r="ET91" s="14" t="s">
        <v>3716</v>
      </c>
      <c r="EU91" s="87" t="s">
        <v>3736</v>
      </c>
      <c r="EV91" s="87" t="s">
        <v>5483</v>
      </c>
      <c r="EW91" s="14"/>
      <c r="EX91" s="21"/>
      <c r="EY91" s="233"/>
      <c r="EZ91" s="233"/>
      <c r="FA91" s="233"/>
      <c r="FB91" s="233"/>
      <c r="FC91" s="233"/>
      <c r="FD91" s="233"/>
    </row>
    <row r="92" spans="1:160">
      <c r="A92" s="20" t="s">
        <v>3582</v>
      </c>
      <c r="B92" s="14">
        <v>2</v>
      </c>
      <c r="C92" s="14" t="s">
        <v>3583</v>
      </c>
      <c r="D92" s="14">
        <v>2</v>
      </c>
      <c r="E92" s="106" t="s">
        <v>3934</v>
      </c>
      <c r="F92" s="14" t="s">
        <v>3548</v>
      </c>
      <c r="G92" s="44" t="s">
        <v>3570</v>
      </c>
      <c r="H92" s="44" t="s">
        <v>3571</v>
      </c>
      <c r="I92" s="44">
        <v>6</v>
      </c>
      <c r="J92" s="28" t="s">
        <v>4773</v>
      </c>
      <c r="L92" s="21" t="s">
        <v>3134</v>
      </c>
      <c r="M92" s="14"/>
      <c r="N92" s="21"/>
      <c r="O92" s="14" t="s">
        <v>2948</v>
      </c>
      <c r="P92" s="14" t="s">
        <v>5036</v>
      </c>
      <c r="Q92" s="14" t="s">
        <v>3472</v>
      </c>
      <c r="R92" s="14" t="s">
        <v>3618</v>
      </c>
      <c r="S92" s="44" t="s">
        <v>3809</v>
      </c>
      <c r="T92" s="44" t="s">
        <v>3746</v>
      </c>
      <c r="U92" s="14"/>
      <c r="V92" s="21"/>
      <c r="W92" s="21"/>
      <c r="X92" s="21" t="s">
        <v>3327</v>
      </c>
      <c r="Y92" s="21"/>
      <c r="Z92" s="21"/>
      <c r="AA92" s="14" t="s">
        <v>3583</v>
      </c>
      <c r="AB92" s="14">
        <v>4</v>
      </c>
      <c r="AC92" s="110" t="s">
        <v>3328</v>
      </c>
      <c r="AD92" s="14" t="s">
        <v>3898</v>
      </c>
      <c r="AE92" s="87" t="s">
        <v>3570</v>
      </c>
      <c r="AF92" s="44" t="s">
        <v>3329</v>
      </c>
      <c r="AG92" s="14"/>
      <c r="AH92" s="21"/>
      <c r="AI92" s="21"/>
      <c r="AJ92" s="21" t="s">
        <v>3330</v>
      </c>
      <c r="AK92" s="21"/>
      <c r="AL92" s="14"/>
      <c r="AM92" s="14" t="s">
        <v>3794</v>
      </c>
      <c r="AN92" s="14">
        <v>3</v>
      </c>
      <c r="AO92" s="110" t="s">
        <v>3331</v>
      </c>
      <c r="AP92" s="14" t="s">
        <v>3716</v>
      </c>
      <c r="AQ92" s="87" t="s">
        <v>3332</v>
      </c>
      <c r="AR92" s="87" t="s">
        <v>3333</v>
      </c>
      <c r="AS92" s="14"/>
      <c r="AT92" s="21"/>
      <c r="AU92" s="21"/>
      <c r="AV92" s="21" t="s">
        <v>3334</v>
      </c>
      <c r="AW92" s="21"/>
      <c r="AX92" s="14"/>
      <c r="AY92" s="14" t="s">
        <v>3129</v>
      </c>
      <c r="AZ92" s="14" t="s">
        <v>3335</v>
      </c>
      <c r="BA92" s="110" t="s">
        <v>3336</v>
      </c>
      <c r="BB92" s="14" t="s">
        <v>3140</v>
      </c>
      <c r="BC92" s="87" t="s">
        <v>3612</v>
      </c>
      <c r="BD92" s="87" t="s">
        <v>3706</v>
      </c>
      <c r="BE92" s="14"/>
      <c r="BF92" s="233"/>
      <c r="BG92" s="14"/>
      <c r="BH92" s="21" t="s">
        <v>3337</v>
      </c>
      <c r="BI92" s="21"/>
      <c r="BJ92" s="14"/>
      <c r="BK92" s="14" t="s">
        <v>3127</v>
      </c>
      <c r="BL92" s="14">
        <v>2</v>
      </c>
      <c r="BM92" s="110" t="s">
        <v>3124</v>
      </c>
      <c r="BN92" s="14" t="s">
        <v>3947</v>
      </c>
      <c r="BO92" s="87" t="s">
        <v>3378</v>
      </c>
      <c r="BP92" s="87" t="s">
        <v>3746</v>
      </c>
      <c r="BQ92" s="14"/>
      <c r="BR92" s="21"/>
      <c r="BS92" s="233"/>
      <c r="BT92" s="21" t="s">
        <v>3338</v>
      </c>
      <c r="BU92" s="21"/>
      <c r="BV92" s="14"/>
      <c r="BW92" s="14" t="s">
        <v>2944</v>
      </c>
      <c r="BX92" s="14">
        <v>3</v>
      </c>
      <c r="BY92" s="110" t="s">
        <v>3205</v>
      </c>
      <c r="BZ92" s="14" t="s">
        <v>3898</v>
      </c>
      <c r="CA92" s="87" t="s">
        <v>3612</v>
      </c>
      <c r="CB92" s="87" t="s">
        <v>3746</v>
      </c>
      <c r="CC92" s="233"/>
      <c r="CD92" s="233"/>
      <c r="CE92" s="233"/>
      <c r="CF92" s="21" t="s">
        <v>3337</v>
      </c>
      <c r="CG92" s="21"/>
      <c r="CH92" s="14"/>
      <c r="CI92" s="14" t="s">
        <v>3127</v>
      </c>
      <c r="CJ92" s="14">
        <v>2</v>
      </c>
      <c r="CK92" s="110" t="s">
        <v>3124</v>
      </c>
      <c r="CL92" s="14" t="s">
        <v>3947</v>
      </c>
      <c r="CM92" s="87" t="s">
        <v>3378</v>
      </c>
      <c r="CN92" s="87" t="s">
        <v>3746</v>
      </c>
      <c r="CO92" s="233"/>
      <c r="CP92" s="233"/>
      <c r="CQ92" s="233"/>
      <c r="CR92" s="21" t="s">
        <v>3327</v>
      </c>
      <c r="CS92" s="21"/>
      <c r="CT92" s="21"/>
      <c r="CU92" s="14" t="s">
        <v>3583</v>
      </c>
      <c r="CV92" s="14">
        <v>4</v>
      </c>
      <c r="CW92" s="110" t="s">
        <v>3328</v>
      </c>
      <c r="CX92" s="14" t="s">
        <v>3898</v>
      </c>
      <c r="CY92" s="87" t="s">
        <v>3570</v>
      </c>
      <c r="CZ92" s="44" t="s">
        <v>3329</v>
      </c>
      <c r="DA92" s="14"/>
      <c r="DB92" s="21"/>
      <c r="DC92" s="233"/>
      <c r="DD92" s="21" t="s">
        <v>3327</v>
      </c>
      <c r="DE92" s="21"/>
      <c r="DF92" s="21"/>
      <c r="DG92" s="14" t="s">
        <v>3583</v>
      </c>
      <c r="DH92" s="14">
        <v>4</v>
      </c>
      <c r="DI92" s="110" t="s">
        <v>3328</v>
      </c>
      <c r="DJ92" s="14" t="s">
        <v>3898</v>
      </c>
      <c r="DK92" s="87" t="s">
        <v>3570</v>
      </c>
      <c r="DL92" s="44" t="s">
        <v>3329</v>
      </c>
      <c r="DM92" s="14"/>
      <c r="DN92" s="21"/>
      <c r="DO92" s="233"/>
      <c r="DP92" s="21" t="s">
        <v>3054</v>
      </c>
      <c r="DQ92" s="21"/>
      <c r="DR92" s="14"/>
      <c r="DS92" s="14" t="s">
        <v>2944</v>
      </c>
      <c r="DT92" s="14">
        <v>3</v>
      </c>
      <c r="DU92" s="110" t="s">
        <v>3211</v>
      </c>
      <c r="DV92" s="14" t="s">
        <v>3898</v>
      </c>
      <c r="DW92" s="87" t="s">
        <v>3395</v>
      </c>
      <c r="DX92" s="87" t="s">
        <v>3055</v>
      </c>
      <c r="DY92" s="14"/>
      <c r="DZ92" s="233"/>
      <c r="EA92" s="233"/>
      <c r="EB92" s="21" t="s">
        <v>3330</v>
      </c>
      <c r="EC92" s="21"/>
      <c r="ED92" s="14"/>
      <c r="EE92" s="14" t="s">
        <v>3794</v>
      </c>
      <c r="EF92" s="14">
        <v>3</v>
      </c>
      <c r="EG92" s="110" t="s">
        <v>3331</v>
      </c>
      <c r="EH92" s="14" t="s">
        <v>3716</v>
      </c>
      <c r="EI92" s="87" t="s">
        <v>3332</v>
      </c>
      <c r="EJ92" s="87" t="s">
        <v>3333</v>
      </c>
      <c r="EK92" s="14"/>
      <c r="EL92" s="233"/>
      <c r="EM92" s="233"/>
      <c r="EN92" s="21" t="s">
        <v>3327</v>
      </c>
      <c r="EO92" s="21"/>
      <c r="EP92" s="21"/>
      <c r="EQ92" s="14" t="s">
        <v>3583</v>
      </c>
      <c r="ER92" s="14">
        <v>4</v>
      </c>
      <c r="ES92" s="110" t="s">
        <v>3328</v>
      </c>
      <c r="ET92" s="14" t="s">
        <v>3898</v>
      </c>
      <c r="EU92" s="87" t="s">
        <v>3570</v>
      </c>
      <c r="EV92" s="44" t="s">
        <v>3329</v>
      </c>
      <c r="EW92" s="14"/>
      <c r="EX92" s="21"/>
      <c r="EY92" s="233"/>
      <c r="EZ92" s="233"/>
      <c r="FA92" s="233"/>
      <c r="FB92" s="233"/>
      <c r="FC92" s="233"/>
      <c r="FD92" s="233"/>
    </row>
    <row r="93" spans="1:160">
      <c r="A93" s="20" t="s">
        <v>3760</v>
      </c>
      <c r="B93" s="14">
        <v>2</v>
      </c>
      <c r="C93" s="14" t="s">
        <v>3752</v>
      </c>
      <c r="D93" s="14">
        <v>0</v>
      </c>
      <c r="E93" s="14" t="s">
        <v>3472</v>
      </c>
      <c r="F93" s="14" t="s">
        <v>3931</v>
      </c>
      <c r="G93" s="44" t="s">
        <v>3651</v>
      </c>
      <c r="H93" s="44" t="s">
        <v>3915</v>
      </c>
      <c r="I93" s="44" t="s">
        <v>3790</v>
      </c>
      <c r="J93" s="28" t="s">
        <v>4369</v>
      </c>
      <c r="L93" s="21" t="s">
        <v>3339</v>
      </c>
      <c r="M93" s="14"/>
      <c r="N93" s="21"/>
      <c r="O93" s="14" t="s">
        <v>3691</v>
      </c>
      <c r="P93" s="14">
        <v>1</v>
      </c>
      <c r="Q93" s="110" t="s">
        <v>3124</v>
      </c>
      <c r="R93" s="14" t="s">
        <v>3898</v>
      </c>
      <c r="S93" s="44" t="s">
        <v>3901</v>
      </c>
      <c r="T93" s="44" t="s">
        <v>3692</v>
      </c>
      <c r="U93" s="14"/>
      <c r="V93" s="21"/>
      <c r="W93" s="21"/>
      <c r="X93" s="21" t="s">
        <v>3339</v>
      </c>
      <c r="Y93" s="21"/>
      <c r="Z93" s="14"/>
      <c r="AA93" s="14" t="s">
        <v>3691</v>
      </c>
      <c r="AB93" s="14">
        <v>1</v>
      </c>
      <c r="AC93" s="110" t="s">
        <v>3124</v>
      </c>
      <c r="AD93" s="14" t="s">
        <v>3898</v>
      </c>
      <c r="AE93" s="87" t="s">
        <v>3901</v>
      </c>
      <c r="AF93" s="87" t="s">
        <v>3692</v>
      </c>
      <c r="AG93" s="14"/>
      <c r="AH93" s="21"/>
      <c r="AI93" s="21"/>
      <c r="AJ93" s="21" t="s">
        <v>3980</v>
      </c>
      <c r="AK93" s="21"/>
      <c r="AL93" s="14"/>
      <c r="AM93" s="14" t="s">
        <v>3142</v>
      </c>
      <c r="AN93" s="14">
        <v>1</v>
      </c>
      <c r="AO93" s="110" t="s">
        <v>3807</v>
      </c>
      <c r="AP93" s="14" t="s">
        <v>3716</v>
      </c>
      <c r="AQ93" s="87" t="s">
        <v>3736</v>
      </c>
      <c r="AR93" s="87" t="s">
        <v>5483</v>
      </c>
      <c r="AS93" s="14"/>
      <c r="AT93" s="21"/>
      <c r="AU93" s="21"/>
      <c r="AV93" s="21" t="s">
        <v>3310</v>
      </c>
      <c r="AW93" s="21"/>
      <c r="AX93" s="14"/>
      <c r="AY93" s="14" t="s">
        <v>3129</v>
      </c>
      <c r="AZ93" s="14">
        <v>2</v>
      </c>
      <c r="BA93" s="110" t="s">
        <v>3124</v>
      </c>
      <c r="BB93" s="14" t="s">
        <v>3548</v>
      </c>
      <c r="BC93" s="87" t="s">
        <v>3765</v>
      </c>
      <c r="BD93" s="87" t="s">
        <v>3859</v>
      </c>
      <c r="BE93" s="14"/>
      <c r="BF93" s="21"/>
      <c r="BG93" s="21"/>
      <c r="BH93" s="21" t="s">
        <v>3693</v>
      </c>
      <c r="BI93" s="21"/>
      <c r="BJ93" s="14"/>
      <c r="BK93" s="14" t="s">
        <v>2948</v>
      </c>
      <c r="BL93" s="14">
        <v>2</v>
      </c>
      <c r="BM93" s="110" t="s">
        <v>3650</v>
      </c>
      <c r="BN93" s="14" t="s">
        <v>3898</v>
      </c>
      <c r="BO93" s="87" t="s">
        <v>3612</v>
      </c>
      <c r="BP93" s="87" t="s">
        <v>3694</v>
      </c>
      <c r="BQ93" s="14"/>
      <c r="BR93" s="21"/>
      <c r="BS93" s="233"/>
      <c r="BT93" s="21" t="s">
        <v>3146</v>
      </c>
      <c r="BU93" s="21"/>
      <c r="BV93" s="14"/>
      <c r="BW93" s="14" t="s">
        <v>3127</v>
      </c>
      <c r="BX93" s="14">
        <v>2</v>
      </c>
      <c r="BY93" s="110" t="s">
        <v>3124</v>
      </c>
      <c r="BZ93" s="14" t="s">
        <v>3898</v>
      </c>
      <c r="CA93" s="87" t="s">
        <v>3400</v>
      </c>
      <c r="CB93" s="87" t="s">
        <v>3147</v>
      </c>
      <c r="CC93" s="233"/>
      <c r="CD93" s="233"/>
      <c r="CE93" s="233"/>
      <c r="CF93" s="21" t="s">
        <v>3693</v>
      </c>
      <c r="CG93" s="21"/>
      <c r="CH93" s="14"/>
      <c r="CI93" s="14" t="s">
        <v>2948</v>
      </c>
      <c r="CJ93" s="14">
        <v>2</v>
      </c>
      <c r="CK93" s="110" t="s">
        <v>3650</v>
      </c>
      <c r="CL93" s="14" t="s">
        <v>3898</v>
      </c>
      <c r="CM93" s="87" t="s">
        <v>3612</v>
      </c>
      <c r="CN93" s="87" t="s">
        <v>3694</v>
      </c>
      <c r="CO93" s="233"/>
      <c r="CP93" s="233"/>
      <c r="CQ93" s="233"/>
      <c r="CR93" s="21" t="s">
        <v>3339</v>
      </c>
      <c r="CS93" s="21"/>
      <c r="CT93" s="14"/>
      <c r="CU93" s="14" t="s">
        <v>3691</v>
      </c>
      <c r="CV93" s="14">
        <v>1</v>
      </c>
      <c r="CW93" s="110" t="s">
        <v>3124</v>
      </c>
      <c r="CX93" s="14" t="s">
        <v>3898</v>
      </c>
      <c r="CY93" s="87" t="s">
        <v>3901</v>
      </c>
      <c r="CZ93" s="87" t="s">
        <v>3692</v>
      </c>
      <c r="DA93" s="14"/>
      <c r="DB93" s="21"/>
      <c r="DC93" s="233"/>
      <c r="DD93" s="21" t="s">
        <v>3339</v>
      </c>
      <c r="DE93" s="21"/>
      <c r="DF93" s="14"/>
      <c r="DG93" s="14" t="s">
        <v>3691</v>
      </c>
      <c r="DH93" s="14">
        <v>1</v>
      </c>
      <c r="DI93" s="110" t="s">
        <v>3124</v>
      </c>
      <c r="DJ93" s="14" t="s">
        <v>3898</v>
      </c>
      <c r="DK93" s="87" t="s">
        <v>3901</v>
      </c>
      <c r="DL93" s="87" t="s">
        <v>3692</v>
      </c>
      <c r="DM93" s="14"/>
      <c r="DN93" s="21"/>
      <c r="DO93" s="233"/>
      <c r="DP93" s="21" t="s">
        <v>3693</v>
      </c>
      <c r="DQ93" s="21"/>
      <c r="DR93" s="14"/>
      <c r="DS93" s="14" t="s">
        <v>2948</v>
      </c>
      <c r="DT93" s="14">
        <v>2</v>
      </c>
      <c r="DU93" s="110" t="s">
        <v>3650</v>
      </c>
      <c r="DV93" s="14" t="s">
        <v>3898</v>
      </c>
      <c r="DW93" s="87" t="s">
        <v>3612</v>
      </c>
      <c r="DX93" s="87" t="s">
        <v>3694</v>
      </c>
      <c r="DY93" s="14"/>
      <c r="DZ93" s="233"/>
      <c r="EA93" s="233"/>
      <c r="EB93" s="21" t="s">
        <v>3980</v>
      </c>
      <c r="EC93" s="21"/>
      <c r="ED93" s="14"/>
      <c r="EE93" s="14" t="s">
        <v>3142</v>
      </c>
      <c r="EF93" s="14">
        <v>1</v>
      </c>
      <c r="EG93" s="110" t="s">
        <v>3807</v>
      </c>
      <c r="EH93" s="14" t="s">
        <v>3716</v>
      </c>
      <c r="EI93" s="87" t="s">
        <v>3736</v>
      </c>
      <c r="EJ93" s="87" t="s">
        <v>5483</v>
      </c>
      <c r="EK93" s="14"/>
      <c r="EL93" s="233"/>
      <c r="EM93" s="233"/>
      <c r="EN93" s="21" t="s">
        <v>3339</v>
      </c>
      <c r="EO93" s="21"/>
      <c r="EP93" s="14"/>
      <c r="EQ93" s="14" t="s">
        <v>3691</v>
      </c>
      <c r="ER93" s="14">
        <v>1</v>
      </c>
      <c r="ES93" s="110" t="s">
        <v>3124</v>
      </c>
      <c r="ET93" s="14" t="s">
        <v>3898</v>
      </c>
      <c r="EU93" s="87" t="s">
        <v>3901</v>
      </c>
      <c r="EV93" s="87" t="s">
        <v>3692</v>
      </c>
      <c r="EW93" s="14"/>
      <c r="EX93" s="21"/>
      <c r="EY93" s="233"/>
      <c r="EZ93" s="233"/>
      <c r="FA93" s="233"/>
      <c r="FB93" s="233"/>
      <c r="FC93" s="233"/>
      <c r="FD93" s="233"/>
    </row>
    <row r="94" spans="1:160">
      <c r="A94" s="20" t="s">
        <v>3577</v>
      </c>
      <c r="B94" s="14">
        <v>2</v>
      </c>
      <c r="C94" s="14" t="s">
        <v>3542</v>
      </c>
      <c r="D94" s="14" t="s">
        <v>5036</v>
      </c>
      <c r="E94" s="14" t="s">
        <v>3841</v>
      </c>
      <c r="F94" s="14" t="s">
        <v>3716</v>
      </c>
      <c r="G94" s="44" t="s">
        <v>3736</v>
      </c>
      <c r="H94" s="44" t="s">
        <v>4209</v>
      </c>
      <c r="I94" s="44" t="s">
        <v>3900</v>
      </c>
      <c r="J94" s="28" t="s">
        <v>4369</v>
      </c>
      <c r="L94" s="21" t="s">
        <v>3695</v>
      </c>
      <c r="M94" s="14"/>
      <c r="N94" s="21"/>
      <c r="O94" s="14" t="s">
        <v>3696</v>
      </c>
      <c r="P94" s="14">
        <v>1</v>
      </c>
      <c r="Q94" s="110" t="s">
        <v>3124</v>
      </c>
      <c r="R94" s="14" t="s">
        <v>3548</v>
      </c>
      <c r="S94" s="44" t="s">
        <v>3901</v>
      </c>
      <c r="T94" s="107" t="s">
        <v>3697</v>
      </c>
      <c r="U94" s="14"/>
      <c r="V94" s="21"/>
      <c r="W94" s="21"/>
      <c r="X94" s="21" t="s">
        <v>3698</v>
      </c>
      <c r="Y94" s="21"/>
      <c r="Z94" s="14"/>
      <c r="AA94" s="14" t="s">
        <v>3691</v>
      </c>
      <c r="AB94" s="14">
        <v>1</v>
      </c>
      <c r="AC94" s="110" t="s">
        <v>3516</v>
      </c>
      <c r="AD94" s="14" t="s">
        <v>4000</v>
      </c>
      <c r="AE94" s="87" t="s">
        <v>3736</v>
      </c>
      <c r="AF94" s="87" t="s">
        <v>3859</v>
      </c>
      <c r="AG94" s="14"/>
      <c r="AH94" s="21"/>
      <c r="AI94" s="21"/>
      <c r="AJ94" s="21" t="s">
        <v>3517</v>
      </c>
      <c r="AK94" s="21"/>
      <c r="AL94" s="14"/>
      <c r="AM94" s="14" t="s">
        <v>3696</v>
      </c>
      <c r="AN94" s="14">
        <v>3</v>
      </c>
      <c r="AO94" s="110" t="s">
        <v>3331</v>
      </c>
      <c r="AP94" s="14" t="s">
        <v>3716</v>
      </c>
      <c r="AQ94" s="87" t="s">
        <v>3901</v>
      </c>
      <c r="AR94" s="87" t="s">
        <v>3518</v>
      </c>
      <c r="AS94" s="14"/>
      <c r="AT94" s="21"/>
      <c r="AU94" s="21"/>
      <c r="AV94" s="21" t="s">
        <v>3519</v>
      </c>
      <c r="AW94" s="21"/>
      <c r="AX94" s="14"/>
      <c r="AY94" s="14" t="s">
        <v>3129</v>
      </c>
      <c r="AZ94" s="14">
        <v>3</v>
      </c>
      <c r="BA94" s="110" t="s">
        <v>3520</v>
      </c>
      <c r="BB94" s="14" t="s">
        <v>3931</v>
      </c>
      <c r="BC94" s="87" t="s">
        <v>3753</v>
      </c>
      <c r="BD94" s="87" t="s">
        <v>3859</v>
      </c>
      <c r="BE94" s="14"/>
      <c r="BF94" s="21"/>
      <c r="BG94" s="21"/>
      <c r="BH94" s="21" t="s">
        <v>3521</v>
      </c>
      <c r="BI94" s="21"/>
      <c r="BJ94" s="14"/>
      <c r="BK94" s="14" t="s">
        <v>3446</v>
      </c>
      <c r="BL94" s="14">
        <v>3</v>
      </c>
      <c r="BM94" s="110" t="s">
        <v>3233</v>
      </c>
      <c r="BN94" s="14" t="s">
        <v>3931</v>
      </c>
      <c r="BO94" s="111" t="s">
        <v>3550</v>
      </c>
      <c r="BP94" s="111" t="s">
        <v>3181</v>
      </c>
      <c r="BQ94" s="14"/>
      <c r="BR94" s="21"/>
      <c r="BS94" s="233"/>
      <c r="BT94" s="87" t="s">
        <v>3182</v>
      </c>
      <c r="BU94" s="21"/>
      <c r="BV94" s="14"/>
      <c r="BW94" s="112" t="s">
        <v>3840</v>
      </c>
      <c r="BX94" s="14">
        <v>2</v>
      </c>
      <c r="BY94" s="110" t="s">
        <v>3807</v>
      </c>
      <c r="BZ94" s="14" t="s">
        <v>3898</v>
      </c>
      <c r="CA94" s="87" t="s">
        <v>3009</v>
      </c>
      <c r="CB94" s="44" t="s">
        <v>3010</v>
      </c>
      <c r="CC94" s="233"/>
      <c r="CD94" s="233"/>
      <c r="CE94" s="233"/>
      <c r="CF94" s="21" t="s">
        <v>3521</v>
      </c>
      <c r="CG94" s="21"/>
      <c r="CH94" s="14"/>
      <c r="CI94" s="14" t="s">
        <v>3446</v>
      </c>
      <c r="CJ94" s="14">
        <v>3</v>
      </c>
      <c r="CK94" s="110" t="s">
        <v>3233</v>
      </c>
      <c r="CL94" s="14" t="s">
        <v>3931</v>
      </c>
      <c r="CM94" s="111" t="s">
        <v>3550</v>
      </c>
      <c r="CN94" s="111" t="s">
        <v>3181</v>
      </c>
      <c r="CO94" s="233"/>
      <c r="CP94" s="233"/>
      <c r="CQ94" s="233"/>
      <c r="CR94" s="21" t="s">
        <v>3698</v>
      </c>
      <c r="CS94" s="21"/>
      <c r="CT94" s="14"/>
      <c r="CU94" s="14" t="s">
        <v>3691</v>
      </c>
      <c r="CV94" s="14">
        <v>1</v>
      </c>
      <c r="CW94" s="110" t="s">
        <v>3516</v>
      </c>
      <c r="CX94" s="14" t="s">
        <v>4000</v>
      </c>
      <c r="CY94" s="87" t="s">
        <v>3736</v>
      </c>
      <c r="CZ94" s="87" t="s">
        <v>3859</v>
      </c>
      <c r="DA94" s="14"/>
      <c r="DB94" s="21"/>
      <c r="DC94" s="233"/>
      <c r="DD94" s="21" t="s">
        <v>3698</v>
      </c>
      <c r="DE94" s="21"/>
      <c r="DF94" s="14"/>
      <c r="DG94" s="14" t="s">
        <v>3691</v>
      </c>
      <c r="DH94" s="14">
        <v>1</v>
      </c>
      <c r="DI94" s="110" t="s">
        <v>3516</v>
      </c>
      <c r="DJ94" s="14" t="s">
        <v>4000</v>
      </c>
      <c r="DK94" s="87" t="s">
        <v>3736</v>
      </c>
      <c r="DL94" s="87" t="s">
        <v>3859</v>
      </c>
      <c r="DM94" s="14"/>
      <c r="DN94" s="21"/>
      <c r="DO94" s="233"/>
      <c r="DP94" s="21" t="s">
        <v>3051</v>
      </c>
      <c r="DQ94" s="21"/>
      <c r="DR94" s="14"/>
      <c r="DS94" s="14" t="s">
        <v>2859</v>
      </c>
      <c r="DT94" s="14">
        <v>2</v>
      </c>
      <c r="DU94" s="110" t="s">
        <v>3331</v>
      </c>
      <c r="DV94" s="14" t="s">
        <v>3898</v>
      </c>
      <c r="DW94" s="87" t="s">
        <v>3651</v>
      </c>
      <c r="DX94" s="87" t="s">
        <v>3053</v>
      </c>
      <c r="DY94" s="14"/>
      <c r="DZ94" s="233"/>
      <c r="EA94" s="233"/>
      <c r="EB94" s="21" t="s">
        <v>3517</v>
      </c>
      <c r="EC94" s="21"/>
      <c r="ED94" s="14"/>
      <c r="EE94" s="14" t="s">
        <v>3696</v>
      </c>
      <c r="EF94" s="14">
        <v>3</v>
      </c>
      <c r="EG94" s="110" t="s">
        <v>3331</v>
      </c>
      <c r="EH94" s="14" t="s">
        <v>3716</v>
      </c>
      <c r="EI94" s="87" t="s">
        <v>3901</v>
      </c>
      <c r="EJ94" s="87" t="s">
        <v>3518</v>
      </c>
      <c r="EK94" s="14"/>
      <c r="EL94" s="233"/>
      <c r="EM94" s="233"/>
      <c r="EN94" s="21" t="s">
        <v>3698</v>
      </c>
      <c r="EO94" s="21"/>
      <c r="EP94" s="14"/>
      <c r="EQ94" s="14" t="s">
        <v>3691</v>
      </c>
      <c r="ER94" s="14">
        <v>1</v>
      </c>
      <c r="ES94" s="110" t="s">
        <v>3516</v>
      </c>
      <c r="ET94" s="14" t="s">
        <v>4000</v>
      </c>
      <c r="EU94" s="87" t="s">
        <v>3736</v>
      </c>
      <c r="EV94" s="87" t="s">
        <v>3859</v>
      </c>
      <c r="EW94" s="14"/>
      <c r="EX94" s="21"/>
      <c r="EY94" s="233"/>
      <c r="EZ94" s="233"/>
      <c r="FA94" s="233"/>
      <c r="FB94" s="233"/>
      <c r="FC94" s="233"/>
      <c r="FD94" s="233"/>
    </row>
    <row r="95" spans="1:160">
      <c r="A95" s="20" t="s">
        <v>3754</v>
      </c>
      <c r="B95" s="14">
        <v>2</v>
      </c>
      <c r="C95" s="14" t="s">
        <v>3387</v>
      </c>
      <c r="D95" s="14">
        <v>1</v>
      </c>
      <c r="E95" s="110" t="s">
        <v>3934</v>
      </c>
      <c r="F95" s="14" t="s">
        <v>3898</v>
      </c>
      <c r="G95" s="44" t="s">
        <v>3755</v>
      </c>
      <c r="H95" s="44" t="s">
        <v>3756</v>
      </c>
      <c r="I95" s="44">
        <v>2</v>
      </c>
      <c r="J95" s="28" t="s">
        <v>4037</v>
      </c>
      <c r="L95" s="21" t="s">
        <v>3698</v>
      </c>
      <c r="M95" s="14"/>
      <c r="N95" s="21"/>
      <c r="O95" s="14" t="s">
        <v>3691</v>
      </c>
      <c r="P95" s="14">
        <v>1</v>
      </c>
      <c r="Q95" s="110" t="s">
        <v>3516</v>
      </c>
      <c r="R95" s="14" t="s">
        <v>4000</v>
      </c>
      <c r="S95" s="44" t="s">
        <v>3736</v>
      </c>
      <c r="T95" s="44" t="s">
        <v>3859</v>
      </c>
      <c r="U95" s="14"/>
      <c r="V95" s="21"/>
      <c r="W95" s="21"/>
      <c r="X95" s="21" t="s">
        <v>3011</v>
      </c>
      <c r="Y95" s="21"/>
      <c r="Z95" s="14"/>
      <c r="AA95" s="14" t="s">
        <v>3012</v>
      </c>
      <c r="AB95" s="14">
        <v>3</v>
      </c>
      <c r="AC95" s="110" t="s">
        <v>3279</v>
      </c>
      <c r="AD95" s="14" t="s">
        <v>3548</v>
      </c>
      <c r="AE95" s="87" t="s">
        <v>3013</v>
      </c>
      <c r="AF95" s="87" t="s">
        <v>3859</v>
      </c>
      <c r="AG95" s="14"/>
      <c r="AH95" s="21"/>
      <c r="AI95" s="21"/>
      <c r="AJ95" s="21" t="s">
        <v>3695</v>
      </c>
      <c r="AK95" s="21"/>
      <c r="AL95" s="14"/>
      <c r="AM95" s="14" t="s">
        <v>3696</v>
      </c>
      <c r="AN95" s="14">
        <v>1</v>
      </c>
      <c r="AO95" s="110" t="s">
        <v>3124</v>
      </c>
      <c r="AP95" s="14" t="s">
        <v>3548</v>
      </c>
      <c r="AQ95" s="87" t="s">
        <v>3901</v>
      </c>
      <c r="AR95" s="87" t="s">
        <v>3697</v>
      </c>
      <c r="AS95" s="14"/>
      <c r="AT95" s="21"/>
      <c r="AU95" s="21"/>
      <c r="AV95" s="21" t="s">
        <v>2967</v>
      </c>
      <c r="AW95" s="21"/>
      <c r="AX95" s="14"/>
      <c r="AY95" s="14" t="s">
        <v>3141</v>
      </c>
      <c r="AZ95" s="14">
        <v>3</v>
      </c>
      <c r="BA95" s="110" t="s">
        <v>3305</v>
      </c>
      <c r="BB95" s="14" t="s">
        <v>3898</v>
      </c>
      <c r="BC95" s="87" t="s">
        <v>3467</v>
      </c>
      <c r="BD95" s="87" t="s">
        <v>3859</v>
      </c>
      <c r="BE95" s="14"/>
      <c r="BF95" s="21"/>
      <c r="BG95" s="21"/>
      <c r="BH95" s="87" t="s">
        <v>3014</v>
      </c>
      <c r="BI95" s="21"/>
      <c r="BJ95" s="14"/>
      <c r="BK95" s="14" t="s">
        <v>3095</v>
      </c>
      <c r="BL95" s="14">
        <v>4</v>
      </c>
      <c r="BM95" s="110" t="s">
        <v>3650</v>
      </c>
      <c r="BN95" s="14" t="s">
        <v>3898</v>
      </c>
      <c r="BO95" s="87" t="s">
        <v>3015</v>
      </c>
      <c r="BP95" s="87" t="s">
        <v>3016</v>
      </c>
      <c r="BQ95" s="14"/>
      <c r="BR95" s="21"/>
      <c r="BS95" s="233"/>
      <c r="BT95" s="21" t="s">
        <v>3017</v>
      </c>
      <c r="BU95" s="21"/>
      <c r="BV95" s="14"/>
      <c r="BW95" s="14" t="s">
        <v>3127</v>
      </c>
      <c r="BX95" s="14">
        <v>2</v>
      </c>
      <c r="BY95" s="110" t="s">
        <v>3124</v>
      </c>
      <c r="BZ95" s="14" t="s">
        <v>3947</v>
      </c>
      <c r="CA95" s="87" t="s">
        <v>3378</v>
      </c>
      <c r="CB95" s="87" t="s">
        <v>3746</v>
      </c>
      <c r="CC95" s="233"/>
      <c r="CD95" s="233"/>
      <c r="CE95" s="233"/>
      <c r="CF95" s="87" t="s">
        <v>3014</v>
      </c>
      <c r="CG95" s="21"/>
      <c r="CH95" s="14"/>
      <c r="CI95" s="14" t="s">
        <v>3095</v>
      </c>
      <c r="CJ95" s="14">
        <v>4</v>
      </c>
      <c r="CK95" s="110" t="s">
        <v>3650</v>
      </c>
      <c r="CL95" s="14" t="s">
        <v>3898</v>
      </c>
      <c r="CM95" s="87" t="s">
        <v>3015</v>
      </c>
      <c r="CN95" s="87" t="s">
        <v>3016</v>
      </c>
      <c r="CO95" s="233"/>
      <c r="CP95" s="233"/>
      <c r="CQ95" s="233"/>
      <c r="CR95" s="21" t="s">
        <v>3011</v>
      </c>
      <c r="CS95" s="21"/>
      <c r="CT95" s="14"/>
      <c r="CU95" s="14" t="s">
        <v>3012</v>
      </c>
      <c r="CV95" s="14">
        <v>3</v>
      </c>
      <c r="CW95" s="110" t="s">
        <v>3279</v>
      </c>
      <c r="CX95" s="14" t="s">
        <v>3548</v>
      </c>
      <c r="CY95" s="87" t="s">
        <v>3013</v>
      </c>
      <c r="CZ95" s="87" t="s">
        <v>3859</v>
      </c>
      <c r="DA95" s="14"/>
      <c r="DB95" s="21"/>
      <c r="DC95" s="233"/>
      <c r="DD95" s="21" t="s">
        <v>3011</v>
      </c>
      <c r="DE95" s="21"/>
      <c r="DF95" s="14"/>
      <c r="DG95" s="14" t="s">
        <v>3012</v>
      </c>
      <c r="DH95" s="14">
        <v>3</v>
      </c>
      <c r="DI95" s="110" t="s">
        <v>3279</v>
      </c>
      <c r="DJ95" s="14" t="s">
        <v>3548</v>
      </c>
      <c r="DK95" s="87" t="s">
        <v>3013</v>
      </c>
      <c r="DL95" s="87" t="s">
        <v>3859</v>
      </c>
      <c r="DM95" s="14"/>
      <c r="DN95" s="21"/>
      <c r="DO95" s="233"/>
      <c r="DP95" s="21" t="s">
        <v>3048</v>
      </c>
      <c r="DQ95" s="21"/>
      <c r="DR95" s="14"/>
      <c r="DS95" s="14" t="s">
        <v>3127</v>
      </c>
      <c r="DT95" s="14">
        <v>3</v>
      </c>
      <c r="DU95" s="110" t="s">
        <v>3124</v>
      </c>
      <c r="DV95" s="14" t="s">
        <v>3898</v>
      </c>
      <c r="DW95" s="87" t="s">
        <v>3730</v>
      </c>
      <c r="DX95" s="87" t="s">
        <v>3859</v>
      </c>
      <c r="DY95" s="14"/>
      <c r="DZ95" s="233"/>
      <c r="EA95" s="233"/>
      <c r="EB95" s="21" t="s">
        <v>3695</v>
      </c>
      <c r="EC95" s="21"/>
      <c r="ED95" s="14"/>
      <c r="EE95" s="14" t="s">
        <v>3696</v>
      </c>
      <c r="EF95" s="14">
        <v>1</v>
      </c>
      <c r="EG95" s="110" t="s">
        <v>3124</v>
      </c>
      <c r="EH95" s="14" t="s">
        <v>3548</v>
      </c>
      <c r="EI95" s="87" t="s">
        <v>3901</v>
      </c>
      <c r="EJ95" s="87" t="s">
        <v>3697</v>
      </c>
      <c r="EK95" s="14"/>
      <c r="EL95" s="233"/>
      <c r="EM95" s="233"/>
      <c r="EN95" s="21" t="s">
        <v>3011</v>
      </c>
      <c r="EO95" s="21"/>
      <c r="EP95" s="14"/>
      <c r="EQ95" s="14" t="s">
        <v>3012</v>
      </c>
      <c r="ER95" s="14">
        <v>3</v>
      </c>
      <c r="ES95" s="110" t="s">
        <v>3279</v>
      </c>
      <c r="ET95" s="14" t="s">
        <v>3548</v>
      </c>
      <c r="EU95" s="87" t="s">
        <v>3013</v>
      </c>
      <c r="EV95" s="87" t="s">
        <v>3859</v>
      </c>
      <c r="EW95" s="14"/>
      <c r="EX95" s="21"/>
      <c r="EY95" s="233"/>
      <c r="EZ95" s="233"/>
      <c r="FA95" s="233"/>
      <c r="FB95" s="233"/>
      <c r="FC95" s="233"/>
      <c r="FD95" s="233"/>
    </row>
    <row r="96" spans="1:160">
      <c r="A96" s="20" t="s">
        <v>3942</v>
      </c>
      <c r="B96" s="14">
        <v>2</v>
      </c>
      <c r="C96" s="14" t="s">
        <v>3943</v>
      </c>
      <c r="D96" s="14">
        <v>0</v>
      </c>
      <c r="E96" s="14" t="s">
        <v>3472</v>
      </c>
      <c r="F96" s="14" t="s">
        <v>3979</v>
      </c>
      <c r="G96" s="44" t="s">
        <v>3736</v>
      </c>
      <c r="H96" s="44" t="s">
        <v>3728</v>
      </c>
      <c r="I96" s="44" t="s">
        <v>3900</v>
      </c>
      <c r="J96" s="28" t="s">
        <v>5232</v>
      </c>
      <c r="L96" s="21" t="s">
        <v>3018</v>
      </c>
      <c r="M96" s="14"/>
      <c r="N96" s="21"/>
      <c r="O96" s="14" t="s">
        <v>3696</v>
      </c>
      <c r="P96" s="14">
        <v>2</v>
      </c>
      <c r="Q96" s="14" t="s">
        <v>3019</v>
      </c>
      <c r="R96" s="14" t="s">
        <v>3898</v>
      </c>
      <c r="S96" s="44" t="s">
        <v>3753</v>
      </c>
      <c r="T96" s="44" t="s">
        <v>3020</v>
      </c>
      <c r="U96" s="14"/>
      <c r="V96" s="21"/>
      <c r="W96" s="21"/>
      <c r="X96" s="21" t="s">
        <v>502</v>
      </c>
      <c r="Y96" s="14"/>
      <c r="Z96" s="233"/>
      <c r="AA96" s="14" t="s">
        <v>5886</v>
      </c>
      <c r="AB96" s="14">
        <v>2</v>
      </c>
      <c r="AC96" s="110" t="s">
        <v>503</v>
      </c>
      <c r="AD96" s="14" t="s">
        <v>3931</v>
      </c>
      <c r="AE96" s="44" t="s">
        <v>3843</v>
      </c>
      <c r="AF96" s="44" t="s">
        <v>5483</v>
      </c>
      <c r="AG96" s="14"/>
      <c r="AH96" s="21"/>
      <c r="AI96" s="21"/>
      <c r="AJ96" s="21" t="s">
        <v>3018</v>
      </c>
      <c r="AK96" s="21"/>
      <c r="AL96" s="14"/>
      <c r="AM96" s="14" t="s">
        <v>3696</v>
      </c>
      <c r="AN96" s="14">
        <v>2</v>
      </c>
      <c r="AO96" s="110" t="s">
        <v>3019</v>
      </c>
      <c r="AP96" s="14" t="s">
        <v>3898</v>
      </c>
      <c r="AQ96" s="87" t="s">
        <v>3753</v>
      </c>
      <c r="AR96" s="87" t="s">
        <v>3020</v>
      </c>
      <c r="AS96" s="14"/>
      <c r="AT96" s="21"/>
      <c r="AU96" s="21"/>
      <c r="AV96" s="21" t="s">
        <v>3980</v>
      </c>
      <c r="AW96" s="21"/>
      <c r="AX96" s="14"/>
      <c r="AY96" s="14" t="s">
        <v>3142</v>
      </c>
      <c r="AZ96" s="14">
        <v>1</v>
      </c>
      <c r="BA96" s="110" t="s">
        <v>3807</v>
      </c>
      <c r="BB96" s="14" t="s">
        <v>3716</v>
      </c>
      <c r="BC96" s="87" t="s">
        <v>3736</v>
      </c>
      <c r="BD96" s="87" t="s">
        <v>5483</v>
      </c>
      <c r="BE96" s="14"/>
      <c r="BF96" s="21"/>
      <c r="BG96" s="21"/>
      <c r="BH96" s="21" t="s">
        <v>3196</v>
      </c>
      <c r="BI96" s="21"/>
      <c r="BJ96" s="14"/>
      <c r="BK96" s="14" t="s">
        <v>2948</v>
      </c>
      <c r="BL96" s="14">
        <v>1</v>
      </c>
      <c r="BM96" s="110" t="s">
        <v>3197</v>
      </c>
      <c r="BN96" s="14" t="s">
        <v>3898</v>
      </c>
      <c r="BO96" s="87" t="s">
        <v>3021</v>
      </c>
      <c r="BP96" s="87" t="s">
        <v>3022</v>
      </c>
      <c r="BQ96" s="14"/>
      <c r="BR96" s="21"/>
      <c r="BS96" s="233"/>
      <c r="BT96" s="21" t="s">
        <v>3194</v>
      </c>
      <c r="BU96" s="21"/>
      <c r="BV96" s="14"/>
      <c r="BW96" s="14" t="s">
        <v>3012</v>
      </c>
      <c r="BX96" s="14">
        <v>3</v>
      </c>
      <c r="BY96" s="110" t="s">
        <v>3124</v>
      </c>
      <c r="BZ96" s="14" t="s">
        <v>3898</v>
      </c>
      <c r="CA96" s="87" t="s">
        <v>3651</v>
      </c>
      <c r="CB96" s="87" t="s">
        <v>3195</v>
      </c>
      <c r="CC96" s="233"/>
      <c r="CD96" s="233"/>
      <c r="CE96" s="233"/>
      <c r="CF96" s="21" t="s">
        <v>3196</v>
      </c>
      <c r="CG96" s="21"/>
      <c r="CH96" s="14"/>
      <c r="CI96" s="14" t="s">
        <v>2948</v>
      </c>
      <c r="CJ96" s="14">
        <v>1</v>
      </c>
      <c r="CK96" s="110" t="s">
        <v>3197</v>
      </c>
      <c r="CL96" s="14" t="s">
        <v>3898</v>
      </c>
      <c r="CM96" s="87" t="s">
        <v>3021</v>
      </c>
      <c r="CN96" s="87" t="s">
        <v>3022</v>
      </c>
      <c r="CO96" s="233"/>
      <c r="CP96" s="233"/>
      <c r="CQ96" s="233"/>
      <c r="CR96" s="21" t="s">
        <v>502</v>
      </c>
      <c r="CS96" s="14"/>
      <c r="CT96" s="233"/>
      <c r="CU96" s="14" t="s">
        <v>5886</v>
      </c>
      <c r="CV96" s="14">
        <v>2</v>
      </c>
      <c r="CW96" s="110" t="s">
        <v>503</v>
      </c>
      <c r="CX96" s="14" t="s">
        <v>3931</v>
      </c>
      <c r="CY96" s="44" t="s">
        <v>3843</v>
      </c>
      <c r="CZ96" s="44" t="s">
        <v>5483</v>
      </c>
      <c r="DA96" s="14"/>
      <c r="DB96" s="21"/>
      <c r="DC96" s="233"/>
      <c r="DD96" s="21" t="s">
        <v>502</v>
      </c>
      <c r="DE96" s="14"/>
      <c r="DF96" s="233"/>
      <c r="DG96" s="14" t="s">
        <v>5886</v>
      </c>
      <c r="DH96" s="14">
        <v>2</v>
      </c>
      <c r="DI96" s="110" t="s">
        <v>503</v>
      </c>
      <c r="DJ96" s="14" t="s">
        <v>3931</v>
      </c>
      <c r="DK96" s="44" t="s">
        <v>3843</v>
      </c>
      <c r="DL96" s="44" t="s">
        <v>5483</v>
      </c>
      <c r="DM96" s="14"/>
      <c r="DN96" s="21"/>
      <c r="DO96" s="233"/>
      <c r="DP96" s="21"/>
      <c r="DQ96" s="21"/>
      <c r="DR96" s="14"/>
      <c r="DS96" s="14"/>
      <c r="DT96" s="14"/>
      <c r="DU96" s="110"/>
      <c r="DV96" s="14"/>
      <c r="DW96" s="87"/>
      <c r="DX96" s="87"/>
      <c r="DY96" s="14"/>
      <c r="DZ96" s="233"/>
      <c r="EA96" s="233"/>
      <c r="EB96" s="21" t="s">
        <v>3018</v>
      </c>
      <c r="EC96" s="21"/>
      <c r="ED96" s="14"/>
      <c r="EE96" s="14" t="s">
        <v>3696</v>
      </c>
      <c r="EF96" s="14">
        <v>2</v>
      </c>
      <c r="EG96" s="110" t="s">
        <v>3019</v>
      </c>
      <c r="EH96" s="14" t="s">
        <v>3898</v>
      </c>
      <c r="EI96" s="87" t="s">
        <v>3753</v>
      </c>
      <c r="EJ96" s="87" t="s">
        <v>3020</v>
      </c>
      <c r="EK96" s="14"/>
      <c r="EL96" s="233"/>
      <c r="EM96" s="233"/>
      <c r="EN96" s="21" t="s">
        <v>502</v>
      </c>
      <c r="EO96" s="14"/>
      <c r="EP96" s="233"/>
      <c r="EQ96" s="14" t="s">
        <v>5886</v>
      </c>
      <c r="ER96" s="14">
        <v>2</v>
      </c>
      <c r="ES96" s="110" t="s">
        <v>503</v>
      </c>
      <c r="ET96" s="14" t="s">
        <v>3931</v>
      </c>
      <c r="EU96" s="44" t="s">
        <v>3843</v>
      </c>
      <c r="EV96" s="44" t="s">
        <v>5483</v>
      </c>
      <c r="EW96" s="14"/>
      <c r="EX96" s="21"/>
      <c r="EY96" s="233"/>
      <c r="EZ96" s="233"/>
      <c r="FA96" s="233"/>
      <c r="FB96" s="233"/>
      <c r="FC96" s="233"/>
      <c r="FD96" s="233"/>
    </row>
    <row r="97" spans="1:160">
      <c r="A97" s="20" t="s">
        <v>3761</v>
      </c>
      <c r="B97" s="14">
        <v>2</v>
      </c>
      <c r="C97" s="14" t="s">
        <v>3387</v>
      </c>
      <c r="D97" s="14">
        <v>2</v>
      </c>
      <c r="E97" s="110" t="s">
        <v>3925</v>
      </c>
      <c r="F97" s="14" t="s">
        <v>3914</v>
      </c>
      <c r="G97" s="44" t="s">
        <v>3759</v>
      </c>
      <c r="H97" s="44" t="s">
        <v>3762</v>
      </c>
      <c r="I97" s="44">
        <v>8</v>
      </c>
      <c r="J97" s="28" t="s">
        <v>4447</v>
      </c>
      <c r="L97" s="21" t="s">
        <v>3693</v>
      </c>
      <c r="M97" s="14"/>
      <c r="N97" s="21"/>
      <c r="O97" s="14" t="s">
        <v>2948</v>
      </c>
      <c r="P97" s="14">
        <v>2</v>
      </c>
      <c r="Q97" s="110" t="s">
        <v>3650</v>
      </c>
      <c r="R97" s="14" t="s">
        <v>3898</v>
      </c>
      <c r="S97" s="44" t="s">
        <v>3612</v>
      </c>
      <c r="T97" s="44" t="s">
        <v>3694</v>
      </c>
      <c r="U97" s="14"/>
      <c r="V97" s="21"/>
      <c r="W97" s="21"/>
      <c r="X97" s="21" t="s">
        <v>3194</v>
      </c>
      <c r="Y97" s="21"/>
      <c r="Z97" s="14"/>
      <c r="AA97" s="14" t="s">
        <v>3012</v>
      </c>
      <c r="AB97" s="14">
        <v>3</v>
      </c>
      <c r="AC97" s="110" t="s">
        <v>3124</v>
      </c>
      <c r="AD97" s="14" t="s">
        <v>3898</v>
      </c>
      <c r="AE97" s="87" t="s">
        <v>3651</v>
      </c>
      <c r="AF97" s="87" t="s">
        <v>3195</v>
      </c>
      <c r="AG97" s="14"/>
      <c r="AH97" s="21"/>
      <c r="AI97" s="21"/>
      <c r="AJ97" s="21" t="s">
        <v>3338</v>
      </c>
      <c r="AK97" s="21"/>
      <c r="AL97" s="14"/>
      <c r="AM97" s="14" t="s">
        <v>2944</v>
      </c>
      <c r="AN97" s="14">
        <v>3</v>
      </c>
      <c r="AO97" s="110" t="s">
        <v>3205</v>
      </c>
      <c r="AP97" s="14" t="s">
        <v>3898</v>
      </c>
      <c r="AQ97" s="87" t="s">
        <v>3612</v>
      </c>
      <c r="AR97" s="87" t="s">
        <v>3746</v>
      </c>
      <c r="AS97" s="14"/>
      <c r="AT97" s="21"/>
      <c r="AU97" s="21"/>
      <c r="AV97" s="21" t="s">
        <v>2854</v>
      </c>
      <c r="AW97" s="21"/>
      <c r="AX97" s="14"/>
      <c r="AY97" s="14" t="s">
        <v>3129</v>
      </c>
      <c r="AZ97" s="14">
        <v>3</v>
      </c>
      <c r="BA97" s="110" t="s">
        <v>2855</v>
      </c>
      <c r="BB97" s="14" t="s">
        <v>3854</v>
      </c>
      <c r="BC97" s="87" t="s">
        <v>3467</v>
      </c>
      <c r="BD97" s="87" t="s">
        <v>2856</v>
      </c>
      <c r="BE97" s="14"/>
      <c r="BF97" s="21"/>
      <c r="BG97" s="21"/>
      <c r="BH97" s="21" t="s">
        <v>2857</v>
      </c>
      <c r="BI97" s="21"/>
      <c r="BJ97" s="14"/>
      <c r="BK97" s="14" t="s">
        <v>2948</v>
      </c>
      <c r="BL97" s="14">
        <v>1</v>
      </c>
      <c r="BM97" s="110" t="s">
        <v>3801</v>
      </c>
      <c r="BN97" s="14" t="s">
        <v>3898</v>
      </c>
      <c r="BO97" s="87" t="s">
        <v>3400</v>
      </c>
      <c r="BP97" s="87" t="s">
        <v>3728</v>
      </c>
      <c r="BQ97" s="14"/>
      <c r="BR97" s="21"/>
      <c r="BS97" s="233"/>
      <c r="BT97" s="21" t="s">
        <v>3196</v>
      </c>
      <c r="BU97" s="21"/>
      <c r="BV97" s="14"/>
      <c r="BW97" s="14" t="s">
        <v>2948</v>
      </c>
      <c r="BX97" s="14">
        <v>1</v>
      </c>
      <c r="BY97" s="110" t="s">
        <v>3197</v>
      </c>
      <c r="BZ97" s="14" t="s">
        <v>3898</v>
      </c>
      <c r="CA97" s="87" t="s">
        <v>3021</v>
      </c>
      <c r="CB97" s="87" t="s">
        <v>3022</v>
      </c>
      <c r="CC97" s="233"/>
      <c r="CD97" s="233"/>
      <c r="CE97" s="233"/>
      <c r="CF97" s="21" t="s">
        <v>2857</v>
      </c>
      <c r="CG97" s="21"/>
      <c r="CH97" s="14"/>
      <c r="CI97" s="14" t="s">
        <v>2948</v>
      </c>
      <c r="CJ97" s="14">
        <v>1</v>
      </c>
      <c r="CK97" s="110" t="s">
        <v>3801</v>
      </c>
      <c r="CL97" s="14" t="s">
        <v>3898</v>
      </c>
      <c r="CM97" s="87" t="s">
        <v>3400</v>
      </c>
      <c r="CN97" s="87" t="s">
        <v>3728</v>
      </c>
      <c r="CO97" s="233"/>
      <c r="CP97" s="233"/>
      <c r="CQ97" s="233"/>
      <c r="CR97" s="21" t="s">
        <v>3194</v>
      </c>
      <c r="CS97" s="21"/>
      <c r="CT97" s="14"/>
      <c r="CU97" s="14" t="s">
        <v>3012</v>
      </c>
      <c r="CV97" s="14">
        <v>3</v>
      </c>
      <c r="CW97" s="110" t="s">
        <v>3124</v>
      </c>
      <c r="CX97" s="14" t="s">
        <v>3898</v>
      </c>
      <c r="CY97" s="87" t="s">
        <v>3651</v>
      </c>
      <c r="CZ97" s="87" t="s">
        <v>3195</v>
      </c>
      <c r="DA97" s="14"/>
      <c r="DB97" s="21"/>
      <c r="DC97" s="233"/>
      <c r="DD97" s="21" t="s">
        <v>3194</v>
      </c>
      <c r="DE97" s="21"/>
      <c r="DF97" s="14"/>
      <c r="DG97" s="14" t="s">
        <v>3012</v>
      </c>
      <c r="DH97" s="14">
        <v>3</v>
      </c>
      <c r="DI97" s="110" t="s">
        <v>3124</v>
      </c>
      <c r="DJ97" s="14" t="s">
        <v>3898</v>
      </c>
      <c r="DK97" s="87" t="s">
        <v>3651</v>
      </c>
      <c r="DL97" s="87" t="s">
        <v>3195</v>
      </c>
      <c r="DM97" s="14"/>
      <c r="DN97" s="21"/>
      <c r="DO97" s="233"/>
      <c r="DP97" s="21"/>
      <c r="DQ97" s="21"/>
      <c r="DR97" s="14"/>
      <c r="DS97" s="14"/>
      <c r="DT97" s="14"/>
      <c r="DU97" s="110"/>
      <c r="DV97" s="14"/>
      <c r="DW97" s="87"/>
      <c r="DX97" s="87"/>
      <c r="DY97" s="14"/>
      <c r="DZ97" s="233"/>
      <c r="EA97" s="233"/>
      <c r="EB97" s="21" t="s">
        <v>3338</v>
      </c>
      <c r="EC97" s="21"/>
      <c r="ED97" s="14"/>
      <c r="EE97" s="14" t="s">
        <v>2944</v>
      </c>
      <c r="EF97" s="14">
        <v>3</v>
      </c>
      <c r="EG97" s="110" t="s">
        <v>3205</v>
      </c>
      <c r="EH97" s="14" t="s">
        <v>3898</v>
      </c>
      <c r="EI97" s="87" t="s">
        <v>3612</v>
      </c>
      <c r="EJ97" s="87" t="s">
        <v>3746</v>
      </c>
      <c r="EK97" s="14"/>
      <c r="EL97" s="233"/>
      <c r="EM97" s="233"/>
      <c r="EN97" s="21" t="s">
        <v>3194</v>
      </c>
      <c r="EO97" s="21"/>
      <c r="EP97" s="14"/>
      <c r="EQ97" s="14" t="s">
        <v>3012</v>
      </c>
      <c r="ER97" s="14">
        <v>3</v>
      </c>
      <c r="ES97" s="110" t="s">
        <v>3124</v>
      </c>
      <c r="ET97" s="14" t="s">
        <v>3898</v>
      </c>
      <c r="EU97" s="87" t="s">
        <v>3651</v>
      </c>
      <c r="EV97" s="87" t="s">
        <v>3195</v>
      </c>
      <c r="EW97" s="14"/>
      <c r="EX97" s="21"/>
      <c r="EY97" s="233"/>
      <c r="EZ97" s="233"/>
      <c r="FA97" s="233"/>
      <c r="FB97" s="233"/>
      <c r="FC97" s="233"/>
      <c r="FD97" s="233"/>
    </row>
    <row r="98" spans="1:160">
      <c r="A98" s="20" t="s">
        <v>3805</v>
      </c>
      <c r="B98" s="14">
        <v>2</v>
      </c>
      <c r="C98" s="14" t="s">
        <v>3622</v>
      </c>
      <c r="D98" s="14">
        <v>2</v>
      </c>
      <c r="E98" s="110" t="s">
        <v>3806</v>
      </c>
      <c r="F98" s="14" t="s">
        <v>3898</v>
      </c>
      <c r="G98" s="44" t="s">
        <v>3730</v>
      </c>
      <c r="H98" s="44" t="s">
        <v>3608</v>
      </c>
      <c r="I98" s="44" t="s">
        <v>3916</v>
      </c>
      <c r="J98" s="28" t="s">
        <v>5232</v>
      </c>
      <c r="L98" s="21" t="s">
        <v>2858</v>
      </c>
      <c r="M98" s="14"/>
      <c r="N98" s="21"/>
      <c r="O98" s="14" t="s">
        <v>2859</v>
      </c>
      <c r="P98" s="14">
        <v>4</v>
      </c>
      <c r="Q98" s="110" t="s">
        <v>3279</v>
      </c>
      <c r="R98" s="14" t="s">
        <v>3898</v>
      </c>
      <c r="S98" s="44" t="s">
        <v>2860</v>
      </c>
      <c r="T98" s="44" t="s">
        <v>2861</v>
      </c>
      <c r="U98" s="14"/>
      <c r="V98" s="21"/>
      <c r="W98" s="21"/>
      <c r="X98" s="21" t="s">
        <v>2853</v>
      </c>
      <c r="Y98" s="21"/>
      <c r="Z98" s="14"/>
      <c r="AA98" s="14" t="s">
        <v>3691</v>
      </c>
      <c r="AB98" s="14">
        <v>1</v>
      </c>
      <c r="AC98" s="110" t="s">
        <v>3336</v>
      </c>
      <c r="AD98" s="14" t="s">
        <v>4000</v>
      </c>
      <c r="AE98" s="87" t="s">
        <v>3013</v>
      </c>
      <c r="AF98" s="87" t="s">
        <v>3746</v>
      </c>
      <c r="AG98" s="14"/>
      <c r="AH98" s="21"/>
      <c r="AI98" s="21"/>
      <c r="AJ98" s="21" t="s">
        <v>2864</v>
      </c>
      <c r="AK98" s="21"/>
      <c r="AL98" s="14"/>
      <c r="AM98" s="14" t="s">
        <v>2865</v>
      </c>
      <c r="AN98" s="14">
        <v>2</v>
      </c>
      <c r="AO98" s="110" t="s">
        <v>3331</v>
      </c>
      <c r="AP98" s="14" t="s">
        <v>3979</v>
      </c>
      <c r="AQ98" s="87" t="s">
        <v>3901</v>
      </c>
      <c r="AR98" s="87" t="s">
        <v>2866</v>
      </c>
      <c r="AS98" s="14"/>
      <c r="AT98" s="21"/>
      <c r="AU98" s="21"/>
      <c r="AV98" s="21" t="s">
        <v>2867</v>
      </c>
      <c r="AW98" s="21"/>
      <c r="AX98" s="21"/>
      <c r="AY98" s="14" t="s">
        <v>3494</v>
      </c>
      <c r="AZ98" s="14">
        <v>3</v>
      </c>
      <c r="BA98" s="110" t="s">
        <v>2868</v>
      </c>
      <c r="BB98" s="14" t="s">
        <v>3487</v>
      </c>
      <c r="BC98" s="168" t="s">
        <v>3948</v>
      </c>
      <c r="BD98" s="111" t="s">
        <v>2869</v>
      </c>
      <c r="BE98" s="14"/>
      <c r="BF98" s="21"/>
      <c r="BG98" s="21"/>
      <c r="BH98" s="21" t="s">
        <v>2870</v>
      </c>
      <c r="BI98" s="21"/>
      <c r="BJ98" s="14"/>
      <c r="BK98" s="14" t="s">
        <v>3127</v>
      </c>
      <c r="BL98" s="14">
        <v>2</v>
      </c>
      <c r="BM98" s="110" t="s">
        <v>3331</v>
      </c>
      <c r="BN98" s="14" t="s">
        <v>2871</v>
      </c>
      <c r="BO98" s="87" t="s">
        <v>3736</v>
      </c>
      <c r="BP98" s="87" t="s">
        <v>3286</v>
      </c>
      <c r="BQ98" s="14"/>
      <c r="BR98" s="21"/>
      <c r="BS98" s="233"/>
      <c r="BT98" s="21" t="s">
        <v>2857</v>
      </c>
      <c r="BU98" s="21"/>
      <c r="BV98" s="14"/>
      <c r="BW98" s="14" t="s">
        <v>2948</v>
      </c>
      <c r="BX98" s="14">
        <v>1</v>
      </c>
      <c r="BY98" s="110" t="s">
        <v>3801</v>
      </c>
      <c r="BZ98" s="14" t="s">
        <v>3898</v>
      </c>
      <c r="CA98" s="87" t="s">
        <v>3400</v>
      </c>
      <c r="CB98" s="87" t="s">
        <v>3728</v>
      </c>
      <c r="CC98" s="233"/>
      <c r="CD98" s="233"/>
      <c r="CE98" s="233"/>
      <c r="CF98" s="21" t="s">
        <v>2870</v>
      </c>
      <c r="CG98" s="21"/>
      <c r="CH98" s="14"/>
      <c r="CI98" s="14" t="s">
        <v>3127</v>
      </c>
      <c r="CJ98" s="14">
        <v>2</v>
      </c>
      <c r="CK98" s="110" t="s">
        <v>3331</v>
      </c>
      <c r="CL98" s="14" t="s">
        <v>2871</v>
      </c>
      <c r="CM98" s="87" t="s">
        <v>3736</v>
      </c>
      <c r="CN98" s="87" t="s">
        <v>3286</v>
      </c>
      <c r="CO98" s="233"/>
      <c r="CP98" s="233"/>
      <c r="CQ98" s="233"/>
      <c r="CR98" s="21" t="s">
        <v>2853</v>
      </c>
      <c r="CS98" s="21"/>
      <c r="CT98" s="14"/>
      <c r="CU98" s="14" t="s">
        <v>3691</v>
      </c>
      <c r="CV98" s="14">
        <v>1</v>
      </c>
      <c r="CW98" s="110" t="s">
        <v>3336</v>
      </c>
      <c r="CX98" s="14" t="s">
        <v>4000</v>
      </c>
      <c r="CY98" s="87" t="s">
        <v>3013</v>
      </c>
      <c r="CZ98" s="87" t="s">
        <v>3746</v>
      </c>
      <c r="DA98" s="14"/>
      <c r="DB98" s="21"/>
      <c r="DC98" s="233"/>
      <c r="DD98" s="21" t="s">
        <v>2853</v>
      </c>
      <c r="DE98" s="21"/>
      <c r="DF98" s="14"/>
      <c r="DG98" s="14" t="s">
        <v>3691</v>
      </c>
      <c r="DH98" s="14">
        <v>1</v>
      </c>
      <c r="DI98" s="110" t="s">
        <v>3336</v>
      </c>
      <c r="DJ98" s="14" t="s">
        <v>4000</v>
      </c>
      <c r="DK98" s="87" t="s">
        <v>3013</v>
      </c>
      <c r="DL98" s="87" t="s">
        <v>3746</v>
      </c>
      <c r="DM98" s="14"/>
      <c r="DN98" s="21"/>
      <c r="DO98" s="233"/>
      <c r="DP98" s="21"/>
      <c r="DQ98" s="21"/>
      <c r="DR98" s="14"/>
      <c r="DS98" s="14"/>
      <c r="DT98" s="14"/>
      <c r="DU98" s="110"/>
      <c r="DV98" s="14"/>
      <c r="DW98" s="87"/>
      <c r="DX98" s="87"/>
      <c r="DY98" s="14"/>
      <c r="DZ98" s="233"/>
      <c r="EA98" s="233"/>
      <c r="EB98" s="21" t="s">
        <v>2864</v>
      </c>
      <c r="EC98" s="21"/>
      <c r="ED98" s="14"/>
      <c r="EE98" s="14" t="s">
        <v>2865</v>
      </c>
      <c r="EF98" s="14">
        <v>2</v>
      </c>
      <c r="EG98" s="110" t="s">
        <v>3331</v>
      </c>
      <c r="EH98" s="14" t="s">
        <v>3979</v>
      </c>
      <c r="EI98" s="87" t="s">
        <v>3901</v>
      </c>
      <c r="EJ98" s="87" t="s">
        <v>2866</v>
      </c>
      <c r="EK98" s="14"/>
      <c r="EL98" s="233"/>
      <c r="EM98" s="233"/>
      <c r="EN98" s="21" t="s">
        <v>2853</v>
      </c>
      <c r="EO98" s="21"/>
      <c r="EP98" s="14"/>
      <c r="EQ98" s="14" t="s">
        <v>3691</v>
      </c>
      <c r="ER98" s="14">
        <v>1</v>
      </c>
      <c r="ES98" s="110" t="s">
        <v>3336</v>
      </c>
      <c r="ET98" s="14" t="s">
        <v>4000</v>
      </c>
      <c r="EU98" s="87" t="s">
        <v>3013</v>
      </c>
      <c r="EV98" s="87" t="s">
        <v>3746</v>
      </c>
      <c r="EW98" s="14"/>
      <c r="EX98" s="21"/>
      <c r="EY98" s="233"/>
      <c r="EZ98" s="233"/>
      <c r="FA98" s="233"/>
      <c r="FB98" s="233"/>
      <c r="FC98" s="233"/>
      <c r="FD98" s="233"/>
    </row>
    <row r="99" spans="1:160">
      <c r="A99" s="20" t="s">
        <v>3939</v>
      </c>
      <c r="B99" s="14">
        <v>2</v>
      </c>
      <c r="C99" s="14" t="s">
        <v>3940</v>
      </c>
      <c r="D99" s="14">
        <v>0</v>
      </c>
      <c r="E99" s="14" t="s">
        <v>3941</v>
      </c>
      <c r="F99" s="14" t="s">
        <v>3914</v>
      </c>
      <c r="G99" s="44" t="s">
        <v>3765</v>
      </c>
      <c r="H99" s="44" t="s">
        <v>3746</v>
      </c>
      <c r="I99" s="44" t="s">
        <v>3900</v>
      </c>
      <c r="J99" s="28" t="s">
        <v>5232</v>
      </c>
      <c r="L99" s="21" t="s">
        <v>2872</v>
      </c>
      <c r="M99" s="14"/>
      <c r="N99" s="21"/>
      <c r="O99" s="14" t="s">
        <v>2944</v>
      </c>
      <c r="P99" s="14">
        <v>1</v>
      </c>
      <c r="Q99" s="110" t="s">
        <v>3233</v>
      </c>
      <c r="R99" s="14" t="s">
        <v>3716</v>
      </c>
      <c r="S99" s="44" t="s">
        <v>3765</v>
      </c>
      <c r="T99" s="44" t="s">
        <v>3040</v>
      </c>
      <c r="U99" s="14"/>
      <c r="V99" s="21"/>
      <c r="W99" s="21"/>
      <c r="X99" s="21" t="s">
        <v>2862</v>
      </c>
      <c r="Y99" s="21"/>
      <c r="Z99" s="14"/>
      <c r="AA99" s="14" t="s">
        <v>3691</v>
      </c>
      <c r="AB99" s="14">
        <v>2</v>
      </c>
      <c r="AC99" s="110" t="s">
        <v>3211</v>
      </c>
      <c r="AD99" s="14" t="s">
        <v>3898</v>
      </c>
      <c r="AE99" s="87" t="s">
        <v>3291</v>
      </c>
      <c r="AF99" s="87" t="s">
        <v>2863</v>
      </c>
      <c r="AG99" s="14"/>
      <c r="AH99" s="21"/>
      <c r="AI99" s="21"/>
      <c r="AJ99" s="21" t="s">
        <v>3041</v>
      </c>
      <c r="AK99" s="21"/>
      <c r="AL99" s="14"/>
      <c r="AM99" s="14" t="s">
        <v>3042</v>
      </c>
      <c r="AN99" s="14">
        <v>1</v>
      </c>
      <c r="AO99" s="110" t="s">
        <v>3124</v>
      </c>
      <c r="AP99" s="14" t="s">
        <v>3947</v>
      </c>
      <c r="AQ99" s="87" t="s">
        <v>3550</v>
      </c>
      <c r="AR99" s="44" t="s">
        <v>3043</v>
      </c>
      <c r="AS99" s="14"/>
      <c r="AT99" s="21"/>
      <c r="AU99" s="21"/>
      <c r="AV99" s="21" t="s">
        <v>3219</v>
      </c>
      <c r="AW99" s="21"/>
      <c r="AX99" s="14"/>
      <c r="AY99" s="14" t="s">
        <v>3141</v>
      </c>
      <c r="AZ99" s="14" t="s">
        <v>3220</v>
      </c>
      <c r="BA99" s="110" t="s">
        <v>3221</v>
      </c>
      <c r="BB99" s="14" t="s">
        <v>3898</v>
      </c>
      <c r="BC99" s="87" t="s">
        <v>3046</v>
      </c>
      <c r="BD99" s="87" t="s">
        <v>3047</v>
      </c>
      <c r="BE99" s="14"/>
      <c r="BF99" s="21"/>
      <c r="BG99" s="21"/>
      <c r="BH99" s="21" t="s">
        <v>3048</v>
      </c>
      <c r="BI99" s="21"/>
      <c r="BJ99" s="14"/>
      <c r="BK99" s="14" t="s">
        <v>3127</v>
      </c>
      <c r="BL99" s="14">
        <v>3</v>
      </c>
      <c r="BM99" s="110" t="s">
        <v>3124</v>
      </c>
      <c r="BN99" s="14" t="s">
        <v>3898</v>
      </c>
      <c r="BO99" s="87" t="s">
        <v>3730</v>
      </c>
      <c r="BP99" s="87" t="s">
        <v>3859</v>
      </c>
      <c r="BQ99" s="14"/>
      <c r="BR99" s="21"/>
      <c r="BS99" s="233"/>
      <c r="BT99" s="21" t="s">
        <v>3049</v>
      </c>
      <c r="BU99" s="21"/>
      <c r="BV99" s="14"/>
      <c r="BW99" s="14" t="s">
        <v>3237</v>
      </c>
      <c r="BX99" s="14">
        <v>2</v>
      </c>
      <c r="BY99" s="106" t="s">
        <v>3233</v>
      </c>
      <c r="BZ99" s="14" t="s">
        <v>3898</v>
      </c>
      <c r="CA99" s="87" t="s">
        <v>3550</v>
      </c>
      <c r="CB99" s="44" t="s">
        <v>3050</v>
      </c>
      <c r="CC99" s="233"/>
      <c r="CD99" s="233"/>
      <c r="CE99" s="233"/>
      <c r="CF99" s="21" t="s">
        <v>3048</v>
      </c>
      <c r="CG99" s="21"/>
      <c r="CH99" s="14"/>
      <c r="CI99" s="14" t="s">
        <v>3127</v>
      </c>
      <c r="CJ99" s="14">
        <v>3</v>
      </c>
      <c r="CK99" s="110" t="s">
        <v>3124</v>
      </c>
      <c r="CL99" s="14" t="s">
        <v>3898</v>
      </c>
      <c r="CM99" s="87" t="s">
        <v>3730</v>
      </c>
      <c r="CN99" s="87" t="s">
        <v>3859</v>
      </c>
      <c r="CO99" s="233"/>
      <c r="CP99" s="233"/>
      <c r="CQ99" s="233"/>
      <c r="CR99" s="21" t="s">
        <v>2862</v>
      </c>
      <c r="CS99" s="21"/>
      <c r="CT99" s="14"/>
      <c r="CU99" s="14" t="s">
        <v>3691</v>
      </c>
      <c r="CV99" s="14">
        <v>2</v>
      </c>
      <c r="CW99" s="110" t="s">
        <v>3211</v>
      </c>
      <c r="CX99" s="14" t="s">
        <v>3898</v>
      </c>
      <c r="CY99" s="87" t="s">
        <v>3291</v>
      </c>
      <c r="CZ99" s="87" t="s">
        <v>2863</v>
      </c>
      <c r="DA99" s="14"/>
      <c r="DB99" s="21"/>
      <c r="DC99" s="233"/>
      <c r="DD99" s="21" t="s">
        <v>2862</v>
      </c>
      <c r="DE99" s="21"/>
      <c r="DF99" s="14"/>
      <c r="DG99" s="14" t="s">
        <v>3691</v>
      </c>
      <c r="DH99" s="14">
        <v>2</v>
      </c>
      <c r="DI99" s="110" t="s">
        <v>3211</v>
      </c>
      <c r="DJ99" s="14" t="s">
        <v>3898</v>
      </c>
      <c r="DK99" s="87" t="s">
        <v>3291</v>
      </c>
      <c r="DL99" s="87" t="s">
        <v>2863</v>
      </c>
      <c r="DM99" s="14"/>
      <c r="DN99" s="21"/>
      <c r="DO99" s="233"/>
      <c r="DP99" s="21"/>
      <c r="DQ99" s="21"/>
      <c r="DR99" s="14"/>
      <c r="DS99" s="14"/>
      <c r="DT99" s="14"/>
      <c r="DU99" s="110"/>
      <c r="DV99" s="14"/>
      <c r="DW99" s="87"/>
      <c r="DX99" s="44"/>
      <c r="DY99" s="14"/>
      <c r="DZ99" s="233"/>
      <c r="EA99" s="233"/>
      <c r="EB99" s="21" t="s">
        <v>3041</v>
      </c>
      <c r="EC99" s="21"/>
      <c r="ED99" s="14"/>
      <c r="EE99" s="14" t="s">
        <v>3042</v>
      </c>
      <c r="EF99" s="14">
        <v>1</v>
      </c>
      <c r="EG99" s="110" t="s">
        <v>3124</v>
      </c>
      <c r="EH99" s="14" t="s">
        <v>3947</v>
      </c>
      <c r="EI99" s="87" t="s">
        <v>3550</v>
      </c>
      <c r="EJ99" s="44" t="s">
        <v>3043</v>
      </c>
      <c r="EK99" s="14"/>
      <c r="EL99" s="233"/>
      <c r="EM99" s="233"/>
      <c r="EN99" s="21" t="s">
        <v>2862</v>
      </c>
      <c r="EO99" s="21"/>
      <c r="EP99" s="14"/>
      <c r="EQ99" s="14" t="s">
        <v>3691</v>
      </c>
      <c r="ER99" s="14">
        <v>2</v>
      </c>
      <c r="ES99" s="110" t="s">
        <v>3211</v>
      </c>
      <c r="ET99" s="14" t="s">
        <v>3898</v>
      </c>
      <c r="EU99" s="87" t="s">
        <v>3291</v>
      </c>
      <c r="EV99" s="87" t="s">
        <v>2863</v>
      </c>
      <c r="EW99" s="14"/>
      <c r="EX99" s="21"/>
      <c r="EY99" s="233"/>
      <c r="EZ99" s="233"/>
      <c r="FA99" s="233"/>
      <c r="FB99" s="233"/>
      <c r="FC99" s="233"/>
      <c r="FD99" s="233"/>
    </row>
    <row r="100" spans="1:160">
      <c r="A100" s="20" t="s">
        <v>3293</v>
      </c>
      <c r="B100" s="14">
        <v>2</v>
      </c>
      <c r="C100" s="14" t="s">
        <v>3622</v>
      </c>
      <c r="D100" s="14">
        <v>1</v>
      </c>
      <c r="E100" s="110" t="s">
        <v>3812</v>
      </c>
      <c r="F100" s="14" t="s">
        <v>3735</v>
      </c>
      <c r="G100" s="44" t="s">
        <v>3736</v>
      </c>
      <c r="H100" s="44" t="s">
        <v>3488</v>
      </c>
      <c r="I100" s="44" t="s">
        <v>3916</v>
      </c>
      <c r="J100" s="28" t="s">
        <v>5232</v>
      </c>
      <c r="L100" s="21" t="s">
        <v>3051</v>
      </c>
      <c r="M100" s="14"/>
      <c r="N100" s="21"/>
      <c r="O100" s="14" t="s">
        <v>2859</v>
      </c>
      <c r="P100" s="14">
        <v>2</v>
      </c>
      <c r="Q100" s="110" t="s">
        <v>3331</v>
      </c>
      <c r="R100" s="14" t="s">
        <v>3898</v>
      </c>
      <c r="S100" s="44" t="s">
        <v>3651</v>
      </c>
      <c r="T100" s="44" t="s">
        <v>3053</v>
      </c>
      <c r="U100" s="14"/>
      <c r="V100" s="21"/>
      <c r="W100" s="21"/>
      <c r="X100" s="21" t="s">
        <v>2858</v>
      </c>
      <c r="Y100" s="21"/>
      <c r="Z100" s="14"/>
      <c r="AA100" s="14" t="s">
        <v>2859</v>
      </c>
      <c r="AB100" s="14">
        <v>4</v>
      </c>
      <c r="AC100" s="110" t="s">
        <v>3279</v>
      </c>
      <c r="AD100" s="14" t="s">
        <v>3898</v>
      </c>
      <c r="AE100" s="87" t="s">
        <v>2860</v>
      </c>
      <c r="AF100" s="87" t="s">
        <v>2861</v>
      </c>
      <c r="AG100" s="14"/>
      <c r="AH100" s="21"/>
      <c r="AI100" s="21"/>
      <c r="AJ100" s="21" t="s">
        <v>3054</v>
      </c>
      <c r="AK100" s="21"/>
      <c r="AL100" s="14"/>
      <c r="AM100" s="14" t="s">
        <v>2944</v>
      </c>
      <c r="AN100" s="14">
        <v>3</v>
      </c>
      <c r="AO100" s="110" t="s">
        <v>3211</v>
      </c>
      <c r="AP100" s="14" t="s">
        <v>3898</v>
      </c>
      <c r="AQ100" s="87" t="s">
        <v>3395</v>
      </c>
      <c r="AR100" s="87" t="s">
        <v>3055</v>
      </c>
      <c r="AS100" s="14"/>
      <c r="AT100" s="21"/>
      <c r="AU100" s="21"/>
      <c r="AV100" s="21" t="s">
        <v>3056</v>
      </c>
      <c r="AW100" s="21"/>
      <c r="AX100" s="14"/>
      <c r="AY100" s="14" t="s">
        <v>3129</v>
      </c>
      <c r="AZ100" s="14">
        <v>2</v>
      </c>
      <c r="BA100" s="110" t="s">
        <v>3124</v>
      </c>
      <c r="BB100" s="14" t="s">
        <v>3947</v>
      </c>
      <c r="BC100" s="87" t="s">
        <v>3057</v>
      </c>
      <c r="BD100" s="87" t="s">
        <v>3238</v>
      </c>
      <c r="BE100" s="14"/>
      <c r="BF100" s="21"/>
      <c r="BG100" s="21"/>
      <c r="BH100" s="21" t="s">
        <v>504</v>
      </c>
      <c r="BI100" s="21"/>
      <c r="BJ100" s="14"/>
      <c r="BK100" s="14" t="s">
        <v>5887</v>
      </c>
      <c r="BL100" s="14" t="s">
        <v>5036</v>
      </c>
      <c r="BM100" s="110" t="s">
        <v>503</v>
      </c>
      <c r="BN100" s="14" t="s">
        <v>3947</v>
      </c>
      <c r="BO100" s="44" t="s">
        <v>3407</v>
      </c>
      <c r="BP100" s="44" t="s">
        <v>505</v>
      </c>
      <c r="BQ100" s="44"/>
      <c r="BR100" s="21"/>
      <c r="BS100" s="233"/>
      <c r="BT100" s="21" t="s">
        <v>3241</v>
      </c>
      <c r="BU100" s="14"/>
      <c r="BV100" s="21"/>
      <c r="BW100" s="14" t="s">
        <v>2859</v>
      </c>
      <c r="BX100" s="14">
        <v>1</v>
      </c>
      <c r="BY100" s="110" t="s">
        <v>3331</v>
      </c>
      <c r="BZ100" s="14" t="s">
        <v>3914</v>
      </c>
      <c r="CA100" s="87" t="s">
        <v>3736</v>
      </c>
      <c r="CB100" s="44" t="s">
        <v>3728</v>
      </c>
      <c r="CC100" s="233"/>
      <c r="CD100" s="233"/>
      <c r="CE100" s="233"/>
      <c r="CF100" s="21" t="s">
        <v>504</v>
      </c>
      <c r="CG100" s="21"/>
      <c r="CH100" s="14"/>
      <c r="CI100" s="14" t="s">
        <v>5887</v>
      </c>
      <c r="CJ100" s="14" t="s">
        <v>5036</v>
      </c>
      <c r="CK100" s="110" t="s">
        <v>503</v>
      </c>
      <c r="CL100" s="14" t="s">
        <v>3947</v>
      </c>
      <c r="CM100" s="44" t="s">
        <v>3407</v>
      </c>
      <c r="CN100" s="44" t="s">
        <v>505</v>
      </c>
      <c r="CO100" s="233"/>
      <c r="CP100" s="233"/>
      <c r="CQ100" s="233"/>
      <c r="CR100" s="21" t="s">
        <v>2858</v>
      </c>
      <c r="CS100" s="21"/>
      <c r="CT100" s="14"/>
      <c r="CU100" s="14" t="s">
        <v>2859</v>
      </c>
      <c r="CV100" s="14">
        <v>4</v>
      </c>
      <c r="CW100" s="110" t="s">
        <v>3279</v>
      </c>
      <c r="CX100" s="14" t="s">
        <v>3898</v>
      </c>
      <c r="CY100" s="87" t="s">
        <v>2860</v>
      </c>
      <c r="CZ100" s="87" t="s">
        <v>2861</v>
      </c>
      <c r="DA100" s="14"/>
      <c r="DB100" s="21"/>
      <c r="DC100" s="233"/>
      <c r="DD100" s="21" t="s">
        <v>2858</v>
      </c>
      <c r="DE100" s="21"/>
      <c r="DF100" s="14"/>
      <c r="DG100" s="14" t="s">
        <v>2859</v>
      </c>
      <c r="DH100" s="14">
        <v>4</v>
      </c>
      <c r="DI100" s="110" t="s">
        <v>3279</v>
      </c>
      <c r="DJ100" s="14" t="s">
        <v>3898</v>
      </c>
      <c r="DK100" s="87" t="s">
        <v>2860</v>
      </c>
      <c r="DL100" s="87" t="s">
        <v>2861</v>
      </c>
      <c r="DM100" s="14"/>
      <c r="DN100" s="21"/>
      <c r="DO100" s="233"/>
      <c r="DP100" s="21"/>
      <c r="DQ100" s="21"/>
      <c r="DR100" s="14"/>
      <c r="DS100" s="14"/>
      <c r="DT100" s="14"/>
      <c r="DU100" s="110"/>
      <c r="DV100" s="14"/>
      <c r="DW100" s="87"/>
      <c r="DX100" s="87"/>
      <c r="DY100" s="14"/>
      <c r="DZ100" s="233"/>
      <c r="EA100" s="233"/>
      <c r="EB100" s="21" t="s">
        <v>3054</v>
      </c>
      <c r="EC100" s="21"/>
      <c r="ED100" s="14"/>
      <c r="EE100" s="14" t="s">
        <v>2944</v>
      </c>
      <c r="EF100" s="14">
        <v>3</v>
      </c>
      <c r="EG100" s="110" t="s">
        <v>3211</v>
      </c>
      <c r="EH100" s="14" t="s">
        <v>3898</v>
      </c>
      <c r="EI100" s="87" t="s">
        <v>3395</v>
      </c>
      <c r="EJ100" s="87" t="s">
        <v>3055</v>
      </c>
      <c r="EK100" s="14"/>
      <c r="EL100" s="233"/>
      <c r="EM100" s="233"/>
      <c r="EN100" s="21" t="s">
        <v>2858</v>
      </c>
      <c r="EO100" s="21"/>
      <c r="EP100" s="14"/>
      <c r="EQ100" s="14" t="s">
        <v>2859</v>
      </c>
      <c r="ER100" s="14">
        <v>4</v>
      </c>
      <c r="ES100" s="110" t="s">
        <v>3279</v>
      </c>
      <c r="ET100" s="14" t="s">
        <v>3898</v>
      </c>
      <c r="EU100" s="87" t="s">
        <v>2860</v>
      </c>
      <c r="EV100" s="87" t="s">
        <v>2861</v>
      </c>
      <c r="EW100" s="14"/>
      <c r="EX100" s="21"/>
      <c r="EY100" s="233"/>
      <c r="EZ100" s="233"/>
      <c r="FA100" s="233"/>
      <c r="FB100" s="233"/>
      <c r="FC100" s="233"/>
      <c r="FD100" s="233"/>
    </row>
    <row r="101" spans="1:160">
      <c r="A101" s="20" t="s">
        <v>3300</v>
      </c>
      <c r="B101" s="14">
        <v>2</v>
      </c>
      <c r="C101" s="14" t="s">
        <v>3622</v>
      </c>
      <c r="D101" s="14" t="s">
        <v>5036</v>
      </c>
      <c r="E101" s="14" t="s">
        <v>3415</v>
      </c>
      <c r="F101" s="14" t="s">
        <v>3898</v>
      </c>
      <c r="G101" s="44" t="s">
        <v>3765</v>
      </c>
      <c r="H101" s="44" t="s">
        <v>3479</v>
      </c>
      <c r="I101" s="44">
        <v>2</v>
      </c>
      <c r="J101" s="28" t="s">
        <v>5232</v>
      </c>
      <c r="L101" s="21" t="s">
        <v>3242</v>
      </c>
      <c r="M101" s="14"/>
      <c r="N101" s="21"/>
      <c r="O101" s="14" t="s">
        <v>3243</v>
      </c>
      <c r="P101" s="14">
        <v>2</v>
      </c>
      <c r="Q101" s="110" t="s">
        <v>3124</v>
      </c>
      <c r="R101" s="14" t="s">
        <v>3979</v>
      </c>
      <c r="S101" s="44" t="s">
        <v>3901</v>
      </c>
      <c r="T101" s="44" t="s">
        <v>3859</v>
      </c>
      <c r="U101" s="14"/>
      <c r="V101" s="21"/>
      <c r="W101" s="21"/>
      <c r="X101" s="21" t="s">
        <v>3051</v>
      </c>
      <c r="Y101" s="21"/>
      <c r="Z101" s="14"/>
      <c r="AA101" s="14" t="s">
        <v>2859</v>
      </c>
      <c r="AB101" s="14">
        <v>2</v>
      </c>
      <c r="AC101" s="110" t="s">
        <v>3331</v>
      </c>
      <c r="AD101" s="14" t="s">
        <v>3898</v>
      </c>
      <c r="AE101" s="87" t="s">
        <v>3651</v>
      </c>
      <c r="AF101" s="87" t="s">
        <v>3053</v>
      </c>
      <c r="AG101" s="14"/>
      <c r="AH101" s="21"/>
      <c r="AI101" s="21"/>
      <c r="AJ101" s="21" t="s">
        <v>3244</v>
      </c>
      <c r="AK101" s="21"/>
      <c r="AL101" s="14"/>
      <c r="AM101" s="14" t="s">
        <v>2944</v>
      </c>
      <c r="AN101" s="14" t="s">
        <v>5036</v>
      </c>
      <c r="AO101" s="110" t="s">
        <v>3897</v>
      </c>
      <c r="AP101" s="14" t="s">
        <v>3898</v>
      </c>
      <c r="AQ101" s="87" t="s">
        <v>3765</v>
      </c>
      <c r="AR101" s="87" t="s">
        <v>3245</v>
      </c>
      <c r="AS101" s="14"/>
      <c r="AT101" s="21"/>
      <c r="AU101" s="21"/>
      <c r="AV101" s="21" t="s">
        <v>3242</v>
      </c>
      <c r="AW101" s="21"/>
      <c r="AX101" s="14"/>
      <c r="AY101" s="14" t="s">
        <v>3243</v>
      </c>
      <c r="AZ101" s="14">
        <v>2</v>
      </c>
      <c r="BA101" s="110" t="s">
        <v>3124</v>
      </c>
      <c r="BB101" s="14" t="s">
        <v>3979</v>
      </c>
      <c r="BC101" s="87" t="s">
        <v>3901</v>
      </c>
      <c r="BD101" s="87" t="s">
        <v>3859</v>
      </c>
      <c r="BE101" s="14"/>
      <c r="BF101" s="21"/>
      <c r="BG101" s="21"/>
      <c r="BH101" s="21" t="s">
        <v>3239</v>
      </c>
      <c r="BI101" s="21"/>
      <c r="BJ101" s="14"/>
      <c r="BK101" s="14" t="s">
        <v>2948</v>
      </c>
      <c r="BL101" s="14">
        <v>2</v>
      </c>
      <c r="BM101" s="110" t="s">
        <v>3749</v>
      </c>
      <c r="BN101" s="14" t="s">
        <v>3898</v>
      </c>
      <c r="BO101" s="87" t="s">
        <v>3753</v>
      </c>
      <c r="BP101" s="87" t="s">
        <v>3240</v>
      </c>
      <c r="BQ101" s="14"/>
      <c r="BR101" s="21"/>
      <c r="BS101" s="233"/>
      <c r="BT101" s="21" t="s">
        <v>3593</v>
      </c>
      <c r="BU101" s="21"/>
      <c r="BV101" s="14"/>
      <c r="BW101" s="14" t="s">
        <v>3141</v>
      </c>
      <c r="BX101" s="14">
        <v>3</v>
      </c>
      <c r="BY101" s="14" t="s">
        <v>3248</v>
      </c>
      <c r="BZ101" s="14" t="s">
        <v>3716</v>
      </c>
      <c r="CA101" s="87" t="s">
        <v>3736</v>
      </c>
      <c r="CB101" s="87" t="s">
        <v>3859</v>
      </c>
      <c r="CC101" s="233"/>
      <c r="CD101" s="233"/>
      <c r="CE101" s="233"/>
      <c r="CF101" s="21" t="s">
        <v>3239</v>
      </c>
      <c r="CG101" s="21"/>
      <c r="CH101" s="14"/>
      <c r="CI101" s="14" t="s">
        <v>2948</v>
      </c>
      <c r="CJ101" s="14">
        <v>2</v>
      </c>
      <c r="CK101" s="110" t="s">
        <v>3749</v>
      </c>
      <c r="CL101" s="14" t="s">
        <v>3898</v>
      </c>
      <c r="CM101" s="87" t="s">
        <v>3753</v>
      </c>
      <c r="CN101" s="87" t="s">
        <v>3240</v>
      </c>
      <c r="CO101" s="233"/>
      <c r="CP101" s="233"/>
      <c r="CQ101" s="233"/>
      <c r="CR101" s="21" t="s">
        <v>3051</v>
      </c>
      <c r="CS101" s="21"/>
      <c r="CT101" s="14"/>
      <c r="CU101" s="14" t="s">
        <v>2859</v>
      </c>
      <c r="CV101" s="14">
        <v>2</v>
      </c>
      <c r="CW101" s="110" t="s">
        <v>3331</v>
      </c>
      <c r="CX101" s="14" t="s">
        <v>3898</v>
      </c>
      <c r="CY101" s="87" t="s">
        <v>3651</v>
      </c>
      <c r="CZ101" s="87" t="s">
        <v>3053</v>
      </c>
      <c r="DA101" s="14"/>
      <c r="DB101" s="21"/>
      <c r="DC101" s="233"/>
      <c r="DD101" s="21" t="s">
        <v>3051</v>
      </c>
      <c r="DE101" s="21"/>
      <c r="DF101" s="14"/>
      <c r="DG101" s="14" t="s">
        <v>2859</v>
      </c>
      <c r="DH101" s="14">
        <v>2</v>
      </c>
      <c r="DI101" s="110" t="s">
        <v>3331</v>
      </c>
      <c r="DJ101" s="14" t="s">
        <v>3898</v>
      </c>
      <c r="DK101" s="87" t="s">
        <v>3651</v>
      </c>
      <c r="DL101" s="87" t="s">
        <v>3053</v>
      </c>
      <c r="DM101" s="14"/>
      <c r="DN101" s="21"/>
      <c r="DO101" s="233"/>
      <c r="DP101" s="21"/>
      <c r="DQ101" s="21"/>
      <c r="DR101" s="14"/>
      <c r="DS101" s="14"/>
      <c r="DT101" s="14"/>
      <c r="DU101" s="110"/>
      <c r="DV101" s="14"/>
      <c r="DW101" s="87"/>
      <c r="DX101" s="87"/>
      <c r="DY101" s="14"/>
      <c r="DZ101" s="233"/>
      <c r="EA101" s="233"/>
      <c r="EB101" s="21" t="s">
        <v>3244</v>
      </c>
      <c r="EC101" s="21"/>
      <c r="ED101" s="14"/>
      <c r="EE101" s="14" t="s">
        <v>2944</v>
      </c>
      <c r="EF101" s="14" t="s">
        <v>5036</v>
      </c>
      <c r="EG101" s="110" t="s">
        <v>3897</v>
      </c>
      <c r="EH101" s="14" t="s">
        <v>3898</v>
      </c>
      <c r="EI101" s="87" t="s">
        <v>3765</v>
      </c>
      <c r="EJ101" s="87" t="s">
        <v>3245</v>
      </c>
      <c r="EK101" s="14"/>
      <c r="EL101" s="233"/>
      <c r="EM101" s="233"/>
      <c r="EN101" s="21" t="s">
        <v>3051</v>
      </c>
      <c r="EO101" s="21"/>
      <c r="EP101" s="14"/>
      <c r="EQ101" s="14" t="s">
        <v>2859</v>
      </c>
      <c r="ER101" s="14">
        <v>2</v>
      </c>
      <c r="ES101" s="110" t="s">
        <v>3331</v>
      </c>
      <c r="ET101" s="14" t="s">
        <v>3898</v>
      </c>
      <c r="EU101" s="87" t="s">
        <v>3651</v>
      </c>
      <c r="EV101" s="87" t="s">
        <v>3053</v>
      </c>
      <c r="EW101" s="14"/>
      <c r="EX101" s="21"/>
      <c r="EY101" s="233"/>
      <c r="EZ101" s="233"/>
      <c r="FA101" s="233"/>
      <c r="FB101" s="233"/>
      <c r="FC101" s="233"/>
      <c r="FD101" s="233"/>
    </row>
    <row r="102" spans="1:160">
      <c r="A102" s="20" t="s">
        <v>3471</v>
      </c>
      <c r="B102" s="14">
        <v>2</v>
      </c>
      <c r="C102" s="14" t="s">
        <v>3620</v>
      </c>
      <c r="D102" s="14" t="s">
        <v>5036</v>
      </c>
      <c r="E102" s="14" t="s">
        <v>3472</v>
      </c>
      <c r="F102" s="14" t="s">
        <v>3473</v>
      </c>
      <c r="G102" s="44" t="s">
        <v>3736</v>
      </c>
      <c r="H102" s="44" t="s">
        <v>3474</v>
      </c>
      <c r="I102" s="44" t="s">
        <v>3916</v>
      </c>
      <c r="J102" s="28" t="s">
        <v>4773</v>
      </c>
      <c r="L102" s="21" t="s">
        <v>3594</v>
      </c>
      <c r="M102" s="14"/>
      <c r="N102" s="21"/>
      <c r="O102" s="14" t="s">
        <v>3243</v>
      </c>
      <c r="P102" s="14">
        <v>3</v>
      </c>
      <c r="Q102" s="110" t="s">
        <v>3124</v>
      </c>
      <c r="R102" s="14" t="s">
        <v>3947</v>
      </c>
      <c r="S102" s="44" t="s">
        <v>3612</v>
      </c>
      <c r="T102" s="44" t="s">
        <v>3595</v>
      </c>
      <c r="U102" s="21"/>
      <c r="V102" s="21"/>
      <c r="W102" s="21"/>
      <c r="X102" s="21" t="s">
        <v>506</v>
      </c>
      <c r="Y102" s="21"/>
      <c r="Z102" s="14"/>
      <c r="AA102" s="14" t="s">
        <v>5886</v>
      </c>
      <c r="AB102" s="14">
        <v>2</v>
      </c>
      <c r="AC102" s="110" t="s">
        <v>503</v>
      </c>
      <c r="AD102" s="14" t="s">
        <v>3548</v>
      </c>
      <c r="AE102" s="44" t="s">
        <v>3736</v>
      </c>
      <c r="AF102" s="44" t="s">
        <v>507</v>
      </c>
      <c r="AG102" s="44"/>
      <c r="AH102" s="21"/>
      <c r="AI102" s="21"/>
      <c r="AJ102" s="21" t="s">
        <v>3597</v>
      </c>
      <c r="AK102" s="21"/>
      <c r="AL102" s="14"/>
      <c r="AM102" s="14" t="s">
        <v>3598</v>
      </c>
      <c r="AN102" s="14">
        <v>1</v>
      </c>
      <c r="AO102" s="14" t="s">
        <v>3331</v>
      </c>
      <c r="AP102" s="14" t="s">
        <v>4000</v>
      </c>
      <c r="AQ102" s="87" t="s">
        <v>3736</v>
      </c>
      <c r="AR102" s="87" t="s">
        <v>3859</v>
      </c>
      <c r="AS102" s="14"/>
      <c r="AT102" s="21"/>
      <c r="AU102" s="21"/>
      <c r="AV102" s="21" t="s">
        <v>3594</v>
      </c>
      <c r="AW102" s="21"/>
      <c r="AX102" s="14"/>
      <c r="AY102" s="14" t="s">
        <v>3243</v>
      </c>
      <c r="AZ102" s="14">
        <v>3</v>
      </c>
      <c r="BA102" s="110" t="s">
        <v>3124</v>
      </c>
      <c r="BB102" s="14" t="s">
        <v>3947</v>
      </c>
      <c r="BC102" s="87" t="s">
        <v>3612</v>
      </c>
      <c r="BD102" s="87" t="s">
        <v>3595</v>
      </c>
      <c r="BE102" s="14"/>
      <c r="BF102" s="21"/>
      <c r="BG102" s="21"/>
      <c r="BH102" s="21" t="s">
        <v>3246</v>
      </c>
      <c r="BI102" s="21"/>
      <c r="BJ102" s="14"/>
      <c r="BK102" s="14" t="s">
        <v>2948</v>
      </c>
      <c r="BL102" s="14">
        <v>2</v>
      </c>
      <c r="BM102" s="110" t="s">
        <v>3282</v>
      </c>
      <c r="BN102" s="14" t="s">
        <v>3548</v>
      </c>
      <c r="BO102" s="87" t="s">
        <v>3249</v>
      </c>
      <c r="BP102" s="87" t="s">
        <v>3592</v>
      </c>
      <c r="BQ102" s="14"/>
      <c r="BR102" s="21"/>
      <c r="BS102" s="233"/>
      <c r="BT102" s="21"/>
      <c r="BU102" s="21"/>
      <c r="BV102" s="14"/>
      <c r="BW102" s="14"/>
      <c r="BX102" s="14"/>
      <c r="BY102" s="14"/>
      <c r="BZ102" s="14"/>
      <c r="CA102" s="14"/>
      <c r="CB102" s="87"/>
      <c r="CC102" s="233"/>
      <c r="CD102" s="233"/>
      <c r="CE102" s="233"/>
      <c r="CF102" s="21" t="s">
        <v>3246</v>
      </c>
      <c r="CG102" s="21"/>
      <c r="CH102" s="14"/>
      <c r="CI102" s="14" t="s">
        <v>2948</v>
      </c>
      <c r="CJ102" s="14">
        <v>2</v>
      </c>
      <c r="CK102" s="110" t="s">
        <v>3282</v>
      </c>
      <c r="CL102" s="14" t="s">
        <v>3548</v>
      </c>
      <c r="CM102" s="87" t="s">
        <v>3249</v>
      </c>
      <c r="CN102" s="87" t="s">
        <v>3592</v>
      </c>
      <c r="CO102" s="233"/>
      <c r="CP102" s="233"/>
      <c r="CQ102" s="233"/>
      <c r="CR102" s="21" t="s">
        <v>506</v>
      </c>
      <c r="CS102" s="21"/>
      <c r="CT102" s="14"/>
      <c r="CU102" s="14" t="s">
        <v>5886</v>
      </c>
      <c r="CV102" s="14">
        <v>2</v>
      </c>
      <c r="CW102" s="110" t="s">
        <v>503</v>
      </c>
      <c r="CX102" s="14" t="s">
        <v>3548</v>
      </c>
      <c r="CY102" s="44" t="s">
        <v>3736</v>
      </c>
      <c r="CZ102" s="44" t="s">
        <v>507</v>
      </c>
      <c r="DA102" s="21"/>
      <c r="DB102" s="21"/>
      <c r="DC102" s="233"/>
      <c r="DD102" s="21" t="s">
        <v>506</v>
      </c>
      <c r="DE102" s="21"/>
      <c r="DF102" s="14"/>
      <c r="DG102" s="14" t="s">
        <v>5886</v>
      </c>
      <c r="DH102" s="14">
        <v>2</v>
      </c>
      <c r="DI102" s="110" t="s">
        <v>503</v>
      </c>
      <c r="DJ102" s="14" t="s">
        <v>3548</v>
      </c>
      <c r="DK102" s="44" t="s">
        <v>3736</v>
      </c>
      <c r="DL102" s="44" t="s">
        <v>507</v>
      </c>
      <c r="DM102" s="21"/>
      <c r="DN102" s="21"/>
      <c r="DO102" s="233"/>
      <c r="DP102" s="21"/>
      <c r="DQ102" s="21"/>
      <c r="DR102" s="14"/>
      <c r="DS102" s="14"/>
      <c r="DT102" s="14"/>
      <c r="DU102" s="14"/>
      <c r="DV102" s="14"/>
      <c r="DW102" s="87"/>
      <c r="DX102" s="87"/>
      <c r="DY102" s="14"/>
      <c r="DZ102" s="233"/>
      <c r="EA102" s="233"/>
      <c r="EB102" s="21" t="s">
        <v>3597</v>
      </c>
      <c r="EC102" s="21"/>
      <c r="ED102" s="14"/>
      <c r="EE102" s="14" t="s">
        <v>3598</v>
      </c>
      <c r="EF102" s="14">
        <v>1</v>
      </c>
      <c r="EG102" s="14" t="s">
        <v>3331</v>
      </c>
      <c r="EH102" s="14" t="s">
        <v>4000</v>
      </c>
      <c r="EI102" s="87" t="s">
        <v>3736</v>
      </c>
      <c r="EJ102" s="87" t="s">
        <v>3859</v>
      </c>
      <c r="EK102" s="14"/>
      <c r="EL102" s="233"/>
      <c r="EM102" s="233"/>
      <c r="EN102" s="21" t="s">
        <v>506</v>
      </c>
      <c r="EO102" s="21"/>
      <c r="EP102" s="14"/>
      <c r="EQ102" s="14" t="s">
        <v>5886</v>
      </c>
      <c r="ER102" s="14">
        <v>2</v>
      </c>
      <c r="ES102" s="110" t="s">
        <v>503</v>
      </c>
      <c r="ET102" s="14" t="s">
        <v>3548</v>
      </c>
      <c r="EU102" s="44" t="s">
        <v>3736</v>
      </c>
      <c r="EV102" s="44" t="s">
        <v>507</v>
      </c>
      <c r="EW102" s="21"/>
      <c r="EX102" s="21"/>
      <c r="EY102" s="233"/>
      <c r="EZ102" s="233"/>
      <c r="FA102" s="233"/>
      <c r="FB102" s="233"/>
      <c r="FC102" s="233"/>
      <c r="FD102" s="233"/>
    </row>
    <row r="103" spans="1:160">
      <c r="A103" s="20" t="s">
        <v>3944</v>
      </c>
      <c r="B103" s="14">
        <v>2</v>
      </c>
      <c r="C103" s="14" t="s">
        <v>3752</v>
      </c>
      <c r="D103" s="14">
        <v>2</v>
      </c>
      <c r="E103" s="110" t="s">
        <v>3569</v>
      </c>
      <c r="F103" s="14" t="s">
        <v>3898</v>
      </c>
      <c r="G103" s="44" t="s">
        <v>3945</v>
      </c>
      <c r="H103" s="44" t="s">
        <v>3915</v>
      </c>
      <c r="I103" s="44">
        <v>4</v>
      </c>
      <c r="J103" s="28" t="s">
        <v>4369</v>
      </c>
      <c r="L103" s="21" t="s">
        <v>3241</v>
      </c>
      <c r="M103" s="14"/>
      <c r="N103" s="21"/>
      <c r="O103" s="14" t="s">
        <v>2859</v>
      </c>
      <c r="P103" s="14">
        <v>1</v>
      </c>
      <c r="Q103" s="110" t="s">
        <v>3331</v>
      </c>
      <c r="R103" s="14" t="s">
        <v>3914</v>
      </c>
      <c r="S103" s="44" t="s">
        <v>3736</v>
      </c>
      <c r="T103" s="44" t="s">
        <v>3728</v>
      </c>
      <c r="U103" s="21"/>
      <c r="V103" s="21"/>
      <c r="W103" s="21"/>
      <c r="X103" s="21" t="s">
        <v>3241</v>
      </c>
      <c r="Y103" s="21"/>
      <c r="Z103" s="14"/>
      <c r="AA103" s="14" t="s">
        <v>2859</v>
      </c>
      <c r="AB103" s="14">
        <v>1</v>
      </c>
      <c r="AC103" s="110" t="s">
        <v>3331</v>
      </c>
      <c r="AD103" s="14" t="s">
        <v>3914</v>
      </c>
      <c r="AE103" s="87" t="s">
        <v>3736</v>
      </c>
      <c r="AF103" s="87" t="s">
        <v>3728</v>
      </c>
      <c r="AG103" s="21"/>
      <c r="AH103" s="21"/>
      <c r="AI103" s="21"/>
      <c r="AJ103" s="21" t="s">
        <v>2872</v>
      </c>
      <c r="AK103" s="21"/>
      <c r="AL103" s="14"/>
      <c r="AM103" s="14" t="s">
        <v>2944</v>
      </c>
      <c r="AN103" s="14">
        <v>1</v>
      </c>
      <c r="AO103" s="110" t="s">
        <v>3233</v>
      </c>
      <c r="AP103" s="14" t="s">
        <v>3716</v>
      </c>
      <c r="AQ103" s="87" t="s">
        <v>3765</v>
      </c>
      <c r="AR103" s="87" t="s">
        <v>3040</v>
      </c>
      <c r="AS103" s="14"/>
      <c r="AT103" s="21"/>
      <c r="AU103" s="21"/>
      <c r="AV103" s="21" t="s">
        <v>3438</v>
      </c>
      <c r="AW103" s="21"/>
      <c r="AX103" s="14"/>
      <c r="AY103" s="14" t="s">
        <v>3439</v>
      </c>
      <c r="AZ103" s="14">
        <v>3</v>
      </c>
      <c r="BA103" s="14" t="s">
        <v>3211</v>
      </c>
      <c r="BB103" s="14" t="s">
        <v>3548</v>
      </c>
      <c r="BC103" s="87" t="s">
        <v>3440</v>
      </c>
      <c r="BD103" s="87" t="s">
        <v>3441</v>
      </c>
      <c r="BE103" s="14"/>
      <c r="BF103" s="21"/>
      <c r="BG103" s="21"/>
      <c r="BH103" s="21" t="s">
        <v>3599</v>
      </c>
      <c r="BI103" s="21"/>
      <c r="BJ103" s="14"/>
      <c r="BK103" s="14" t="s">
        <v>3600</v>
      </c>
      <c r="BL103" s="14">
        <v>2</v>
      </c>
      <c r="BM103" s="110" t="s">
        <v>3520</v>
      </c>
      <c r="BN103" s="14" t="s">
        <v>3947</v>
      </c>
      <c r="BO103" s="87" t="s">
        <v>3550</v>
      </c>
      <c r="BP103" s="87" t="s">
        <v>3746</v>
      </c>
      <c r="BQ103" s="14"/>
      <c r="BR103" s="21"/>
      <c r="BS103" s="233"/>
      <c r="BT103" s="21"/>
      <c r="BU103" s="21"/>
      <c r="BV103" s="14"/>
      <c r="BW103" s="14"/>
      <c r="BX103" s="14"/>
      <c r="BY103" s="14"/>
      <c r="BZ103" s="14"/>
      <c r="CA103" s="14"/>
      <c r="CB103" s="87"/>
      <c r="CC103" s="233"/>
      <c r="CD103" s="233"/>
      <c r="CE103" s="233"/>
      <c r="CF103" s="21" t="s">
        <v>3599</v>
      </c>
      <c r="CG103" s="21"/>
      <c r="CH103" s="14"/>
      <c r="CI103" s="14" t="s">
        <v>3600</v>
      </c>
      <c r="CJ103" s="14">
        <v>2</v>
      </c>
      <c r="CK103" s="110" t="s">
        <v>3520</v>
      </c>
      <c r="CL103" s="14" t="s">
        <v>3947</v>
      </c>
      <c r="CM103" s="87" t="s">
        <v>3550</v>
      </c>
      <c r="CN103" s="87" t="s">
        <v>3746</v>
      </c>
      <c r="CO103" s="233"/>
      <c r="CP103" s="233"/>
      <c r="CQ103" s="233"/>
      <c r="CR103" s="21" t="s">
        <v>3241</v>
      </c>
      <c r="CS103" s="21"/>
      <c r="CT103" s="14"/>
      <c r="CU103" s="14" t="s">
        <v>2859</v>
      </c>
      <c r="CV103" s="14">
        <v>1</v>
      </c>
      <c r="CW103" s="110" t="s">
        <v>3331</v>
      </c>
      <c r="CX103" s="14" t="s">
        <v>3914</v>
      </c>
      <c r="CY103" s="87" t="s">
        <v>3736</v>
      </c>
      <c r="CZ103" s="87" t="s">
        <v>3728</v>
      </c>
      <c r="DA103" s="21"/>
      <c r="DB103" s="21"/>
      <c r="DC103" s="233"/>
      <c r="DD103" s="21" t="s">
        <v>3241</v>
      </c>
      <c r="DE103" s="21"/>
      <c r="DF103" s="14"/>
      <c r="DG103" s="14" t="s">
        <v>2859</v>
      </c>
      <c r="DH103" s="14">
        <v>1</v>
      </c>
      <c r="DI103" s="110" t="s">
        <v>3331</v>
      </c>
      <c r="DJ103" s="14" t="s">
        <v>3914</v>
      </c>
      <c r="DK103" s="87" t="s">
        <v>3736</v>
      </c>
      <c r="DL103" s="87" t="s">
        <v>3728</v>
      </c>
      <c r="DM103" s="21"/>
      <c r="DN103" s="21"/>
      <c r="DO103" s="233"/>
      <c r="DP103" s="21"/>
      <c r="DQ103" s="21"/>
      <c r="DR103" s="14"/>
      <c r="DS103" s="14"/>
      <c r="DT103" s="14"/>
      <c r="DU103" s="110"/>
      <c r="DV103" s="14"/>
      <c r="DW103" s="87"/>
      <c r="DX103" s="87"/>
      <c r="DY103" s="14"/>
      <c r="DZ103" s="233"/>
      <c r="EA103" s="233"/>
      <c r="EB103" s="21" t="s">
        <v>2872</v>
      </c>
      <c r="EC103" s="21"/>
      <c r="ED103" s="14"/>
      <c r="EE103" s="14" t="s">
        <v>2944</v>
      </c>
      <c r="EF103" s="14">
        <v>1</v>
      </c>
      <c r="EG103" s="110" t="s">
        <v>3233</v>
      </c>
      <c r="EH103" s="14" t="s">
        <v>3716</v>
      </c>
      <c r="EI103" s="87" t="s">
        <v>3765</v>
      </c>
      <c r="EJ103" s="87" t="s">
        <v>3040</v>
      </c>
      <c r="EK103" s="14"/>
      <c r="EL103" s="233"/>
      <c r="EM103" s="233"/>
      <c r="EN103" s="21" t="s">
        <v>3241</v>
      </c>
      <c r="EO103" s="21"/>
      <c r="EP103" s="14"/>
      <c r="EQ103" s="14" t="s">
        <v>2859</v>
      </c>
      <c r="ER103" s="14">
        <v>1</v>
      </c>
      <c r="ES103" s="110" t="s">
        <v>3331</v>
      </c>
      <c r="ET103" s="14" t="s">
        <v>3914</v>
      </c>
      <c r="EU103" s="87" t="s">
        <v>3736</v>
      </c>
      <c r="EV103" s="87" t="s">
        <v>3728</v>
      </c>
      <c r="EW103" s="21"/>
      <c r="EX103" s="21"/>
      <c r="EY103" s="233"/>
      <c r="EZ103" s="233"/>
      <c r="FA103" s="233"/>
      <c r="FB103" s="233"/>
      <c r="FC103" s="233"/>
      <c r="FD103" s="233"/>
    </row>
    <row r="104" spans="1:160">
      <c r="A104" s="20" t="s">
        <v>3609</v>
      </c>
      <c r="B104" s="14">
        <v>2</v>
      </c>
      <c r="C104" s="14" t="s">
        <v>3542</v>
      </c>
      <c r="D104" s="14">
        <v>1</v>
      </c>
      <c r="E104" s="110" t="s">
        <v>3569</v>
      </c>
      <c r="F104" s="14" t="s">
        <v>3898</v>
      </c>
      <c r="G104" s="44" t="s">
        <v>3906</v>
      </c>
      <c r="H104" s="44" t="s">
        <v>3610</v>
      </c>
      <c r="I104" s="44" t="s">
        <v>3900</v>
      </c>
      <c r="J104" s="28" t="s">
        <v>4369</v>
      </c>
      <c r="L104" s="21" t="s">
        <v>3246</v>
      </c>
      <c r="M104" s="14"/>
      <c r="N104" s="21"/>
      <c r="O104" s="14" t="s">
        <v>2948</v>
      </c>
      <c r="P104" s="14">
        <v>2</v>
      </c>
      <c r="Q104" s="110" t="s">
        <v>3282</v>
      </c>
      <c r="R104" s="14" t="s">
        <v>3548</v>
      </c>
      <c r="S104" s="44" t="s">
        <v>3249</v>
      </c>
      <c r="T104" s="44" t="s">
        <v>3592</v>
      </c>
      <c r="U104" s="21"/>
      <c r="V104" s="21"/>
      <c r="W104" s="21"/>
      <c r="X104" s="21" t="s">
        <v>3596</v>
      </c>
      <c r="Y104" s="21"/>
      <c r="Z104" s="14"/>
      <c r="AA104" s="14" t="s">
        <v>3691</v>
      </c>
      <c r="AB104" s="14">
        <v>1</v>
      </c>
      <c r="AC104" s="110" t="s">
        <v>3305</v>
      </c>
      <c r="AD104" s="14" t="s">
        <v>3716</v>
      </c>
      <c r="AE104" s="87" t="s">
        <v>3809</v>
      </c>
      <c r="AF104" s="87" t="s">
        <v>3746</v>
      </c>
      <c r="AG104" s="21"/>
      <c r="AH104" s="21"/>
      <c r="AI104" s="21"/>
      <c r="AJ104" s="21" t="s">
        <v>508</v>
      </c>
      <c r="AK104" s="21"/>
      <c r="AL104" s="21"/>
      <c r="AM104" s="14" t="s">
        <v>5888</v>
      </c>
      <c r="AN104" s="14">
        <v>1</v>
      </c>
      <c r="AO104" s="110" t="s">
        <v>503</v>
      </c>
      <c r="AP104" s="14" t="s">
        <v>3947</v>
      </c>
      <c r="AQ104" s="44" t="s">
        <v>3843</v>
      </c>
      <c r="AR104" s="44" t="s">
        <v>509</v>
      </c>
      <c r="AS104" s="44"/>
      <c r="AT104" s="21"/>
      <c r="AU104" s="21"/>
      <c r="AV104" s="21" t="s">
        <v>2925</v>
      </c>
      <c r="AW104" s="21"/>
      <c r="AX104" s="14"/>
      <c r="AY104" s="14" t="s">
        <v>3439</v>
      </c>
      <c r="AZ104" s="14">
        <v>1</v>
      </c>
      <c r="BA104" s="14" t="s">
        <v>3336</v>
      </c>
      <c r="BB104" s="14" t="s">
        <v>3947</v>
      </c>
      <c r="BC104" s="87" t="s">
        <v>3736</v>
      </c>
      <c r="BD104" s="87" t="s">
        <v>3687</v>
      </c>
      <c r="BE104" s="14"/>
      <c r="BF104" s="21"/>
      <c r="BG104" s="21"/>
      <c r="BH104" s="21" t="s">
        <v>3308</v>
      </c>
      <c r="BI104" s="21"/>
      <c r="BJ104" s="14"/>
      <c r="BK104" s="14" t="s">
        <v>3685</v>
      </c>
      <c r="BL104" s="14">
        <v>2</v>
      </c>
      <c r="BM104" s="110" t="s">
        <v>3309</v>
      </c>
      <c r="BN104" s="14" t="s">
        <v>3854</v>
      </c>
      <c r="BO104" s="44" t="s">
        <v>3759</v>
      </c>
      <c r="BP104" s="44" t="s">
        <v>3728</v>
      </c>
      <c r="BQ104" s="14"/>
      <c r="BR104" s="21"/>
      <c r="BS104" s="233"/>
      <c r="BT104" s="21"/>
      <c r="BU104" s="21"/>
      <c r="BV104" s="14"/>
      <c r="BW104" s="14"/>
      <c r="BX104" s="14"/>
      <c r="BY104" s="14"/>
      <c r="BZ104" s="14"/>
      <c r="CA104" s="14"/>
      <c r="CB104" s="87"/>
      <c r="CC104" s="233"/>
      <c r="CD104" s="233"/>
      <c r="CE104" s="233"/>
      <c r="CF104" s="21" t="s">
        <v>3308</v>
      </c>
      <c r="CG104" s="21"/>
      <c r="CH104" s="14"/>
      <c r="CI104" s="14" t="s">
        <v>3685</v>
      </c>
      <c r="CJ104" s="14">
        <v>2</v>
      </c>
      <c r="CK104" s="110" t="s">
        <v>3309</v>
      </c>
      <c r="CL104" s="14" t="s">
        <v>3854</v>
      </c>
      <c r="CM104" s="44" t="s">
        <v>3759</v>
      </c>
      <c r="CN104" s="44" t="s">
        <v>3728</v>
      </c>
      <c r="CO104" s="233"/>
      <c r="CP104" s="233"/>
      <c r="CQ104" s="233"/>
      <c r="CR104" s="21" t="s">
        <v>3596</v>
      </c>
      <c r="CS104" s="21"/>
      <c r="CT104" s="14"/>
      <c r="CU104" s="14" t="s">
        <v>3691</v>
      </c>
      <c r="CV104" s="14">
        <v>1</v>
      </c>
      <c r="CW104" s="110" t="s">
        <v>3305</v>
      </c>
      <c r="CX104" s="14" t="s">
        <v>3716</v>
      </c>
      <c r="CY104" s="87" t="s">
        <v>3809</v>
      </c>
      <c r="CZ104" s="87" t="s">
        <v>3746</v>
      </c>
      <c r="DA104" s="21"/>
      <c r="DB104" s="21"/>
      <c r="DC104" s="233"/>
      <c r="DD104" s="21" t="s">
        <v>3596</v>
      </c>
      <c r="DE104" s="21"/>
      <c r="DF104" s="14"/>
      <c r="DG104" s="14" t="s">
        <v>3691</v>
      </c>
      <c r="DH104" s="14">
        <v>1</v>
      </c>
      <c r="DI104" s="110" t="s">
        <v>3305</v>
      </c>
      <c r="DJ104" s="14" t="s">
        <v>3716</v>
      </c>
      <c r="DK104" s="87" t="s">
        <v>3809</v>
      </c>
      <c r="DL104" s="87" t="s">
        <v>3746</v>
      </c>
      <c r="DM104" s="21"/>
      <c r="DN104" s="21"/>
      <c r="DO104" s="233"/>
      <c r="DP104" s="21"/>
      <c r="DQ104" s="21"/>
      <c r="DR104" s="21"/>
      <c r="DS104" s="14"/>
      <c r="DT104" s="14"/>
      <c r="DU104" s="110"/>
      <c r="DV104" s="14"/>
      <c r="DW104" s="111"/>
      <c r="DX104" s="111"/>
      <c r="DY104" s="14"/>
      <c r="DZ104" s="233"/>
      <c r="EA104" s="233"/>
      <c r="EB104" s="21" t="s">
        <v>508</v>
      </c>
      <c r="EC104" s="21"/>
      <c r="ED104" s="21"/>
      <c r="EE104" s="14" t="s">
        <v>5888</v>
      </c>
      <c r="EF104" s="14">
        <v>1</v>
      </c>
      <c r="EG104" s="110" t="s">
        <v>503</v>
      </c>
      <c r="EH104" s="14" t="s">
        <v>3947</v>
      </c>
      <c r="EI104" s="44" t="s">
        <v>3843</v>
      </c>
      <c r="EJ104" s="44" t="s">
        <v>509</v>
      </c>
      <c r="EK104" s="14"/>
      <c r="EL104" s="233"/>
      <c r="EM104" s="233"/>
      <c r="EN104" s="21" t="s">
        <v>3596</v>
      </c>
      <c r="EO104" s="21"/>
      <c r="EP104" s="14"/>
      <c r="EQ104" s="14" t="s">
        <v>3691</v>
      </c>
      <c r="ER104" s="14">
        <v>1</v>
      </c>
      <c r="ES104" s="110" t="s">
        <v>3305</v>
      </c>
      <c r="ET104" s="14" t="s">
        <v>3716</v>
      </c>
      <c r="EU104" s="87" t="s">
        <v>3809</v>
      </c>
      <c r="EV104" s="87" t="s">
        <v>3746</v>
      </c>
      <c r="EW104" s="21"/>
      <c r="EX104" s="21"/>
      <c r="EY104" s="233"/>
      <c r="EZ104" s="233"/>
      <c r="FA104" s="233"/>
      <c r="FB104" s="233"/>
      <c r="FC104" s="233"/>
      <c r="FD104" s="233"/>
    </row>
    <row r="105" spans="1:160">
      <c r="A105" s="20" t="s">
        <v>3454</v>
      </c>
      <c r="B105" s="14">
        <v>2</v>
      </c>
      <c r="C105" s="14" t="s">
        <v>3840</v>
      </c>
      <c r="D105" s="14" t="s">
        <v>5036</v>
      </c>
      <c r="E105" s="197" t="s">
        <v>3897</v>
      </c>
      <c r="F105" s="14" t="s">
        <v>4066</v>
      </c>
      <c r="G105" s="111" t="s">
        <v>3736</v>
      </c>
      <c r="H105" s="111" t="s">
        <v>3746</v>
      </c>
      <c r="I105" s="44" t="s">
        <v>3900</v>
      </c>
      <c r="J105" s="28" t="s">
        <v>4369</v>
      </c>
      <c r="L105" s="21" t="s">
        <v>2925</v>
      </c>
      <c r="M105" s="14"/>
      <c r="N105" s="21"/>
      <c r="O105" s="14" t="s">
        <v>3439</v>
      </c>
      <c r="P105" s="14">
        <v>1</v>
      </c>
      <c r="Q105" s="110" t="s">
        <v>3336</v>
      </c>
      <c r="R105" s="14" t="s">
        <v>3947</v>
      </c>
      <c r="S105" s="44" t="s">
        <v>3736</v>
      </c>
      <c r="T105" s="44" t="s">
        <v>3687</v>
      </c>
      <c r="U105" s="21"/>
      <c r="V105" s="21"/>
      <c r="W105" s="21"/>
      <c r="X105" s="101" t="s">
        <v>3436</v>
      </c>
      <c r="Y105" s="21"/>
      <c r="Z105" s="21"/>
      <c r="AA105" s="14" t="s">
        <v>3505</v>
      </c>
      <c r="AB105" s="14">
        <v>2</v>
      </c>
      <c r="AC105" s="110" t="s">
        <v>3331</v>
      </c>
      <c r="AD105" s="14" t="s">
        <v>3851</v>
      </c>
      <c r="AE105" s="87" t="s">
        <v>3550</v>
      </c>
      <c r="AF105" s="44" t="s">
        <v>3437</v>
      </c>
      <c r="AG105" s="21"/>
      <c r="AH105" s="21"/>
      <c r="AI105" s="21"/>
      <c r="AJ105" s="21" t="s">
        <v>3093</v>
      </c>
      <c r="AK105" s="21"/>
      <c r="AL105" s="21"/>
      <c r="AM105" s="14" t="s">
        <v>3669</v>
      </c>
      <c r="AN105" s="14">
        <v>2</v>
      </c>
      <c r="AO105" s="110" t="s">
        <v>3328</v>
      </c>
      <c r="AP105" s="14" t="s">
        <v>3898</v>
      </c>
      <c r="AQ105" s="111" t="s">
        <v>3575</v>
      </c>
      <c r="AR105" s="87" t="s">
        <v>2928</v>
      </c>
      <c r="AS105" s="21"/>
      <c r="AT105" s="21"/>
      <c r="AU105" s="21"/>
      <c r="AV105" s="21" t="s">
        <v>2929</v>
      </c>
      <c r="AW105" s="21"/>
      <c r="AX105" s="14"/>
      <c r="AY105" s="14" t="s">
        <v>3141</v>
      </c>
      <c r="AZ105" s="14">
        <v>4</v>
      </c>
      <c r="BA105" s="14" t="s">
        <v>3133</v>
      </c>
      <c r="BB105" s="14" t="s">
        <v>2930</v>
      </c>
      <c r="BC105" s="87" t="s">
        <v>3550</v>
      </c>
      <c r="BD105" s="87" t="s">
        <v>4209</v>
      </c>
      <c r="BE105" s="14"/>
      <c r="BF105" s="21"/>
      <c r="BG105" s="21"/>
      <c r="BH105" s="21"/>
      <c r="BI105" s="21"/>
      <c r="BJ105" s="14"/>
      <c r="BK105" s="14"/>
      <c r="BL105" s="14"/>
      <c r="BM105" s="14"/>
      <c r="BN105" s="14"/>
      <c r="BO105" s="14"/>
      <c r="BP105" s="87"/>
      <c r="BQ105" s="14"/>
      <c r="BR105" s="21"/>
      <c r="BS105" s="233"/>
      <c r="BT105" s="21"/>
      <c r="BU105" s="21"/>
      <c r="BV105" s="14"/>
      <c r="BW105" s="14"/>
      <c r="BX105" s="14"/>
      <c r="BY105" s="14"/>
      <c r="BZ105" s="14"/>
      <c r="CA105" s="14"/>
      <c r="CB105" s="87"/>
      <c r="CC105" s="233"/>
      <c r="CD105" s="233"/>
      <c r="CE105" s="233"/>
      <c r="CF105" s="21"/>
      <c r="CG105" s="21"/>
      <c r="CH105" s="14"/>
      <c r="CI105" s="14"/>
      <c r="CJ105" s="14"/>
      <c r="CK105" s="14"/>
      <c r="CL105" s="14"/>
      <c r="CM105" s="14"/>
      <c r="CN105" s="87"/>
      <c r="CO105" s="233"/>
      <c r="CP105" s="233"/>
      <c r="CQ105" s="233"/>
      <c r="CR105" s="101" t="s">
        <v>3436</v>
      </c>
      <c r="CS105" s="21"/>
      <c r="CT105" s="21"/>
      <c r="CU105" s="14" t="s">
        <v>3505</v>
      </c>
      <c r="CV105" s="14">
        <v>2</v>
      </c>
      <c r="CW105" s="110" t="s">
        <v>3331</v>
      </c>
      <c r="CX105" s="14" t="s">
        <v>3851</v>
      </c>
      <c r="CY105" s="87" t="s">
        <v>3550</v>
      </c>
      <c r="CZ105" s="44" t="s">
        <v>3437</v>
      </c>
      <c r="DA105" s="21"/>
      <c r="DB105" s="21"/>
      <c r="DC105" s="233"/>
      <c r="DD105" s="101" t="s">
        <v>3436</v>
      </c>
      <c r="DE105" s="21"/>
      <c r="DF105" s="21"/>
      <c r="DG105" s="14" t="s">
        <v>3505</v>
      </c>
      <c r="DH105" s="14">
        <v>2</v>
      </c>
      <c r="DI105" s="110" t="s">
        <v>3331</v>
      </c>
      <c r="DJ105" s="14" t="s">
        <v>3851</v>
      </c>
      <c r="DK105" s="87" t="s">
        <v>3550</v>
      </c>
      <c r="DL105" s="44" t="s">
        <v>3437</v>
      </c>
      <c r="DM105" s="21"/>
      <c r="DN105" s="21"/>
      <c r="DO105" s="233"/>
      <c r="DP105" s="21"/>
      <c r="DQ105" s="21"/>
      <c r="DR105" s="14"/>
      <c r="DS105" s="14"/>
      <c r="DT105" s="14"/>
      <c r="DU105" s="14"/>
      <c r="DV105" s="14"/>
      <c r="DW105" s="87"/>
      <c r="DX105" s="87"/>
      <c r="DY105" s="21"/>
      <c r="DZ105" s="233"/>
      <c r="EA105" s="233"/>
      <c r="EB105" s="21" t="s">
        <v>3093</v>
      </c>
      <c r="EC105" s="21"/>
      <c r="ED105" s="21"/>
      <c r="EE105" s="14" t="s">
        <v>3669</v>
      </c>
      <c r="EF105" s="14">
        <v>2</v>
      </c>
      <c r="EG105" s="110" t="s">
        <v>3328</v>
      </c>
      <c r="EH105" s="14" t="s">
        <v>3898</v>
      </c>
      <c r="EI105" s="111" t="s">
        <v>3575</v>
      </c>
      <c r="EJ105" s="87" t="s">
        <v>2928</v>
      </c>
      <c r="EK105" s="21"/>
      <c r="EL105" s="233"/>
      <c r="EM105" s="233"/>
      <c r="EN105" s="101" t="s">
        <v>3436</v>
      </c>
      <c r="EO105" s="21"/>
      <c r="EP105" s="21"/>
      <c r="EQ105" s="14" t="s">
        <v>3505</v>
      </c>
      <c r="ER105" s="14">
        <v>2</v>
      </c>
      <c r="ES105" s="110" t="s">
        <v>3331</v>
      </c>
      <c r="ET105" s="14" t="s">
        <v>3851</v>
      </c>
      <c r="EU105" s="87" t="s">
        <v>3550</v>
      </c>
      <c r="EV105" s="44" t="s">
        <v>3437</v>
      </c>
      <c r="EW105" s="21"/>
      <c r="EX105" s="21"/>
      <c r="EY105" s="233"/>
      <c r="EZ105" s="233"/>
      <c r="FA105" s="233"/>
      <c r="FB105" s="233"/>
      <c r="FC105" s="233"/>
      <c r="FD105" s="233"/>
    </row>
    <row r="106" spans="1:160">
      <c r="A106" s="20" t="s">
        <v>3578</v>
      </c>
      <c r="B106" s="14">
        <v>2</v>
      </c>
      <c r="C106" s="14" t="s">
        <v>3387</v>
      </c>
      <c r="D106" s="14">
        <v>2</v>
      </c>
      <c r="E106" s="110" t="s">
        <v>3925</v>
      </c>
      <c r="F106" s="14" t="s">
        <v>3898</v>
      </c>
      <c r="G106" s="44" t="s">
        <v>3765</v>
      </c>
      <c r="H106" s="44" t="s">
        <v>3746</v>
      </c>
      <c r="I106" s="44" t="s">
        <v>3657</v>
      </c>
      <c r="J106" s="28" t="s">
        <v>4037</v>
      </c>
      <c r="L106" s="21" t="s">
        <v>3596</v>
      </c>
      <c r="M106" s="14"/>
      <c r="N106" s="21"/>
      <c r="O106" s="14" t="s">
        <v>3691</v>
      </c>
      <c r="P106" s="14">
        <v>1</v>
      </c>
      <c r="Q106" s="110" t="s">
        <v>3305</v>
      </c>
      <c r="R106" s="14" t="s">
        <v>3716</v>
      </c>
      <c r="S106" s="44" t="s">
        <v>3809</v>
      </c>
      <c r="T106" s="44" t="s">
        <v>3746</v>
      </c>
      <c r="U106" s="21"/>
      <c r="V106" s="21"/>
      <c r="W106" s="21"/>
      <c r="X106" s="21"/>
      <c r="Y106" s="21"/>
      <c r="Z106" s="21"/>
      <c r="AA106" s="14"/>
      <c r="AB106" s="14"/>
      <c r="AC106" s="14"/>
      <c r="AD106" s="14"/>
      <c r="AE106" s="14"/>
      <c r="AF106" s="87"/>
      <c r="AG106" s="21"/>
      <c r="AH106" s="21"/>
      <c r="AI106" s="21"/>
      <c r="AJ106" s="21" t="s">
        <v>2926</v>
      </c>
      <c r="AK106" s="21"/>
      <c r="AL106" s="14"/>
      <c r="AM106" s="14" t="s">
        <v>3598</v>
      </c>
      <c r="AN106" s="14">
        <v>5</v>
      </c>
      <c r="AO106" s="14" t="s">
        <v>2927</v>
      </c>
      <c r="AP106" s="14" t="s">
        <v>3947</v>
      </c>
      <c r="AQ106" s="87" t="s">
        <v>3550</v>
      </c>
      <c r="AR106" s="87" t="s">
        <v>3859</v>
      </c>
      <c r="AS106" s="21"/>
      <c r="AT106" s="21"/>
      <c r="AU106" s="21"/>
      <c r="AV106" s="21" t="s">
        <v>2932</v>
      </c>
      <c r="AW106" s="21"/>
      <c r="AX106" s="14"/>
      <c r="AY106" s="14" t="s">
        <v>3439</v>
      </c>
      <c r="AZ106" s="14">
        <v>2</v>
      </c>
      <c r="BA106" s="14" t="s">
        <v>3331</v>
      </c>
      <c r="BB106" s="14" t="s">
        <v>3947</v>
      </c>
      <c r="BC106" s="87" t="s">
        <v>3843</v>
      </c>
      <c r="BD106" s="87" t="s">
        <v>3915</v>
      </c>
      <c r="BE106" s="14"/>
      <c r="BF106" s="21"/>
      <c r="BG106" s="21"/>
      <c r="BH106" s="21"/>
      <c r="BI106" s="21"/>
      <c r="BJ106" s="14"/>
      <c r="BK106" s="14"/>
      <c r="BL106" s="14"/>
      <c r="BM106" s="14"/>
      <c r="BN106" s="14"/>
      <c r="BO106" s="14"/>
      <c r="BP106" s="87"/>
      <c r="BQ106" s="14"/>
      <c r="BR106" s="21"/>
      <c r="BS106" s="233"/>
      <c r="BT106" s="21"/>
      <c r="BU106" s="21"/>
      <c r="BV106" s="14"/>
      <c r="BW106" s="14"/>
      <c r="BX106" s="14"/>
      <c r="BY106" s="14"/>
      <c r="BZ106" s="14"/>
      <c r="CA106" s="14"/>
      <c r="CB106" s="87"/>
      <c r="CC106" s="233"/>
      <c r="CD106" s="233"/>
      <c r="CE106" s="233"/>
      <c r="CF106" s="21"/>
      <c r="CG106" s="21"/>
      <c r="CH106" s="14"/>
      <c r="CI106" s="14"/>
      <c r="CJ106" s="14"/>
      <c r="CK106" s="14"/>
      <c r="CL106" s="14"/>
      <c r="CM106" s="14"/>
      <c r="CN106" s="87"/>
      <c r="CO106" s="233"/>
      <c r="CP106" s="233"/>
      <c r="CQ106" s="233"/>
      <c r="CR106" s="21"/>
      <c r="CS106" s="21"/>
      <c r="CT106" s="21"/>
      <c r="CU106" s="14"/>
      <c r="CV106" s="14"/>
      <c r="CW106" s="14"/>
      <c r="CX106" s="14"/>
      <c r="CY106" s="14"/>
      <c r="CZ106" s="87"/>
      <c r="DA106" s="21"/>
      <c r="DB106" s="21"/>
      <c r="DC106" s="233"/>
      <c r="DD106" s="21"/>
      <c r="DE106" s="21"/>
      <c r="DF106" s="21"/>
      <c r="DG106" s="14"/>
      <c r="DH106" s="14"/>
      <c r="DI106" s="14"/>
      <c r="DJ106" s="14"/>
      <c r="DK106" s="14"/>
      <c r="DL106" s="87"/>
      <c r="DM106" s="21"/>
      <c r="DN106" s="21"/>
      <c r="DO106" s="233"/>
      <c r="DP106" s="21"/>
      <c r="DQ106" s="21"/>
      <c r="DR106" s="14"/>
      <c r="DS106" s="14"/>
      <c r="DT106" s="14"/>
      <c r="DU106" s="14"/>
      <c r="DV106" s="14"/>
      <c r="DW106" s="87"/>
      <c r="DX106" s="87"/>
      <c r="DY106" s="21"/>
      <c r="DZ106" s="233"/>
      <c r="EA106" s="233"/>
      <c r="EB106" s="21" t="s">
        <v>2926</v>
      </c>
      <c r="EC106" s="21"/>
      <c r="ED106" s="14"/>
      <c r="EE106" s="14" t="s">
        <v>3598</v>
      </c>
      <c r="EF106" s="14">
        <v>5</v>
      </c>
      <c r="EG106" s="14" t="s">
        <v>2927</v>
      </c>
      <c r="EH106" s="14" t="s">
        <v>3947</v>
      </c>
      <c r="EI106" s="87" t="s">
        <v>3550</v>
      </c>
      <c r="EJ106" s="87" t="s">
        <v>3859</v>
      </c>
      <c r="EK106" s="21"/>
      <c r="EL106" s="233"/>
      <c r="EM106" s="233"/>
      <c r="EN106" s="21"/>
      <c r="EO106" s="21"/>
      <c r="EP106" s="21"/>
      <c r="EQ106" s="14"/>
      <c r="ER106" s="14"/>
      <c r="ES106" s="14"/>
      <c r="ET106" s="14"/>
      <c r="EU106" s="14"/>
      <c r="EV106" s="87"/>
      <c r="EW106" s="21"/>
      <c r="EX106" s="21"/>
      <c r="EY106" s="233"/>
      <c r="EZ106" s="233"/>
      <c r="FA106" s="233"/>
      <c r="FB106" s="233"/>
      <c r="FC106" s="233"/>
      <c r="FD106" s="233"/>
    </row>
    <row r="107" spans="1:160">
      <c r="A107" s="283" t="s">
        <v>510</v>
      </c>
      <c r="B107" s="284">
        <v>2</v>
      </c>
      <c r="C107" s="284" t="s">
        <v>5889</v>
      </c>
      <c r="D107" s="284" t="s">
        <v>5036</v>
      </c>
      <c r="E107" s="285" t="s">
        <v>3999</v>
      </c>
      <c r="F107" s="284" t="s">
        <v>3898</v>
      </c>
      <c r="G107" s="286" t="s">
        <v>395</v>
      </c>
      <c r="H107" s="286" t="s">
        <v>511</v>
      </c>
      <c r="I107" s="286" t="s">
        <v>3900</v>
      </c>
      <c r="J107" s="287" t="s">
        <v>5232</v>
      </c>
      <c r="L107" s="21" t="s">
        <v>2776</v>
      </c>
      <c r="M107" s="14"/>
      <c r="N107" s="21"/>
      <c r="O107" s="14" t="s">
        <v>3439</v>
      </c>
      <c r="P107" s="14">
        <v>1</v>
      </c>
      <c r="Q107" s="110" t="s">
        <v>3124</v>
      </c>
      <c r="R107" s="14" t="s">
        <v>3947</v>
      </c>
      <c r="S107" s="44" t="s">
        <v>3013</v>
      </c>
      <c r="T107" s="44" t="s">
        <v>3728</v>
      </c>
      <c r="U107" s="21"/>
      <c r="V107" s="21"/>
      <c r="W107" s="21"/>
      <c r="X107" s="21"/>
      <c r="Y107" s="21"/>
      <c r="Z107" s="21"/>
      <c r="AA107" s="14"/>
      <c r="AB107" s="14"/>
      <c r="AC107" s="14"/>
      <c r="AD107" s="14"/>
      <c r="AE107" s="14"/>
      <c r="AF107" s="87"/>
      <c r="AG107" s="21"/>
      <c r="AH107" s="233"/>
      <c r="AI107" s="233"/>
      <c r="AJ107" s="21" t="s">
        <v>2931</v>
      </c>
      <c r="AK107" s="21"/>
      <c r="AL107" s="14"/>
      <c r="AM107" s="14" t="s">
        <v>2944</v>
      </c>
      <c r="AN107" s="14">
        <v>3</v>
      </c>
      <c r="AO107" s="14" t="s">
        <v>3749</v>
      </c>
      <c r="AP107" s="14" t="s">
        <v>3716</v>
      </c>
      <c r="AQ107" s="87" t="s">
        <v>3765</v>
      </c>
      <c r="AR107" s="44"/>
      <c r="AS107" s="14"/>
      <c r="AT107" s="21"/>
      <c r="AU107" s="21"/>
      <c r="AV107" s="21" t="s">
        <v>2776</v>
      </c>
      <c r="AW107" s="21"/>
      <c r="AX107" s="14"/>
      <c r="AY107" s="14" t="s">
        <v>3439</v>
      </c>
      <c r="AZ107" s="14">
        <v>1</v>
      </c>
      <c r="BA107" s="14" t="s">
        <v>3124</v>
      </c>
      <c r="BB107" s="14" t="s">
        <v>3947</v>
      </c>
      <c r="BC107" s="87" t="s">
        <v>3013</v>
      </c>
      <c r="BD107" s="87" t="s">
        <v>3728</v>
      </c>
      <c r="BE107" s="14"/>
      <c r="BF107" s="21"/>
      <c r="BG107" s="21"/>
      <c r="BH107" s="21"/>
      <c r="BI107" s="21"/>
      <c r="BJ107" s="14"/>
      <c r="BK107" s="14"/>
      <c r="BL107" s="14"/>
      <c r="BM107" s="14"/>
      <c r="BN107" s="14"/>
      <c r="BO107" s="14"/>
      <c r="BP107" s="87"/>
      <c r="BQ107" s="14"/>
      <c r="BR107" s="21"/>
      <c r="BS107" s="233"/>
      <c r="BT107" s="21"/>
      <c r="BU107" s="21"/>
      <c r="BV107" s="14"/>
      <c r="BW107" s="14"/>
      <c r="BX107" s="14"/>
      <c r="BY107" s="14"/>
      <c r="BZ107" s="14"/>
      <c r="CA107" s="14"/>
      <c r="CB107" s="87"/>
      <c r="CC107" s="233"/>
      <c r="CD107" s="233"/>
      <c r="CE107" s="233"/>
      <c r="CF107" s="21"/>
      <c r="CG107" s="21"/>
      <c r="CH107" s="14"/>
      <c r="CI107" s="14"/>
      <c r="CJ107" s="14"/>
      <c r="CK107" s="14"/>
      <c r="CL107" s="14"/>
      <c r="CM107" s="14"/>
      <c r="CN107" s="87"/>
      <c r="CO107" s="233"/>
      <c r="CP107" s="233"/>
      <c r="CQ107" s="233"/>
      <c r="CR107" s="21"/>
      <c r="CS107" s="21"/>
      <c r="CT107" s="21"/>
      <c r="CU107" s="14"/>
      <c r="CV107" s="14"/>
      <c r="CW107" s="14"/>
      <c r="CX107" s="14"/>
      <c r="CY107" s="14"/>
      <c r="CZ107" s="87"/>
      <c r="DA107" s="21"/>
      <c r="DB107" s="233"/>
      <c r="DC107" s="233"/>
      <c r="DD107" s="21"/>
      <c r="DE107" s="21"/>
      <c r="DF107" s="21"/>
      <c r="DG107" s="14"/>
      <c r="DH107" s="14"/>
      <c r="DI107" s="14"/>
      <c r="DJ107" s="14"/>
      <c r="DK107" s="14"/>
      <c r="DL107" s="87"/>
      <c r="DM107" s="21"/>
      <c r="DN107" s="233"/>
      <c r="DO107" s="233"/>
      <c r="DP107" s="233"/>
      <c r="DQ107" s="233"/>
      <c r="DR107" s="233"/>
      <c r="DS107" s="14"/>
      <c r="DT107" s="110"/>
      <c r="DU107" s="14"/>
      <c r="DV107" s="44"/>
      <c r="DW107" s="44"/>
      <c r="DX107" s="44"/>
      <c r="DY107" s="14"/>
      <c r="DZ107" s="233"/>
      <c r="EA107" s="233"/>
      <c r="EB107" s="21" t="s">
        <v>2931</v>
      </c>
      <c r="EC107" s="21"/>
      <c r="ED107" s="14"/>
      <c r="EE107" s="14" t="s">
        <v>2944</v>
      </c>
      <c r="EF107" s="14">
        <v>3</v>
      </c>
      <c r="EG107" s="14" t="s">
        <v>3749</v>
      </c>
      <c r="EH107" s="14" t="s">
        <v>3716</v>
      </c>
      <c r="EI107" s="87" t="s">
        <v>3765</v>
      </c>
      <c r="EJ107" s="44"/>
      <c r="EK107" s="14"/>
      <c r="EL107" s="233"/>
      <c r="EM107" s="233"/>
      <c r="EN107" s="21"/>
      <c r="EO107" s="21"/>
      <c r="EP107" s="21"/>
      <c r="EQ107" s="14"/>
      <c r="ER107" s="14"/>
      <c r="ES107" s="14"/>
      <c r="ET107" s="14"/>
      <c r="EU107" s="14"/>
      <c r="EV107" s="87"/>
      <c r="EW107" s="21"/>
      <c r="EX107" s="233"/>
      <c r="EY107" s="233"/>
      <c r="EZ107" s="233"/>
      <c r="FA107" s="233"/>
      <c r="FB107" s="233"/>
      <c r="FC107" s="233"/>
      <c r="FD107" s="233"/>
    </row>
    <row r="108" spans="1:160">
      <c r="A108" s="20" t="s">
        <v>3450</v>
      </c>
      <c r="B108" s="14">
        <v>2</v>
      </c>
      <c r="C108" s="14" t="s">
        <v>3542</v>
      </c>
      <c r="D108" s="14">
        <v>2</v>
      </c>
      <c r="E108" s="110" t="s">
        <v>3451</v>
      </c>
      <c r="F108" s="14" t="s">
        <v>3898</v>
      </c>
      <c r="G108" s="44" t="s">
        <v>3452</v>
      </c>
      <c r="H108" s="44" t="s">
        <v>3453</v>
      </c>
      <c r="I108" s="44" t="s">
        <v>3900</v>
      </c>
      <c r="J108" s="28" t="s">
        <v>3590</v>
      </c>
      <c r="L108" s="21" t="s">
        <v>3593</v>
      </c>
      <c r="M108" s="14"/>
      <c r="N108" s="21"/>
      <c r="O108" s="14" t="s">
        <v>3141</v>
      </c>
      <c r="P108" s="14">
        <v>3</v>
      </c>
      <c r="Q108" s="110" t="s">
        <v>3248</v>
      </c>
      <c r="R108" s="14" t="s">
        <v>3716</v>
      </c>
      <c r="S108" s="44" t="s">
        <v>3736</v>
      </c>
      <c r="T108" s="44" t="s">
        <v>3859</v>
      </c>
      <c r="U108" s="21"/>
      <c r="V108" s="21"/>
      <c r="W108" s="21"/>
      <c r="X108" s="21"/>
      <c r="Y108" s="21"/>
      <c r="Z108" s="21"/>
      <c r="AA108" s="14"/>
      <c r="AB108" s="14"/>
      <c r="AC108" s="14"/>
      <c r="AD108" s="14"/>
      <c r="AE108" s="14"/>
      <c r="AF108" s="87"/>
      <c r="AG108" s="21"/>
      <c r="AH108" s="21"/>
      <c r="AI108" s="21"/>
      <c r="AJ108" s="21"/>
      <c r="AK108" s="21"/>
      <c r="AL108" s="21"/>
      <c r="AM108" s="14"/>
      <c r="AN108" s="14"/>
      <c r="AO108" s="14"/>
      <c r="AP108" s="14"/>
      <c r="AQ108" s="14"/>
      <c r="AR108" s="87"/>
      <c r="AS108" s="21"/>
      <c r="AT108" s="21"/>
      <c r="AU108" s="21"/>
      <c r="AV108" s="21" t="s">
        <v>3593</v>
      </c>
      <c r="AW108" s="21"/>
      <c r="AX108" s="14"/>
      <c r="AY108" s="14" t="s">
        <v>3141</v>
      </c>
      <c r="AZ108" s="14">
        <v>3</v>
      </c>
      <c r="BA108" s="14" t="s">
        <v>3248</v>
      </c>
      <c r="BB108" s="14" t="s">
        <v>3716</v>
      </c>
      <c r="BC108" s="87" t="s">
        <v>3736</v>
      </c>
      <c r="BD108" s="87" t="s">
        <v>3859</v>
      </c>
      <c r="BE108" s="21"/>
      <c r="BF108" s="21"/>
      <c r="BG108" s="21"/>
      <c r="BH108" s="21"/>
      <c r="BI108" s="21"/>
      <c r="BJ108" s="21"/>
      <c r="BK108" s="14"/>
      <c r="BL108" s="14"/>
      <c r="BM108" s="14"/>
      <c r="BN108" s="14"/>
      <c r="BO108" s="14"/>
      <c r="BP108" s="87"/>
      <c r="BQ108" s="21"/>
      <c r="BR108" s="21"/>
      <c r="BS108" s="233"/>
      <c r="BT108" s="21"/>
      <c r="BU108" s="21"/>
      <c r="BV108" s="21"/>
      <c r="BW108" s="14"/>
      <c r="BX108" s="14"/>
      <c r="BY108" s="14"/>
      <c r="BZ108" s="14"/>
      <c r="CA108" s="14"/>
      <c r="CB108" s="87"/>
      <c r="CC108" s="233"/>
      <c r="CD108" s="233"/>
      <c r="CE108" s="233"/>
      <c r="CF108" s="21"/>
      <c r="CG108" s="21"/>
      <c r="CH108" s="21"/>
      <c r="CI108" s="14"/>
      <c r="CJ108" s="14"/>
      <c r="CK108" s="14"/>
      <c r="CL108" s="14"/>
      <c r="CM108" s="14"/>
      <c r="CN108" s="87"/>
      <c r="CO108" s="233"/>
      <c r="CP108" s="233"/>
      <c r="CQ108" s="233"/>
      <c r="CR108" s="21"/>
      <c r="CS108" s="21"/>
      <c r="CT108" s="21"/>
      <c r="CU108" s="14"/>
      <c r="CV108" s="14"/>
      <c r="CW108" s="14"/>
      <c r="CX108" s="14"/>
      <c r="CY108" s="14"/>
      <c r="CZ108" s="87"/>
      <c r="DA108" s="21"/>
      <c r="DB108" s="21"/>
      <c r="DC108" s="233"/>
      <c r="DD108" s="21"/>
      <c r="DE108" s="21"/>
      <c r="DF108" s="21"/>
      <c r="DG108" s="14"/>
      <c r="DH108" s="14"/>
      <c r="DI108" s="14"/>
      <c r="DJ108" s="14"/>
      <c r="DK108" s="14"/>
      <c r="DL108" s="87"/>
      <c r="DM108" s="21"/>
      <c r="DN108" s="21"/>
      <c r="DO108" s="233"/>
      <c r="DP108" s="21"/>
      <c r="DQ108" s="21"/>
      <c r="DR108" s="21"/>
      <c r="DS108" s="14"/>
      <c r="DT108" s="14"/>
      <c r="DU108" s="14"/>
      <c r="DV108" s="14"/>
      <c r="DW108" s="14"/>
      <c r="DX108" s="87"/>
      <c r="DY108" s="21"/>
      <c r="DZ108" s="233"/>
      <c r="EA108" s="233"/>
      <c r="EB108" s="21"/>
      <c r="EC108" s="21"/>
      <c r="ED108" s="21"/>
      <c r="EE108" s="14"/>
      <c r="EF108" s="14"/>
      <c r="EG108" s="14"/>
      <c r="EH108" s="14"/>
      <c r="EI108" s="14"/>
      <c r="EJ108" s="87"/>
      <c r="EK108" s="21"/>
      <c r="EL108" s="233"/>
      <c r="EM108" s="233"/>
      <c r="EN108" s="21"/>
      <c r="EO108" s="21"/>
      <c r="EP108" s="21"/>
      <c r="EQ108" s="14"/>
      <c r="ER108" s="14"/>
      <c r="ES108" s="14"/>
      <c r="ET108" s="14"/>
      <c r="EU108" s="14"/>
      <c r="EV108" s="87"/>
      <c r="EW108" s="21"/>
      <c r="EX108" s="21"/>
      <c r="EY108" s="233"/>
      <c r="EZ108" s="233"/>
      <c r="FA108" s="233"/>
      <c r="FB108" s="233"/>
      <c r="FC108" s="233"/>
      <c r="FD108" s="233"/>
    </row>
    <row r="109" spans="1:160">
      <c r="A109" s="20" t="s">
        <v>389</v>
      </c>
      <c r="B109" s="14">
        <v>2</v>
      </c>
      <c r="C109" s="14" t="s">
        <v>5879</v>
      </c>
      <c r="D109" s="14" t="s">
        <v>5036</v>
      </c>
      <c r="E109" s="110" t="s">
        <v>3999</v>
      </c>
      <c r="F109" s="14" t="s">
        <v>3898</v>
      </c>
      <c r="G109" s="44" t="s">
        <v>3575</v>
      </c>
      <c r="H109" s="107" t="s">
        <v>390</v>
      </c>
      <c r="I109" s="44" t="s">
        <v>3900</v>
      </c>
      <c r="J109" s="28" t="s">
        <v>4447</v>
      </c>
      <c r="L109" s="26" t="s">
        <v>5027</v>
      </c>
      <c r="M109" s="21"/>
      <c r="N109" s="108" t="s">
        <v>5018</v>
      </c>
      <c r="O109" s="108" t="s">
        <v>5701</v>
      </c>
      <c r="P109" s="108" t="s">
        <v>5019</v>
      </c>
      <c r="Q109" s="108" t="s">
        <v>5020</v>
      </c>
      <c r="R109" s="108" t="s">
        <v>5021</v>
      </c>
      <c r="S109" s="108" t="s">
        <v>5022</v>
      </c>
      <c r="T109" s="282" t="s">
        <v>5316</v>
      </c>
      <c r="U109" s="26"/>
      <c r="V109" s="21"/>
      <c r="W109" s="21"/>
      <c r="X109" s="26" t="s">
        <v>5027</v>
      </c>
      <c r="Y109" s="21"/>
      <c r="Z109" s="108" t="s">
        <v>5018</v>
      </c>
      <c r="AA109" s="108" t="s">
        <v>5701</v>
      </c>
      <c r="AB109" s="108" t="s">
        <v>5019</v>
      </c>
      <c r="AC109" s="108" t="s">
        <v>5020</v>
      </c>
      <c r="AD109" s="108" t="s">
        <v>5021</v>
      </c>
      <c r="AE109" s="108" t="s">
        <v>5022</v>
      </c>
      <c r="AF109" s="282" t="s">
        <v>5316</v>
      </c>
      <c r="AG109" s="26"/>
      <c r="AH109" s="21"/>
      <c r="AI109" s="21"/>
      <c r="AJ109" s="26" t="s">
        <v>5027</v>
      </c>
      <c r="AK109" s="21"/>
      <c r="AL109" s="108" t="s">
        <v>5018</v>
      </c>
      <c r="AM109" s="108" t="s">
        <v>5701</v>
      </c>
      <c r="AN109" s="108" t="s">
        <v>5019</v>
      </c>
      <c r="AO109" s="108" t="s">
        <v>5020</v>
      </c>
      <c r="AP109" s="108" t="s">
        <v>5021</v>
      </c>
      <c r="AQ109" s="108" t="s">
        <v>5022</v>
      </c>
      <c r="AR109" s="282" t="s">
        <v>5316</v>
      </c>
      <c r="AS109" s="26"/>
      <c r="AT109" s="21"/>
      <c r="AU109" s="21"/>
      <c r="AV109" s="26" t="s">
        <v>5027</v>
      </c>
      <c r="AW109" s="21"/>
      <c r="AX109" s="108" t="s">
        <v>5018</v>
      </c>
      <c r="AY109" s="108" t="s">
        <v>5701</v>
      </c>
      <c r="AZ109" s="108" t="s">
        <v>5019</v>
      </c>
      <c r="BA109" s="108" t="s">
        <v>5020</v>
      </c>
      <c r="BB109" s="108" t="s">
        <v>5021</v>
      </c>
      <c r="BC109" s="108" t="s">
        <v>5022</v>
      </c>
      <c r="BD109" s="282" t="s">
        <v>5316</v>
      </c>
      <c r="BE109" s="26"/>
      <c r="BF109" s="21"/>
      <c r="BG109" s="21"/>
      <c r="BH109" s="26" t="s">
        <v>5027</v>
      </c>
      <c r="BI109" s="21"/>
      <c r="BJ109" s="108" t="s">
        <v>5018</v>
      </c>
      <c r="BK109" s="108" t="s">
        <v>5701</v>
      </c>
      <c r="BL109" s="108" t="s">
        <v>5019</v>
      </c>
      <c r="BM109" s="108" t="s">
        <v>5020</v>
      </c>
      <c r="BN109" s="108" t="s">
        <v>5021</v>
      </c>
      <c r="BO109" s="108" t="s">
        <v>5022</v>
      </c>
      <c r="BP109" s="282" t="s">
        <v>5316</v>
      </c>
      <c r="BQ109" s="26"/>
      <c r="BR109" s="21"/>
      <c r="BS109" s="233"/>
      <c r="BT109" s="26" t="s">
        <v>5027</v>
      </c>
      <c r="BU109" s="21"/>
      <c r="BV109" s="108" t="s">
        <v>5018</v>
      </c>
      <c r="BW109" s="108" t="s">
        <v>5701</v>
      </c>
      <c r="BX109" s="108" t="s">
        <v>5019</v>
      </c>
      <c r="BY109" s="108" t="s">
        <v>5020</v>
      </c>
      <c r="BZ109" s="108" t="s">
        <v>5021</v>
      </c>
      <c r="CA109" s="108" t="s">
        <v>5022</v>
      </c>
      <c r="CB109" s="282" t="s">
        <v>5316</v>
      </c>
      <c r="CC109" s="233"/>
      <c r="CD109" s="233"/>
      <c r="CE109" s="233"/>
      <c r="CF109" s="26" t="s">
        <v>5027</v>
      </c>
      <c r="CG109" s="21"/>
      <c r="CH109" s="108" t="s">
        <v>5018</v>
      </c>
      <c r="CI109" s="108" t="s">
        <v>5701</v>
      </c>
      <c r="CJ109" s="108" t="s">
        <v>5019</v>
      </c>
      <c r="CK109" s="108" t="s">
        <v>5020</v>
      </c>
      <c r="CL109" s="108" t="s">
        <v>5021</v>
      </c>
      <c r="CM109" s="108" t="s">
        <v>5022</v>
      </c>
      <c r="CN109" s="282" t="s">
        <v>5316</v>
      </c>
      <c r="CO109" s="233"/>
      <c r="CP109" s="233"/>
      <c r="CQ109" s="233"/>
      <c r="CR109" s="26" t="s">
        <v>5027</v>
      </c>
      <c r="CS109" s="21"/>
      <c r="CT109" s="108" t="s">
        <v>5018</v>
      </c>
      <c r="CU109" s="108" t="s">
        <v>5701</v>
      </c>
      <c r="CV109" s="108" t="s">
        <v>5019</v>
      </c>
      <c r="CW109" s="108" t="s">
        <v>5020</v>
      </c>
      <c r="CX109" s="108" t="s">
        <v>5021</v>
      </c>
      <c r="CY109" s="108" t="s">
        <v>5022</v>
      </c>
      <c r="CZ109" s="282" t="s">
        <v>5316</v>
      </c>
      <c r="DA109" s="26"/>
      <c r="DB109" s="21"/>
      <c r="DC109" s="233"/>
      <c r="DD109" s="26" t="s">
        <v>5027</v>
      </c>
      <c r="DE109" s="21"/>
      <c r="DF109" s="108" t="s">
        <v>5018</v>
      </c>
      <c r="DG109" s="108" t="s">
        <v>5701</v>
      </c>
      <c r="DH109" s="108" t="s">
        <v>5019</v>
      </c>
      <c r="DI109" s="108" t="s">
        <v>5020</v>
      </c>
      <c r="DJ109" s="108" t="s">
        <v>5021</v>
      </c>
      <c r="DK109" s="108" t="s">
        <v>5022</v>
      </c>
      <c r="DL109" s="282" t="s">
        <v>5316</v>
      </c>
      <c r="DM109" s="26"/>
      <c r="DN109" s="21"/>
      <c r="DO109" s="233"/>
      <c r="DP109" s="26" t="s">
        <v>5027</v>
      </c>
      <c r="DQ109" s="21"/>
      <c r="DR109" s="108" t="s">
        <v>5018</v>
      </c>
      <c r="DS109" s="108" t="s">
        <v>5701</v>
      </c>
      <c r="DT109" s="108" t="s">
        <v>5019</v>
      </c>
      <c r="DU109" s="108" t="s">
        <v>5020</v>
      </c>
      <c r="DV109" s="108" t="s">
        <v>5021</v>
      </c>
      <c r="DW109" s="108" t="s">
        <v>5022</v>
      </c>
      <c r="DX109" s="282" t="s">
        <v>5316</v>
      </c>
      <c r="DY109" s="26"/>
      <c r="DZ109" s="233"/>
      <c r="EA109" s="233"/>
      <c r="EB109" s="26" t="s">
        <v>5027</v>
      </c>
      <c r="EC109" s="21"/>
      <c r="ED109" s="108" t="s">
        <v>5018</v>
      </c>
      <c r="EE109" s="108" t="s">
        <v>5701</v>
      </c>
      <c r="EF109" s="108" t="s">
        <v>5019</v>
      </c>
      <c r="EG109" s="108" t="s">
        <v>5020</v>
      </c>
      <c r="EH109" s="108" t="s">
        <v>5021</v>
      </c>
      <c r="EI109" s="108" t="s">
        <v>5022</v>
      </c>
      <c r="EJ109" s="282" t="s">
        <v>5316</v>
      </c>
      <c r="EK109" s="26"/>
      <c r="EL109" s="233"/>
      <c r="EM109" s="233"/>
      <c r="EN109" s="26" t="s">
        <v>5027</v>
      </c>
      <c r="EO109" s="21"/>
      <c r="EP109" s="108" t="s">
        <v>5018</v>
      </c>
      <c r="EQ109" s="108" t="s">
        <v>5701</v>
      </c>
      <c r="ER109" s="108" t="s">
        <v>5019</v>
      </c>
      <c r="ES109" s="108" t="s">
        <v>5020</v>
      </c>
      <c r="ET109" s="108" t="s">
        <v>5021</v>
      </c>
      <c r="EU109" s="108" t="s">
        <v>5022</v>
      </c>
      <c r="EV109" s="282" t="s">
        <v>5316</v>
      </c>
      <c r="EW109" s="26"/>
      <c r="EX109" s="21"/>
      <c r="EY109" s="233"/>
      <c r="EZ109" s="233"/>
      <c r="FA109" s="233"/>
      <c r="FB109" s="233"/>
      <c r="FC109" s="233"/>
      <c r="FD109" s="233"/>
    </row>
    <row r="110" spans="1:160">
      <c r="A110" s="20" t="s">
        <v>3290</v>
      </c>
      <c r="B110" s="14">
        <v>2</v>
      </c>
      <c r="C110" s="14" t="s">
        <v>3803</v>
      </c>
      <c r="D110" s="14">
        <v>2</v>
      </c>
      <c r="E110" s="110" t="s">
        <v>3812</v>
      </c>
      <c r="F110" s="14" t="s">
        <v>3716</v>
      </c>
      <c r="G110" s="44" t="s">
        <v>3291</v>
      </c>
      <c r="H110" s="44" t="s">
        <v>3292</v>
      </c>
      <c r="I110" s="44">
        <v>5</v>
      </c>
      <c r="J110" s="28" t="s">
        <v>3535</v>
      </c>
      <c r="L110" s="21" t="s">
        <v>3105</v>
      </c>
      <c r="M110" s="14"/>
      <c r="N110" s="21"/>
      <c r="O110" s="14" t="s">
        <v>3141</v>
      </c>
      <c r="P110" s="14">
        <v>1</v>
      </c>
      <c r="Q110" s="110" t="s">
        <v>3211</v>
      </c>
      <c r="R110" s="14" t="s">
        <v>3618</v>
      </c>
      <c r="S110" s="44" t="s">
        <v>3249</v>
      </c>
      <c r="T110" s="44" t="s">
        <v>3915</v>
      </c>
      <c r="U110" s="14"/>
      <c r="V110" s="21"/>
      <c r="W110" s="21"/>
      <c r="X110" s="21" t="s">
        <v>2933</v>
      </c>
      <c r="Y110" s="21"/>
      <c r="Z110" s="14"/>
      <c r="AA110" s="14" t="s">
        <v>2934</v>
      </c>
      <c r="AB110" s="14">
        <v>1</v>
      </c>
      <c r="AC110" s="110" t="s">
        <v>3530</v>
      </c>
      <c r="AD110" s="14" t="s">
        <v>3947</v>
      </c>
      <c r="AE110" s="87" t="s">
        <v>3911</v>
      </c>
      <c r="AF110" s="87" t="s">
        <v>2607</v>
      </c>
      <c r="AG110" s="14"/>
      <c r="AH110" s="21"/>
      <c r="AI110" s="21"/>
      <c r="AJ110" s="21" t="s">
        <v>2608</v>
      </c>
      <c r="AK110" s="21"/>
      <c r="AL110" s="14"/>
      <c r="AM110" s="14" t="s">
        <v>4973</v>
      </c>
      <c r="AN110" s="14">
        <v>2</v>
      </c>
      <c r="AO110" s="110" t="s">
        <v>2609</v>
      </c>
      <c r="AP110" s="14" t="s">
        <v>3898</v>
      </c>
      <c r="AQ110" s="87" t="s">
        <v>3765</v>
      </c>
      <c r="AR110" s="87" t="s">
        <v>3915</v>
      </c>
      <c r="AS110" s="14"/>
      <c r="AT110" s="21"/>
      <c r="AU110" s="21"/>
      <c r="AV110" s="21" t="s">
        <v>3105</v>
      </c>
      <c r="AW110" s="21"/>
      <c r="AX110" s="14"/>
      <c r="AY110" s="14" t="s">
        <v>3141</v>
      </c>
      <c r="AZ110" s="14">
        <v>1</v>
      </c>
      <c r="BA110" s="110" t="s">
        <v>3211</v>
      </c>
      <c r="BB110" s="14" t="s">
        <v>3618</v>
      </c>
      <c r="BC110" s="87" t="s">
        <v>3249</v>
      </c>
      <c r="BD110" s="87" t="s">
        <v>3915</v>
      </c>
      <c r="BE110" s="14"/>
      <c r="BF110" s="21"/>
      <c r="BG110" s="21"/>
      <c r="BH110" s="21" t="s">
        <v>2777</v>
      </c>
      <c r="BI110" s="21"/>
      <c r="BJ110" s="14"/>
      <c r="BK110" s="14" t="s">
        <v>3600</v>
      </c>
      <c r="BL110" s="14">
        <v>3</v>
      </c>
      <c r="BM110" s="110" t="s">
        <v>2778</v>
      </c>
      <c r="BN110" s="14" t="s">
        <v>3898</v>
      </c>
      <c r="BO110" s="87" t="s">
        <v>3945</v>
      </c>
      <c r="BP110" s="87" t="s">
        <v>2779</v>
      </c>
      <c r="BQ110" s="14"/>
      <c r="BR110" s="21"/>
      <c r="BS110" s="233"/>
      <c r="BT110" s="21" t="s">
        <v>2780</v>
      </c>
      <c r="BU110" s="21"/>
      <c r="BV110" s="14"/>
      <c r="BW110" s="14" t="s">
        <v>3199</v>
      </c>
      <c r="BX110" s="14">
        <v>2</v>
      </c>
      <c r="BY110" s="110" t="s">
        <v>3331</v>
      </c>
      <c r="BZ110" s="14" t="s">
        <v>3548</v>
      </c>
      <c r="CA110" s="87" t="s">
        <v>3736</v>
      </c>
      <c r="CB110" s="44" t="s">
        <v>2781</v>
      </c>
      <c r="CC110" s="233"/>
      <c r="CD110" s="233"/>
      <c r="CE110" s="233"/>
      <c r="CF110" s="21" t="s">
        <v>2777</v>
      </c>
      <c r="CG110" s="21"/>
      <c r="CH110" s="14"/>
      <c r="CI110" s="14" t="s">
        <v>3600</v>
      </c>
      <c r="CJ110" s="14">
        <v>3</v>
      </c>
      <c r="CK110" s="110" t="s">
        <v>2778</v>
      </c>
      <c r="CL110" s="14" t="s">
        <v>3898</v>
      </c>
      <c r="CM110" s="87" t="s">
        <v>3945</v>
      </c>
      <c r="CN110" s="87" t="s">
        <v>2779</v>
      </c>
      <c r="CO110" s="233"/>
      <c r="CP110" s="233"/>
      <c r="CQ110" s="233"/>
      <c r="CR110" s="21" t="s">
        <v>2933</v>
      </c>
      <c r="CS110" s="21"/>
      <c r="CT110" s="14"/>
      <c r="CU110" s="14" t="s">
        <v>2934</v>
      </c>
      <c r="CV110" s="14">
        <v>1</v>
      </c>
      <c r="CW110" s="110" t="s">
        <v>3530</v>
      </c>
      <c r="CX110" s="14" t="s">
        <v>3947</v>
      </c>
      <c r="CY110" s="87" t="s">
        <v>3911</v>
      </c>
      <c r="CZ110" s="87" t="s">
        <v>2607</v>
      </c>
      <c r="DA110" s="14"/>
      <c r="DB110" s="21"/>
      <c r="DC110" s="233"/>
      <c r="DD110" s="21" t="s">
        <v>2933</v>
      </c>
      <c r="DE110" s="21"/>
      <c r="DF110" s="14"/>
      <c r="DG110" s="14" t="s">
        <v>2934</v>
      </c>
      <c r="DH110" s="14">
        <v>1</v>
      </c>
      <c r="DI110" s="110" t="s">
        <v>3530</v>
      </c>
      <c r="DJ110" s="14" t="s">
        <v>3947</v>
      </c>
      <c r="DK110" s="87" t="s">
        <v>3911</v>
      </c>
      <c r="DL110" s="87" t="s">
        <v>2607</v>
      </c>
      <c r="DM110" s="14"/>
      <c r="DN110" s="21"/>
      <c r="DO110" s="233"/>
      <c r="DP110" s="21" t="s">
        <v>5371</v>
      </c>
      <c r="DQ110" s="21"/>
      <c r="DR110" s="14"/>
      <c r="DS110" s="14" t="s">
        <v>2964</v>
      </c>
      <c r="DT110" s="14">
        <v>3</v>
      </c>
      <c r="DU110" s="110" t="s">
        <v>2786</v>
      </c>
      <c r="DV110" s="14" t="s">
        <v>3898</v>
      </c>
      <c r="DW110" s="87" t="s">
        <v>3736</v>
      </c>
      <c r="DX110" s="87" t="s">
        <v>3351</v>
      </c>
      <c r="DY110" s="14"/>
      <c r="DZ110" s="233"/>
      <c r="EA110" s="233"/>
      <c r="EB110" s="21" t="s">
        <v>2608</v>
      </c>
      <c r="EC110" s="21"/>
      <c r="ED110" s="14"/>
      <c r="EE110" s="14" t="s">
        <v>4973</v>
      </c>
      <c r="EF110" s="14">
        <v>2</v>
      </c>
      <c r="EG110" s="110" t="s">
        <v>2609</v>
      </c>
      <c r="EH110" s="14" t="s">
        <v>3898</v>
      </c>
      <c r="EI110" s="87" t="s">
        <v>3765</v>
      </c>
      <c r="EJ110" s="87" t="s">
        <v>3915</v>
      </c>
      <c r="EK110" s="14"/>
      <c r="EL110" s="233"/>
      <c r="EM110" s="233"/>
      <c r="EN110" s="21" t="s">
        <v>2933</v>
      </c>
      <c r="EO110" s="21"/>
      <c r="EP110" s="14"/>
      <c r="EQ110" s="14" t="s">
        <v>2934</v>
      </c>
      <c r="ER110" s="14">
        <v>1</v>
      </c>
      <c r="ES110" s="110" t="s">
        <v>3530</v>
      </c>
      <c r="ET110" s="14" t="s">
        <v>3947</v>
      </c>
      <c r="EU110" s="87" t="s">
        <v>3911</v>
      </c>
      <c r="EV110" s="87" t="s">
        <v>2607</v>
      </c>
      <c r="EW110" s="14"/>
      <c r="EX110" s="21"/>
      <c r="EY110" s="233"/>
      <c r="EZ110" s="233"/>
      <c r="FA110" s="233"/>
      <c r="FB110" s="233"/>
      <c r="FC110" s="233"/>
      <c r="FD110" s="233"/>
    </row>
    <row r="111" spans="1:160">
      <c r="A111" s="283" t="s">
        <v>512</v>
      </c>
      <c r="B111" s="284">
        <v>2</v>
      </c>
      <c r="C111" s="284" t="s">
        <v>5890</v>
      </c>
      <c r="D111" s="284">
        <v>1</v>
      </c>
      <c r="E111" s="285" t="s">
        <v>3999</v>
      </c>
      <c r="F111" s="284" t="s">
        <v>3947</v>
      </c>
      <c r="G111" s="286" t="s">
        <v>3407</v>
      </c>
      <c r="H111" s="286" t="s">
        <v>3728</v>
      </c>
      <c r="I111" s="286" t="s">
        <v>3900</v>
      </c>
      <c r="J111" s="287" t="s">
        <v>4369</v>
      </c>
      <c r="L111" s="21" t="s">
        <v>2782</v>
      </c>
      <c r="M111" s="14"/>
      <c r="N111" s="21"/>
      <c r="O111" s="14" t="s">
        <v>3141</v>
      </c>
      <c r="P111" s="14">
        <v>2</v>
      </c>
      <c r="Q111" s="110" t="s">
        <v>3516</v>
      </c>
      <c r="R111" s="14" t="s">
        <v>3716</v>
      </c>
      <c r="S111" s="44" t="s">
        <v>3736</v>
      </c>
      <c r="T111" s="44" t="s">
        <v>3859</v>
      </c>
      <c r="U111" s="14"/>
      <c r="V111" s="21"/>
      <c r="W111" s="21"/>
      <c r="X111" s="21" t="s">
        <v>2783</v>
      </c>
      <c r="Y111" s="21"/>
      <c r="Z111" s="14"/>
      <c r="AA111" s="14" t="s">
        <v>3691</v>
      </c>
      <c r="AB111" s="14">
        <v>2</v>
      </c>
      <c r="AC111" s="110" t="s">
        <v>3305</v>
      </c>
      <c r="AD111" s="14" t="s">
        <v>4000</v>
      </c>
      <c r="AE111" s="87" t="s">
        <v>3759</v>
      </c>
      <c r="AF111" s="87" t="s">
        <v>3488</v>
      </c>
      <c r="AG111" s="14"/>
      <c r="AH111" s="21"/>
      <c r="AI111" s="21"/>
      <c r="AJ111" s="21" t="s">
        <v>2784</v>
      </c>
      <c r="AK111" s="21"/>
      <c r="AL111" s="14"/>
      <c r="AM111" s="14" t="s">
        <v>2785</v>
      </c>
      <c r="AN111" s="14">
        <v>4</v>
      </c>
      <c r="AO111" s="110" t="s">
        <v>2786</v>
      </c>
      <c r="AP111" s="14" t="s">
        <v>3898</v>
      </c>
      <c r="AQ111" s="87" t="s">
        <v>3273</v>
      </c>
      <c r="AR111" s="87" t="s">
        <v>3859</v>
      </c>
      <c r="AS111" s="14"/>
      <c r="AT111" s="21"/>
      <c r="AU111" s="21"/>
      <c r="AV111" s="21" t="s">
        <v>2787</v>
      </c>
      <c r="AW111" s="21"/>
      <c r="AX111" s="14"/>
      <c r="AY111" s="14" t="s">
        <v>2788</v>
      </c>
      <c r="AZ111" s="14">
        <v>3</v>
      </c>
      <c r="BA111" s="110" t="s">
        <v>3279</v>
      </c>
      <c r="BB111" s="14" t="s">
        <v>3914</v>
      </c>
      <c r="BC111" s="87" t="s">
        <v>3395</v>
      </c>
      <c r="BD111" s="87" t="s">
        <v>3915</v>
      </c>
      <c r="BE111" s="14"/>
      <c r="BF111" s="21"/>
      <c r="BG111" s="21"/>
      <c r="BH111" s="21" t="s">
        <v>2789</v>
      </c>
      <c r="BI111" s="21"/>
      <c r="BJ111" s="14"/>
      <c r="BK111" s="14" t="s">
        <v>2790</v>
      </c>
      <c r="BL111" s="14">
        <v>2</v>
      </c>
      <c r="BM111" s="110" t="s">
        <v>3530</v>
      </c>
      <c r="BN111" s="14" t="s">
        <v>3548</v>
      </c>
      <c r="BO111" s="87" t="s">
        <v>3753</v>
      </c>
      <c r="BP111" s="87" t="s">
        <v>4209</v>
      </c>
      <c r="BQ111" s="14"/>
      <c r="BR111" s="21"/>
      <c r="BS111" s="233"/>
      <c r="BT111" s="21" t="s">
        <v>2791</v>
      </c>
      <c r="BU111" s="21"/>
      <c r="BV111" s="14"/>
      <c r="BW111" s="112" t="s">
        <v>3404</v>
      </c>
      <c r="BX111" s="14">
        <v>2</v>
      </c>
      <c r="BY111" s="110" t="s">
        <v>3749</v>
      </c>
      <c r="BZ111" s="14" t="s">
        <v>3548</v>
      </c>
      <c r="CA111" s="87" t="s">
        <v>2792</v>
      </c>
      <c r="CB111" s="44" t="s">
        <v>2793</v>
      </c>
      <c r="CC111" s="233"/>
      <c r="CD111" s="233"/>
      <c r="CE111" s="233"/>
      <c r="CF111" s="21" t="s">
        <v>2789</v>
      </c>
      <c r="CG111" s="21"/>
      <c r="CH111" s="14"/>
      <c r="CI111" s="14" t="s">
        <v>2790</v>
      </c>
      <c r="CJ111" s="14">
        <v>2</v>
      </c>
      <c r="CK111" s="110" t="s">
        <v>3530</v>
      </c>
      <c r="CL111" s="14" t="s">
        <v>3548</v>
      </c>
      <c r="CM111" s="87" t="s">
        <v>3753</v>
      </c>
      <c r="CN111" s="87" t="s">
        <v>4209</v>
      </c>
      <c r="CO111" s="233"/>
      <c r="CP111" s="233"/>
      <c r="CQ111" s="233"/>
      <c r="CR111" s="21" t="s">
        <v>2783</v>
      </c>
      <c r="CS111" s="21"/>
      <c r="CT111" s="14"/>
      <c r="CU111" s="14" t="s">
        <v>3691</v>
      </c>
      <c r="CV111" s="14">
        <v>2</v>
      </c>
      <c r="CW111" s="110" t="s">
        <v>3305</v>
      </c>
      <c r="CX111" s="14" t="s">
        <v>4000</v>
      </c>
      <c r="CY111" s="87" t="s">
        <v>3759</v>
      </c>
      <c r="CZ111" s="87" t="s">
        <v>3488</v>
      </c>
      <c r="DA111" s="14"/>
      <c r="DB111" s="21"/>
      <c r="DC111" s="233"/>
      <c r="DD111" s="21" t="s">
        <v>2783</v>
      </c>
      <c r="DE111" s="21"/>
      <c r="DF111" s="14"/>
      <c r="DG111" s="14" t="s">
        <v>3691</v>
      </c>
      <c r="DH111" s="14">
        <v>2</v>
      </c>
      <c r="DI111" s="110" t="s">
        <v>3305</v>
      </c>
      <c r="DJ111" s="14" t="s">
        <v>4000</v>
      </c>
      <c r="DK111" s="87" t="s">
        <v>3759</v>
      </c>
      <c r="DL111" s="87" t="s">
        <v>3488</v>
      </c>
      <c r="DM111" s="14"/>
      <c r="DN111" s="21"/>
      <c r="DO111" s="233"/>
      <c r="DP111" s="21" t="s">
        <v>2976</v>
      </c>
      <c r="DQ111" s="21"/>
      <c r="DR111" s="14"/>
      <c r="DS111" s="14" t="s">
        <v>2790</v>
      </c>
      <c r="DT111" s="14">
        <v>2</v>
      </c>
      <c r="DU111" s="14" t="s">
        <v>3650</v>
      </c>
      <c r="DV111" s="14" t="s">
        <v>3716</v>
      </c>
      <c r="DW111" s="87" t="s">
        <v>3809</v>
      </c>
      <c r="DX111" s="87" t="s">
        <v>3148</v>
      </c>
      <c r="DY111" s="14"/>
      <c r="DZ111" s="233"/>
      <c r="EA111" s="233"/>
      <c r="EB111" s="21" t="s">
        <v>2784</v>
      </c>
      <c r="EC111" s="21"/>
      <c r="ED111" s="14"/>
      <c r="EE111" s="14" t="s">
        <v>2785</v>
      </c>
      <c r="EF111" s="14">
        <v>4</v>
      </c>
      <c r="EG111" s="110" t="s">
        <v>2786</v>
      </c>
      <c r="EH111" s="14" t="s">
        <v>3898</v>
      </c>
      <c r="EI111" s="87" t="s">
        <v>3273</v>
      </c>
      <c r="EJ111" s="87" t="s">
        <v>3859</v>
      </c>
      <c r="EK111" s="14"/>
      <c r="EL111" s="233"/>
      <c r="EM111" s="233"/>
      <c r="EN111" s="21" t="s">
        <v>2783</v>
      </c>
      <c r="EO111" s="21"/>
      <c r="EP111" s="14"/>
      <c r="EQ111" s="14" t="s">
        <v>3691</v>
      </c>
      <c r="ER111" s="14">
        <v>2</v>
      </c>
      <c r="ES111" s="110" t="s">
        <v>3305</v>
      </c>
      <c r="ET111" s="14" t="s">
        <v>4000</v>
      </c>
      <c r="EU111" s="87" t="s">
        <v>3759</v>
      </c>
      <c r="EV111" s="87" t="s">
        <v>3488</v>
      </c>
      <c r="EW111" s="14"/>
      <c r="EX111" s="21"/>
      <c r="EY111" s="233"/>
      <c r="EZ111" s="233"/>
      <c r="FA111" s="233"/>
      <c r="FB111" s="233"/>
      <c r="FC111" s="233"/>
      <c r="FD111" s="233"/>
    </row>
    <row r="112" spans="1:160">
      <c r="A112" s="20" t="s">
        <v>3784</v>
      </c>
      <c r="B112" s="14">
        <v>2</v>
      </c>
      <c r="C112" s="14" t="s">
        <v>3785</v>
      </c>
      <c r="D112" s="14">
        <v>3</v>
      </c>
      <c r="E112" s="110" t="s">
        <v>3566</v>
      </c>
      <c r="F112" s="14" t="s">
        <v>3548</v>
      </c>
      <c r="G112" s="44" t="s">
        <v>3945</v>
      </c>
      <c r="H112" s="44" t="s">
        <v>3786</v>
      </c>
      <c r="I112" s="44">
        <v>7</v>
      </c>
      <c r="J112" s="28" t="s">
        <v>4447</v>
      </c>
      <c r="L112" s="21" t="s">
        <v>2794</v>
      </c>
      <c r="M112" s="14"/>
      <c r="N112" s="21"/>
      <c r="O112" s="14" t="s">
        <v>2788</v>
      </c>
      <c r="P112" s="14">
        <v>3</v>
      </c>
      <c r="Q112" s="110" t="s">
        <v>2795</v>
      </c>
      <c r="R112" s="14" t="s">
        <v>3898</v>
      </c>
      <c r="S112" s="44" t="s">
        <v>2796</v>
      </c>
      <c r="T112" s="44" t="s">
        <v>2797</v>
      </c>
      <c r="U112" s="14"/>
      <c r="V112" s="21"/>
      <c r="W112" s="21"/>
      <c r="X112" s="21" t="s">
        <v>2798</v>
      </c>
      <c r="Y112" s="21"/>
      <c r="Z112" s="14"/>
      <c r="AA112" s="14" t="s">
        <v>3691</v>
      </c>
      <c r="AB112" s="14">
        <v>1</v>
      </c>
      <c r="AC112" s="110" t="s">
        <v>3336</v>
      </c>
      <c r="AD112" s="14" t="s">
        <v>3898</v>
      </c>
      <c r="AE112" s="87" t="s">
        <v>2951</v>
      </c>
      <c r="AF112" s="87" t="s">
        <v>3286</v>
      </c>
      <c r="AG112" s="14"/>
      <c r="AH112" s="21"/>
      <c r="AI112" s="14"/>
      <c r="AJ112" s="21" t="s">
        <v>2952</v>
      </c>
      <c r="AK112" s="21"/>
      <c r="AL112" s="14"/>
      <c r="AM112" s="14" t="s">
        <v>2785</v>
      </c>
      <c r="AN112" s="14">
        <v>3</v>
      </c>
      <c r="AO112" s="110" t="s">
        <v>3205</v>
      </c>
      <c r="AP112" s="14" t="s">
        <v>3716</v>
      </c>
      <c r="AQ112" s="87" t="s">
        <v>3538</v>
      </c>
      <c r="AR112" s="87" t="s">
        <v>3859</v>
      </c>
      <c r="AS112" s="14"/>
      <c r="AT112" s="21"/>
      <c r="AU112" s="21"/>
      <c r="AV112" s="21" t="s">
        <v>2782</v>
      </c>
      <c r="AW112" s="21"/>
      <c r="AX112" s="14"/>
      <c r="AY112" s="14" t="s">
        <v>3141</v>
      </c>
      <c r="AZ112" s="14">
        <v>2</v>
      </c>
      <c r="BA112" s="110" t="s">
        <v>3516</v>
      </c>
      <c r="BB112" s="14" t="s">
        <v>3716</v>
      </c>
      <c r="BC112" s="87" t="s">
        <v>3736</v>
      </c>
      <c r="BD112" s="87" t="s">
        <v>3859</v>
      </c>
      <c r="BE112" s="14"/>
      <c r="BF112" s="21"/>
      <c r="BG112" s="21"/>
      <c r="BH112" s="21" t="s">
        <v>2953</v>
      </c>
      <c r="BI112" s="21"/>
      <c r="BJ112" s="14"/>
      <c r="BK112" s="14" t="s">
        <v>2948</v>
      </c>
      <c r="BL112" s="14">
        <v>3</v>
      </c>
      <c r="BM112" s="110" t="s">
        <v>2954</v>
      </c>
      <c r="BN112" s="14" t="s">
        <v>4000</v>
      </c>
      <c r="BO112" s="87" t="s">
        <v>3843</v>
      </c>
      <c r="BP112" s="87" t="s">
        <v>3746</v>
      </c>
      <c r="BQ112" s="14"/>
      <c r="BR112" s="21"/>
      <c r="BS112" s="233"/>
      <c r="BT112" s="21" t="s">
        <v>2955</v>
      </c>
      <c r="BU112" s="21"/>
      <c r="BV112" s="14"/>
      <c r="BW112" s="14" t="s">
        <v>2790</v>
      </c>
      <c r="BX112" s="14">
        <v>1</v>
      </c>
      <c r="BY112" s="110" t="s">
        <v>3667</v>
      </c>
      <c r="BZ112" s="14" t="s">
        <v>3898</v>
      </c>
      <c r="CA112" s="87" t="s">
        <v>3753</v>
      </c>
      <c r="CB112" s="87" t="s">
        <v>3859</v>
      </c>
      <c r="CC112" s="233"/>
      <c r="CD112" s="233"/>
      <c r="CE112" s="233"/>
      <c r="CF112" s="21" t="s">
        <v>2953</v>
      </c>
      <c r="CG112" s="21"/>
      <c r="CH112" s="14"/>
      <c r="CI112" s="14" t="s">
        <v>2948</v>
      </c>
      <c r="CJ112" s="14">
        <v>3</v>
      </c>
      <c r="CK112" s="110" t="s">
        <v>2954</v>
      </c>
      <c r="CL112" s="14" t="s">
        <v>4000</v>
      </c>
      <c r="CM112" s="87" t="s">
        <v>3843</v>
      </c>
      <c r="CN112" s="87" t="s">
        <v>3746</v>
      </c>
      <c r="CO112" s="233"/>
      <c r="CP112" s="233"/>
      <c r="CQ112" s="233"/>
      <c r="CR112" s="21" t="s">
        <v>2798</v>
      </c>
      <c r="CS112" s="21"/>
      <c r="CT112" s="14"/>
      <c r="CU112" s="14" t="s">
        <v>3691</v>
      </c>
      <c r="CV112" s="14">
        <v>1</v>
      </c>
      <c r="CW112" s="110" t="s">
        <v>3336</v>
      </c>
      <c r="CX112" s="14" t="s">
        <v>3898</v>
      </c>
      <c r="CY112" s="87" t="s">
        <v>2951</v>
      </c>
      <c r="CZ112" s="87" t="s">
        <v>3286</v>
      </c>
      <c r="DA112" s="14"/>
      <c r="DB112" s="21"/>
      <c r="DC112" s="233"/>
      <c r="DD112" s="21" t="s">
        <v>2798</v>
      </c>
      <c r="DE112" s="21"/>
      <c r="DF112" s="14"/>
      <c r="DG112" s="14" t="s">
        <v>3691</v>
      </c>
      <c r="DH112" s="14">
        <v>1</v>
      </c>
      <c r="DI112" s="110" t="s">
        <v>3336</v>
      </c>
      <c r="DJ112" s="14" t="s">
        <v>3898</v>
      </c>
      <c r="DK112" s="87" t="s">
        <v>2951</v>
      </c>
      <c r="DL112" s="87" t="s">
        <v>3286</v>
      </c>
      <c r="DM112" s="14"/>
      <c r="DN112" s="21"/>
      <c r="DO112" s="233"/>
      <c r="DP112" s="21"/>
      <c r="DQ112" s="21"/>
      <c r="DR112" s="14"/>
      <c r="DS112" s="14"/>
      <c r="DT112" s="14"/>
      <c r="DU112" s="110"/>
      <c r="DV112" s="14"/>
      <c r="DW112" s="87"/>
      <c r="DX112" s="87"/>
      <c r="DY112" s="14"/>
      <c r="DZ112" s="233"/>
      <c r="EA112" s="233"/>
      <c r="EB112" s="21" t="s">
        <v>2952</v>
      </c>
      <c r="EC112" s="21"/>
      <c r="ED112" s="14"/>
      <c r="EE112" s="14" t="s">
        <v>2785</v>
      </c>
      <c r="EF112" s="14">
        <v>3</v>
      </c>
      <c r="EG112" s="110" t="s">
        <v>3205</v>
      </c>
      <c r="EH112" s="14" t="s">
        <v>3716</v>
      </c>
      <c r="EI112" s="87" t="s">
        <v>3538</v>
      </c>
      <c r="EJ112" s="87" t="s">
        <v>3859</v>
      </c>
      <c r="EK112" s="14"/>
      <c r="EL112" s="233"/>
      <c r="EM112" s="233"/>
      <c r="EN112" s="21" t="s">
        <v>2798</v>
      </c>
      <c r="EO112" s="21"/>
      <c r="EP112" s="14"/>
      <c r="EQ112" s="14" t="s">
        <v>3691</v>
      </c>
      <c r="ER112" s="14">
        <v>1</v>
      </c>
      <c r="ES112" s="110" t="s">
        <v>3336</v>
      </c>
      <c r="ET112" s="14" t="s">
        <v>3898</v>
      </c>
      <c r="EU112" s="87" t="s">
        <v>2951</v>
      </c>
      <c r="EV112" s="87" t="s">
        <v>3286</v>
      </c>
      <c r="EW112" s="14"/>
      <c r="EX112" s="21"/>
      <c r="EY112" s="233"/>
      <c r="EZ112" s="233"/>
      <c r="FA112" s="233"/>
      <c r="FB112" s="233"/>
      <c r="FC112" s="233"/>
      <c r="FD112" s="233"/>
    </row>
    <row r="113" spans="1:160">
      <c r="A113" s="20" t="s">
        <v>3298</v>
      </c>
      <c r="B113" s="14">
        <v>2</v>
      </c>
      <c r="C113" s="14" t="s">
        <v>3752</v>
      </c>
      <c r="D113" s="14">
        <v>1</v>
      </c>
      <c r="E113" s="110" t="s">
        <v>3569</v>
      </c>
      <c r="F113" s="14" t="s">
        <v>3898</v>
      </c>
      <c r="G113" s="44" t="s">
        <v>3901</v>
      </c>
      <c r="H113" s="44" t="s">
        <v>3299</v>
      </c>
      <c r="I113" s="44" t="s">
        <v>3900</v>
      </c>
      <c r="J113" s="28" t="s">
        <v>4369</v>
      </c>
      <c r="L113" s="21" t="s">
        <v>2798</v>
      </c>
      <c r="M113" s="14"/>
      <c r="N113" s="21"/>
      <c r="O113" s="14" t="s">
        <v>3691</v>
      </c>
      <c r="P113" s="14">
        <v>1</v>
      </c>
      <c r="Q113" s="110" t="s">
        <v>3336</v>
      </c>
      <c r="R113" s="14" t="s">
        <v>3898</v>
      </c>
      <c r="S113" s="44" t="s">
        <v>2951</v>
      </c>
      <c r="T113" s="44" t="s">
        <v>3286</v>
      </c>
      <c r="U113" s="14"/>
      <c r="V113" s="21"/>
      <c r="W113" s="21"/>
      <c r="X113" s="21" t="s">
        <v>2956</v>
      </c>
      <c r="Y113" s="21"/>
      <c r="Z113" s="14"/>
      <c r="AA113" s="14" t="s">
        <v>2859</v>
      </c>
      <c r="AB113" s="14">
        <v>2</v>
      </c>
      <c r="AC113" s="110" t="s">
        <v>2957</v>
      </c>
      <c r="AD113" s="14" t="s">
        <v>3898</v>
      </c>
      <c r="AE113" s="87" t="s">
        <v>3550</v>
      </c>
      <c r="AF113" s="87" t="s">
        <v>5483</v>
      </c>
      <c r="AG113" s="14"/>
      <c r="AH113" s="21"/>
      <c r="AI113" s="14"/>
      <c r="AJ113" s="21" t="s">
        <v>2958</v>
      </c>
      <c r="AK113" s="21"/>
      <c r="AL113" s="14"/>
      <c r="AM113" s="14" t="s">
        <v>2785</v>
      </c>
      <c r="AN113" s="14">
        <v>3</v>
      </c>
      <c r="AO113" s="110" t="s">
        <v>3413</v>
      </c>
      <c r="AP113" s="14" t="s">
        <v>2959</v>
      </c>
      <c r="AQ113" s="87" t="s">
        <v>3378</v>
      </c>
      <c r="AR113" s="87" t="s">
        <v>3728</v>
      </c>
      <c r="AS113" s="14"/>
      <c r="AT113" s="21"/>
      <c r="AU113" s="21"/>
      <c r="AV113" s="21" t="s">
        <v>2794</v>
      </c>
      <c r="AW113" s="21"/>
      <c r="AX113" s="14"/>
      <c r="AY113" s="14" t="s">
        <v>2788</v>
      </c>
      <c r="AZ113" s="14">
        <v>3</v>
      </c>
      <c r="BA113" s="110" t="s">
        <v>2795</v>
      </c>
      <c r="BB113" s="14" t="s">
        <v>3898</v>
      </c>
      <c r="BC113" s="87" t="s">
        <v>2796</v>
      </c>
      <c r="BD113" s="87" t="s">
        <v>2797</v>
      </c>
      <c r="BE113" s="14"/>
      <c r="BF113" s="21"/>
      <c r="BG113" s="21"/>
      <c r="BH113" s="21" t="s">
        <v>3128</v>
      </c>
      <c r="BI113" s="21"/>
      <c r="BJ113" s="14"/>
      <c r="BK113" s="14" t="s">
        <v>3199</v>
      </c>
      <c r="BL113" s="14">
        <v>3</v>
      </c>
      <c r="BM113" s="110" t="s">
        <v>3331</v>
      </c>
      <c r="BN113" s="14" t="s">
        <v>3416</v>
      </c>
      <c r="BO113" s="111" t="s">
        <v>3843</v>
      </c>
      <c r="BP113" s="111" t="s">
        <v>3728</v>
      </c>
      <c r="BQ113" s="14"/>
      <c r="BR113" s="21"/>
      <c r="BS113" s="233"/>
      <c r="BT113" s="21" t="s">
        <v>2961</v>
      </c>
      <c r="BU113" s="21"/>
      <c r="BV113" s="14"/>
      <c r="BW113" s="14" t="s">
        <v>3237</v>
      </c>
      <c r="BX113" s="14">
        <v>3</v>
      </c>
      <c r="BY113" s="110" t="s">
        <v>3190</v>
      </c>
      <c r="BZ113" s="14" t="s">
        <v>3898</v>
      </c>
      <c r="CA113" s="87" t="s">
        <v>3420</v>
      </c>
      <c r="CB113" s="44" t="s">
        <v>2962</v>
      </c>
      <c r="CC113" s="233"/>
      <c r="CD113" s="233"/>
      <c r="CE113" s="233"/>
      <c r="CF113" s="21" t="s">
        <v>3128</v>
      </c>
      <c r="CG113" s="21"/>
      <c r="CH113" s="14"/>
      <c r="CI113" s="14" t="s">
        <v>3199</v>
      </c>
      <c r="CJ113" s="14">
        <v>3</v>
      </c>
      <c r="CK113" s="110" t="s">
        <v>3331</v>
      </c>
      <c r="CL113" s="14" t="s">
        <v>3416</v>
      </c>
      <c r="CM113" s="111" t="s">
        <v>3843</v>
      </c>
      <c r="CN113" s="111" t="s">
        <v>3728</v>
      </c>
      <c r="CO113" s="233"/>
      <c r="CP113" s="233"/>
      <c r="CQ113" s="233"/>
      <c r="CR113" s="21" t="s">
        <v>2956</v>
      </c>
      <c r="CS113" s="21"/>
      <c r="CT113" s="14"/>
      <c r="CU113" s="14" t="s">
        <v>2859</v>
      </c>
      <c r="CV113" s="14">
        <v>2</v>
      </c>
      <c r="CW113" s="110" t="s">
        <v>2957</v>
      </c>
      <c r="CX113" s="14" t="s">
        <v>3898</v>
      </c>
      <c r="CY113" s="87" t="s">
        <v>3550</v>
      </c>
      <c r="CZ113" s="87" t="s">
        <v>5483</v>
      </c>
      <c r="DA113" s="14"/>
      <c r="DB113" s="21"/>
      <c r="DC113" s="233"/>
      <c r="DD113" s="21" t="s">
        <v>2956</v>
      </c>
      <c r="DE113" s="21"/>
      <c r="DF113" s="14"/>
      <c r="DG113" s="14" t="s">
        <v>2859</v>
      </c>
      <c r="DH113" s="14">
        <v>2</v>
      </c>
      <c r="DI113" s="110" t="s">
        <v>2957</v>
      </c>
      <c r="DJ113" s="14" t="s">
        <v>3898</v>
      </c>
      <c r="DK113" s="87" t="s">
        <v>3550</v>
      </c>
      <c r="DL113" s="87" t="s">
        <v>5483</v>
      </c>
      <c r="DM113" s="14"/>
      <c r="DN113" s="21"/>
      <c r="DO113" s="233"/>
      <c r="DP113" s="21"/>
      <c r="DQ113" s="21"/>
      <c r="DR113" s="14"/>
      <c r="DS113" s="14"/>
      <c r="DT113" s="14"/>
      <c r="DU113" s="110"/>
      <c r="DV113" s="14"/>
      <c r="DW113" s="87"/>
      <c r="DX113" s="87"/>
      <c r="DY113" s="14"/>
      <c r="DZ113" s="233"/>
      <c r="EA113" s="233"/>
      <c r="EB113" s="21" t="s">
        <v>2958</v>
      </c>
      <c r="EC113" s="21"/>
      <c r="ED113" s="14"/>
      <c r="EE113" s="14" t="s">
        <v>2785</v>
      </c>
      <c r="EF113" s="14">
        <v>3</v>
      </c>
      <c r="EG113" s="110" t="s">
        <v>3413</v>
      </c>
      <c r="EH113" s="14" t="s">
        <v>2959</v>
      </c>
      <c r="EI113" s="87" t="s">
        <v>3378</v>
      </c>
      <c r="EJ113" s="87" t="s">
        <v>3728</v>
      </c>
      <c r="EK113" s="14"/>
      <c r="EL113" s="233"/>
      <c r="EM113" s="233"/>
      <c r="EN113" s="21" t="s">
        <v>2956</v>
      </c>
      <c r="EO113" s="21"/>
      <c r="EP113" s="14"/>
      <c r="EQ113" s="14" t="s">
        <v>2859</v>
      </c>
      <c r="ER113" s="14">
        <v>2</v>
      </c>
      <c r="ES113" s="110" t="s">
        <v>2957</v>
      </c>
      <c r="ET113" s="14" t="s">
        <v>3898</v>
      </c>
      <c r="EU113" s="87" t="s">
        <v>3550</v>
      </c>
      <c r="EV113" s="87" t="s">
        <v>5483</v>
      </c>
      <c r="EW113" s="14"/>
      <c r="EX113" s="21"/>
      <c r="EY113" s="233"/>
      <c r="EZ113" s="233"/>
      <c r="FA113" s="233"/>
      <c r="FB113" s="233"/>
      <c r="FC113" s="233"/>
      <c r="FD113" s="233"/>
    </row>
    <row r="114" spans="1:160">
      <c r="A114" s="20" t="s">
        <v>3611</v>
      </c>
      <c r="B114" s="14">
        <v>2</v>
      </c>
      <c r="C114" s="14" t="s">
        <v>3785</v>
      </c>
      <c r="D114" s="14">
        <v>2</v>
      </c>
      <c r="E114" s="110" t="s">
        <v>3807</v>
      </c>
      <c r="F114" s="14" t="s">
        <v>3473</v>
      </c>
      <c r="G114" s="44" t="s">
        <v>3612</v>
      </c>
      <c r="H114" s="44" t="s">
        <v>3728</v>
      </c>
      <c r="I114" s="44">
        <v>2</v>
      </c>
      <c r="J114" s="28" t="s">
        <v>4447</v>
      </c>
      <c r="L114" s="21" t="s">
        <v>2963</v>
      </c>
      <c r="M114" s="14"/>
      <c r="N114" s="21"/>
      <c r="O114" s="14" t="s">
        <v>2964</v>
      </c>
      <c r="P114" s="14">
        <v>1</v>
      </c>
      <c r="Q114" s="110" t="s">
        <v>3305</v>
      </c>
      <c r="R114" s="14" t="s">
        <v>3914</v>
      </c>
      <c r="S114" s="44" t="s">
        <v>3395</v>
      </c>
      <c r="T114" s="44" t="s">
        <v>3746</v>
      </c>
      <c r="U114" s="14"/>
      <c r="V114" s="21"/>
      <c r="W114" s="21"/>
      <c r="X114" s="21" t="s">
        <v>2965</v>
      </c>
      <c r="Y114" s="21"/>
      <c r="Z114" s="14"/>
      <c r="AA114" s="14" t="s">
        <v>3691</v>
      </c>
      <c r="AB114" s="14">
        <v>4</v>
      </c>
      <c r="AC114" s="110" t="s">
        <v>3701</v>
      </c>
      <c r="AD114" s="14" t="s">
        <v>4000</v>
      </c>
      <c r="AE114" s="87" t="s">
        <v>3612</v>
      </c>
      <c r="AF114" s="87" t="s">
        <v>4209</v>
      </c>
      <c r="AG114" s="14"/>
      <c r="AH114" s="21"/>
      <c r="AI114" s="14"/>
      <c r="AJ114" s="21" t="s">
        <v>2966</v>
      </c>
      <c r="AK114" s="21"/>
      <c r="AL114" s="14"/>
      <c r="AM114" s="14" t="s">
        <v>3598</v>
      </c>
      <c r="AN114" s="14">
        <v>2</v>
      </c>
      <c r="AO114" s="110" t="s">
        <v>2778</v>
      </c>
      <c r="AP114" s="14" t="s">
        <v>3548</v>
      </c>
      <c r="AQ114" s="87" t="s">
        <v>3736</v>
      </c>
      <c r="AR114" s="87" t="s">
        <v>3488</v>
      </c>
      <c r="AS114" s="14"/>
      <c r="AT114" s="21"/>
      <c r="AU114" s="21"/>
      <c r="AV114" s="21" t="s">
        <v>513</v>
      </c>
      <c r="AW114" s="21"/>
      <c r="AX114" s="14"/>
      <c r="AY114" s="14" t="s">
        <v>5891</v>
      </c>
      <c r="AZ114" s="14">
        <v>2</v>
      </c>
      <c r="BA114" s="110" t="s">
        <v>3667</v>
      </c>
      <c r="BB114" s="14" t="s">
        <v>3931</v>
      </c>
      <c r="BC114" s="44" t="s">
        <v>3843</v>
      </c>
      <c r="BD114" s="44" t="s">
        <v>392</v>
      </c>
      <c r="BE114" s="44"/>
      <c r="BF114" s="21"/>
      <c r="BG114" s="21"/>
      <c r="BH114" s="21" t="s">
        <v>3768</v>
      </c>
      <c r="BI114" s="21"/>
      <c r="BJ114" s="14"/>
      <c r="BK114" s="14" t="s">
        <v>2790</v>
      </c>
      <c r="BL114" s="14">
        <v>2</v>
      </c>
      <c r="BM114" s="110" t="s">
        <v>3124</v>
      </c>
      <c r="BN114" s="14" t="s">
        <v>4000</v>
      </c>
      <c r="BO114" s="87" t="s">
        <v>3490</v>
      </c>
      <c r="BP114" s="87" t="s">
        <v>2975</v>
      </c>
      <c r="BQ114" s="14"/>
      <c r="BR114" s="21"/>
      <c r="BS114" s="233"/>
      <c r="BT114" s="21" t="s">
        <v>2976</v>
      </c>
      <c r="BU114" s="21"/>
      <c r="BV114" s="14"/>
      <c r="BW114" s="14" t="s">
        <v>2790</v>
      </c>
      <c r="BX114" s="14">
        <v>2</v>
      </c>
      <c r="BY114" s="14" t="s">
        <v>3650</v>
      </c>
      <c r="BZ114" s="14" t="s">
        <v>3716</v>
      </c>
      <c r="CA114" s="87" t="s">
        <v>3809</v>
      </c>
      <c r="CB114" s="87" t="s">
        <v>3148</v>
      </c>
      <c r="CC114" s="233"/>
      <c r="CD114" s="233"/>
      <c r="CE114" s="233"/>
      <c r="CF114" s="21" t="s">
        <v>3768</v>
      </c>
      <c r="CG114" s="21"/>
      <c r="CH114" s="14"/>
      <c r="CI114" s="14" t="s">
        <v>2790</v>
      </c>
      <c r="CJ114" s="14">
        <v>2</v>
      </c>
      <c r="CK114" s="110" t="s">
        <v>3124</v>
      </c>
      <c r="CL114" s="14" t="s">
        <v>4000</v>
      </c>
      <c r="CM114" s="87" t="s">
        <v>3490</v>
      </c>
      <c r="CN114" s="87" t="s">
        <v>2975</v>
      </c>
      <c r="CO114" s="233"/>
      <c r="CP114" s="233"/>
      <c r="CQ114" s="233"/>
      <c r="CR114" s="21" t="s">
        <v>2965</v>
      </c>
      <c r="CS114" s="21"/>
      <c r="CT114" s="14"/>
      <c r="CU114" s="14" t="s">
        <v>3691</v>
      </c>
      <c r="CV114" s="14">
        <v>4</v>
      </c>
      <c r="CW114" s="110" t="s">
        <v>3701</v>
      </c>
      <c r="CX114" s="14" t="s">
        <v>4000</v>
      </c>
      <c r="CY114" s="87" t="s">
        <v>3612</v>
      </c>
      <c r="CZ114" s="87" t="s">
        <v>4209</v>
      </c>
      <c r="DA114" s="14"/>
      <c r="DB114" s="21"/>
      <c r="DC114" s="233"/>
      <c r="DD114" s="21" t="s">
        <v>2965</v>
      </c>
      <c r="DE114" s="21"/>
      <c r="DF114" s="14"/>
      <c r="DG114" s="14" t="s">
        <v>3691</v>
      </c>
      <c r="DH114" s="14">
        <v>4</v>
      </c>
      <c r="DI114" s="110" t="s">
        <v>3701</v>
      </c>
      <c r="DJ114" s="14" t="s">
        <v>4000</v>
      </c>
      <c r="DK114" s="87" t="s">
        <v>3612</v>
      </c>
      <c r="DL114" s="87" t="s">
        <v>4209</v>
      </c>
      <c r="DM114" s="14"/>
      <c r="DN114" s="21"/>
      <c r="DO114" s="233"/>
      <c r="DP114" s="21"/>
      <c r="DQ114" s="21"/>
      <c r="DR114" s="14"/>
      <c r="DS114" s="14"/>
      <c r="DT114" s="14"/>
      <c r="DU114" s="110"/>
      <c r="DV114" s="14"/>
      <c r="DW114" s="87"/>
      <c r="DX114" s="87"/>
      <c r="DY114" s="14"/>
      <c r="DZ114" s="233"/>
      <c r="EA114" s="233"/>
      <c r="EB114" s="21" t="s">
        <v>2966</v>
      </c>
      <c r="EC114" s="21"/>
      <c r="ED114" s="14"/>
      <c r="EE114" s="14" t="s">
        <v>3598</v>
      </c>
      <c r="EF114" s="14">
        <v>2</v>
      </c>
      <c r="EG114" s="110" t="s">
        <v>2778</v>
      </c>
      <c r="EH114" s="14" t="s">
        <v>3548</v>
      </c>
      <c r="EI114" s="87" t="s">
        <v>3736</v>
      </c>
      <c r="EJ114" s="87" t="s">
        <v>3488</v>
      </c>
      <c r="EK114" s="14"/>
      <c r="EL114" s="233"/>
      <c r="EM114" s="233"/>
      <c r="EN114" s="21" t="s">
        <v>2965</v>
      </c>
      <c r="EO114" s="21"/>
      <c r="EP114" s="14"/>
      <c r="EQ114" s="14" t="s">
        <v>3691</v>
      </c>
      <c r="ER114" s="14">
        <v>4</v>
      </c>
      <c r="ES114" s="110" t="s">
        <v>3701</v>
      </c>
      <c r="ET114" s="14" t="s">
        <v>4000</v>
      </c>
      <c r="EU114" s="87" t="s">
        <v>3612</v>
      </c>
      <c r="EV114" s="87" t="s">
        <v>4209</v>
      </c>
      <c r="EW114" s="14"/>
      <c r="EX114" s="21"/>
      <c r="EY114" s="233"/>
      <c r="EZ114" s="233"/>
      <c r="FA114" s="233"/>
      <c r="FB114" s="233"/>
      <c r="FC114" s="233"/>
      <c r="FD114" s="233"/>
    </row>
    <row r="115" spans="1:160">
      <c r="A115" s="20" t="s">
        <v>3579</v>
      </c>
      <c r="B115" s="14">
        <v>2</v>
      </c>
      <c r="C115" s="14" t="s">
        <v>3546</v>
      </c>
      <c r="D115" s="14">
        <v>2</v>
      </c>
      <c r="E115" s="110" t="s">
        <v>3569</v>
      </c>
      <c r="F115" s="14" t="s">
        <v>3573</v>
      </c>
      <c r="G115" s="44" t="s">
        <v>3550</v>
      </c>
      <c r="H115" s="44" t="s">
        <v>3580</v>
      </c>
      <c r="I115" s="44">
        <v>2</v>
      </c>
      <c r="J115" s="28" t="s">
        <v>4555</v>
      </c>
      <c r="L115" s="21" t="s">
        <v>3149</v>
      </c>
      <c r="M115" s="14"/>
      <c r="N115" s="21"/>
      <c r="O115" s="14" t="s">
        <v>2964</v>
      </c>
      <c r="P115" s="14">
        <v>3</v>
      </c>
      <c r="Q115" s="110" t="s">
        <v>2786</v>
      </c>
      <c r="R115" s="14" t="s">
        <v>3618</v>
      </c>
      <c r="S115" s="44" t="s">
        <v>3736</v>
      </c>
      <c r="T115" s="107" t="s">
        <v>3150</v>
      </c>
      <c r="U115" s="14"/>
      <c r="V115" s="21"/>
      <c r="W115" s="21"/>
      <c r="X115" s="21" t="s">
        <v>3151</v>
      </c>
      <c r="Y115" s="21"/>
      <c r="Z115" s="14"/>
      <c r="AA115" s="14" t="s">
        <v>2859</v>
      </c>
      <c r="AB115" s="14">
        <v>2</v>
      </c>
      <c r="AC115" s="110" t="s">
        <v>2778</v>
      </c>
      <c r="AD115" s="14" t="s">
        <v>3618</v>
      </c>
      <c r="AE115" s="87" t="s">
        <v>3765</v>
      </c>
      <c r="AF115" s="87" t="s">
        <v>3488</v>
      </c>
      <c r="AG115" s="14"/>
      <c r="AH115" s="21"/>
      <c r="AI115" s="14"/>
      <c r="AJ115" s="21" t="s">
        <v>3152</v>
      </c>
      <c r="AK115" s="21"/>
      <c r="AL115" s="14"/>
      <c r="AM115" s="14" t="s">
        <v>2785</v>
      </c>
      <c r="AN115" s="14">
        <v>2</v>
      </c>
      <c r="AO115" s="110" t="s">
        <v>3153</v>
      </c>
      <c r="AP115" s="14" t="s">
        <v>3735</v>
      </c>
      <c r="AQ115" s="87" t="s">
        <v>3736</v>
      </c>
      <c r="AR115" s="87" t="s">
        <v>2974</v>
      </c>
      <c r="AS115" s="14"/>
      <c r="AT115" s="21"/>
      <c r="AU115" s="21"/>
      <c r="AV115" s="21" t="s">
        <v>2972</v>
      </c>
      <c r="AW115" s="21"/>
      <c r="AX115" s="14"/>
      <c r="AY115" s="14" t="s">
        <v>2973</v>
      </c>
      <c r="AZ115" s="14" t="s">
        <v>3884</v>
      </c>
      <c r="BA115" s="110" t="s">
        <v>2778</v>
      </c>
      <c r="BB115" s="14" t="s">
        <v>3716</v>
      </c>
      <c r="BC115" s="87" t="s">
        <v>3736</v>
      </c>
      <c r="BD115" s="87" t="s">
        <v>2974</v>
      </c>
      <c r="BE115" s="14"/>
      <c r="BF115" s="21"/>
      <c r="BG115" s="21"/>
      <c r="BH115" s="21" t="s">
        <v>3154</v>
      </c>
      <c r="BI115" s="21"/>
      <c r="BJ115" s="14"/>
      <c r="BK115" s="14" t="s">
        <v>3600</v>
      </c>
      <c r="BL115" s="14">
        <v>2</v>
      </c>
      <c r="BM115" s="110" t="s">
        <v>3520</v>
      </c>
      <c r="BN115" s="14" t="s">
        <v>3898</v>
      </c>
      <c r="BO115" s="87" t="s">
        <v>3057</v>
      </c>
      <c r="BP115" s="87" t="s">
        <v>3155</v>
      </c>
      <c r="BQ115" s="14"/>
      <c r="BR115" s="21"/>
      <c r="BS115" s="233"/>
      <c r="BT115" s="21" t="s">
        <v>3156</v>
      </c>
      <c r="BU115" s="21"/>
      <c r="BV115" s="14"/>
      <c r="BW115" s="14" t="s">
        <v>3600</v>
      </c>
      <c r="BX115" s="14">
        <v>2</v>
      </c>
      <c r="BY115" s="14" t="s">
        <v>2957</v>
      </c>
      <c r="BZ115" s="14" t="s">
        <v>3898</v>
      </c>
      <c r="CA115" s="87" t="s">
        <v>3651</v>
      </c>
      <c r="CB115" s="87" t="s">
        <v>3728</v>
      </c>
      <c r="CC115" s="233"/>
      <c r="CD115" s="233"/>
      <c r="CE115" s="233"/>
      <c r="CF115" s="21" t="s">
        <v>3154</v>
      </c>
      <c r="CG115" s="21"/>
      <c r="CH115" s="14"/>
      <c r="CI115" s="14" t="s">
        <v>3600</v>
      </c>
      <c r="CJ115" s="14">
        <v>2</v>
      </c>
      <c r="CK115" s="110" t="s">
        <v>3520</v>
      </c>
      <c r="CL115" s="14" t="s">
        <v>3898</v>
      </c>
      <c r="CM115" s="87" t="s">
        <v>3057</v>
      </c>
      <c r="CN115" s="87" t="s">
        <v>3155</v>
      </c>
      <c r="CO115" s="233"/>
      <c r="CP115" s="233"/>
      <c r="CQ115" s="233"/>
      <c r="CR115" s="21" t="s">
        <v>3151</v>
      </c>
      <c r="CS115" s="21"/>
      <c r="CT115" s="14"/>
      <c r="CU115" s="14" t="s">
        <v>2859</v>
      </c>
      <c r="CV115" s="14">
        <v>2</v>
      </c>
      <c r="CW115" s="110" t="s">
        <v>2778</v>
      </c>
      <c r="CX115" s="14" t="s">
        <v>3618</v>
      </c>
      <c r="CY115" s="87" t="s">
        <v>3765</v>
      </c>
      <c r="CZ115" s="87" t="s">
        <v>3488</v>
      </c>
      <c r="DA115" s="14"/>
      <c r="DB115" s="21"/>
      <c r="DC115" s="233"/>
      <c r="DD115" s="21" t="s">
        <v>3151</v>
      </c>
      <c r="DE115" s="21"/>
      <c r="DF115" s="14"/>
      <c r="DG115" s="14" t="s">
        <v>2859</v>
      </c>
      <c r="DH115" s="14">
        <v>2</v>
      </c>
      <c r="DI115" s="110" t="s">
        <v>2778</v>
      </c>
      <c r="DJ115" s="14" t="s">
        <v>3618</v>
      </c>
      <c r="DK115" s="87" t="s">
        <v>3765</v>
      </c>
      <c r="DL115" s="87" t="s">
        <v>3488</v>
      </c>
      <c r="DM115" s="14"/>
      <c r="DN115" s="21"/>
      <c r="DO115" s="233"/>
      <c r="DP115" s="21"/>
      <c r="DQ115" s="21"/>
      <c r="DR115" s="14"/>
      <c r="DS115" s="14"/>
      <c r="DT115" s="14"/>
      <c r="DU115" s="110"/>
      <c r="DV115" s="14"/>
      <c r="DW115" s="87"/>
      <c r="DX115" s="87"/>
      <c r="DY115" s="14"/>
      <c r="DZ115" s="233"/>
      <c r="EA115" s="233"/>
      <c r="EB115" s="21" t="s">
        <v>3152</v>
      </c>
      <c r="EC115" s="21"/>
      <c r="ED115" s="14"/>
      <c r="EE115" s="14" t="s">
        <v>2785</v>
      </c>
      <c r="EF115" s="14">
        <v>2</v>
      </c>
      <c r="EG115" s="110" t="s">
        <v>3153</v>
      </c>
      <c r="EH115" s="14" t="s">
        <v>3735</v>
      </c>
      <c r="EI115" s="87" t="s">
        <v>3736</v>
      </c>
      <c r="EJ115" s="87" t="s">
        <v>2974</v>
      </c>
      <c r="EK115" s="14"/>
      <c r="EL115" s="233"/>
      <c r="EM115" s="233"/>
      <c r="EN115" s="21" t="s">
        <v>3151</v>
      </c>
      <c r="EO115" s="21"/>
      <c r="EP115" s="14"/>
      <c r="EQ115" s="14" t="s">
        <v>2859</v>
      </c>
      <c r="ER115" s="14">
        <v>2</v>
      </c>
      <c r="ES115" s="110" t="s">
        <v>2778</v>
      </c>
      <c r="ET115" s="14" t="s">
        <v>3618</v>
      </c>
      <c r="EU115" s="87" t="s">
        <v>3765</v>
      </c>
      <c r="EV115" s="87" t="s">
        <v>3488</v>
      </c>
      <c r="EW115" s="14"/>
      <c r="EX115" s="21"/>
      <c r="EY115" s="233"/>
      <c r="EZ115" s="233"/>
      <c r="FA115" s="233"/>
      <c r="FB115" s="233"/>
      <c r="FC115" s="233"/>
      <c r="FD115" s="233"/>
    </row>
    <row r="116" spans="1:160">
      <c r="A116" s="20" t="s">
        <v>3787</v>
      </c>
      <c r="B116" s="14">
        <v>2</v>
      </c>
      <c r="C116" s="14" t="s">
        <v>3551</v>
      </c>
      <c r="D116" s="14">
        <v>1</v>
      </c>
      <c r="E116" s="110" t="s">
        <v>3999</v>
      </c>
      <c r="F116" s="14" t="s">
        <v>3931</v>
      </c>
      <c r="G116" s="44" t="s">
        <v>3743</v>
      </c>
      <c r="H116" s="44" t="s">
        <v>3728</v>
      </c>
      <c r="I116" s="44">
        <v>4</v>
      </c>
      <c r="J116" s="28" t="s">
        <v>4555</v>
      </c>
      <c r="L116" s="21" t="s">
        <v>3768</v>
      </c>
      <c r="M116" s="14"/>
      <c r="N116" s="21"/>
      <c r="O116" s="14" t="s">
        <v>2790</v>
      </c>
      <c r="P116" s="14">
        <v>2</v>
      </c>
      <c r="Q116" s="110" t="s">
        <v>3124</v>
      </c>
      <c r="R116" s="14" t="s">
        <v>4000</v>
      </c>
      <c r="S116" s="44" t="s">
        <v>3490</v>
      </c>
      <c r="T116" s="44" t="s">
        <v>2975</v>
      </c>
      <c r="U116" s="14"/>
      <c r="V116" s="21"/>
      <c r="W116" s="21"/>
      <c r="X116" s="101" t="s">
        <v>393</v>
      </c>
      <c r="Y116" s="167"/>
      <c r="Z116" s="233"/>
      <c r="AA116" s="167" t="s">
        <v>5892</v>
      </c>
      <c r="AB116" s="167">
        <v>1</v>
      </c>
      <c r="AC116" s="288" t="s">
        <v>3667</v>
      </c>
      <c r="AD116" s="167" t="s">
        <v>3898</v>
      </c>
      <c r="AE116" s="111" t="s">
        <v>3753</v>
      </c>
      <c r="AF116" s="111" t="s">
        <v>410</v>
      </c>
      <c r="AG116" s="14"/>
      <c r="AH116" s="21"/>
      <c r="AI116" s="14"/>
      <c r="AJ116" s="21" t="s">
        <v>3159</v>
      </c>
      <c r="AK116" s="21"/>
      <c r="AL116" s="14"/>
      <c r="AM116" s="14" t="s">
        <v>3598</v>
      </c>
      <c r="AN116" s="14">
        <v>3</v>
      </c>
      <c r="AO116" s="14" t="s">
        <v>2957</v>
      </c>
      <c r="AP116" s="14" t="s">
        <v>3140</v>
      </c>
      <c r="AQ116" s="87" t="s">
        <v>3612</v>
      </c>
      <c r="AR116" s="87" t="s">
        <v>3728</v>
      </c>
      <c r="AS116" s="14"/>
      <c r="AT116" s="21"/>
      <c r="AU116" s="21"/>
      <c r="AV116" s="21" t="s">
        <v>2963</v>
      </c>
      <c r="AW116" s="21"/>
      <c r="AX116" s="14"/>
      <c r="AY116" s="14" t="s">
        <v>2964</v>
      </c>
      <c r="AZ116" s="14">
        <v>1</v>
      </c>
      <c r="BA116" s="110" t="s">
        <v>3305</v>
      </c>
      <c r="BB116" s="14" t="s">
        <v>3914</v>
      </c>
      <c r="BC116" s="87" t="s">
        <v>3395</v>
      </c>
      <c r="BD116" s="87" t="s">
        <v>3746</v>
      </c>
      <c r="BE116" s="14"/>
      <c r="BF116" s="21"/>
      <c r="BG116" s="21"/>
      <c r="BH116" s="21" t="s">
        <v>2955</v>
      </c>
      <c r="BI116" s="21"/>
      <c r="BJ116" s="14"/>
      <c r="BK116" s="14" t="s">
        <v>2790</v>
      </c>
      <c r="BL116" s="14">
        <v>1</v>
      </c>
      <c r="BM116" s="110" t="s">
        <v>3667</v>
      </c>
      <c r="BN116" s="14" t="s">
        <v>3898</v>
      </c>
      <c r="BO116" s="87" t="s">
        <v>3753</v>
      </c>
      <c r="BP116" s="87" t="s">
        <v>3859</v>
      </c>
      <c r="BQ116" s="14"/>
      <c r="BR116" s="21"/>
      <c r="BS116" s="233"/>
      <c r="BT116" s="21"/>
      <c r="BU116" s="21"/>
      <c r="BV116" s="14"/>
      <c r="BW116" s="14"/>
      <c r="BX116" s="14"/>
      <c r="BY116" s="14"/>
      <c r="BZ116" s="14"/>
      <c r="CA116" s="14"/>
      <c r="CB116" s="87"/>
      <c r="CC116" s="233"/>
      <c r="CD116" s="233"/>
      <c r="CE116" s="233"/>
      <c r="CF116" s="21" t="s">
        <v>2955</v>
      </c>
      <c r="CG116" s="21"/>
      <c r="CH116" s="14"/>
      <c r="CI116" s="14" t="s">
        <v>2790</v>
      </c>
      <c r="CJ116" s="14">
        <v>1</v>
      </c>
      <c r="CK116" s="110" t="s">
        <v>3667</v>
      </c>
      <c r="CL116" s="14" t="s">
        <v>3898</v>
      </c>
      <c r="CM116" s="87" t="s">
        <v>3753</v>
      </c>
      <c r="CN116" s="87" t="s">
        <v>3859</v>
      </c>
      <c r="CO116" s="233"/>
      <c r="CP116" s="233"/>
      <c r="CQ116" s="233"/>
      <c r="CR116" s="101" t="s">
        <v>393</v>
      </c>
      <c r="CS116" s="167"/>
      <c r="CT116" s="233"/>
      <c r="CU116" s="167" t="s">
        <v>5892</v>
      </c>
      <c r="CV116" s="167">
        <v>1</v>
      </c>
      <c r="CW116" s="288" t="s">
        <v>3667</v>
      </c>
      <c r="CX116" s="167" t="s">
        <v>3898</v>
      </c>
      <c r="CY116" s="111" t="s">
        <v>3753</v>
      </c>
      <c r="CZ116" s="111" t="s">
        <v>410</v>
      </c>
      <c r="DA116" s="14"/>
      <c r="DB116" s="21"/>
      <c r="DC116" s="233"/>
      <c r="DD116" s="101" t="s">
        <v>393</v>
      </c>
      <c r="DE116" s="167"/>
      <c r="DF116" s="233"/>
      <c r="DG116" s="167" t="s">
        <v>5892</v>
      </c>
      <c r="DH116" s="167">
        <v>1</v>
      </c>
      <c r="DI116" s="288" t="s">
        <v>3667</v>
      </c>
      <c r="DJ116" s="167" t="s">
        <v>3898</v>
      </c>
      <c r="DK116" s="111" t="s">
        <v>3753</v>
      </c>
      <c r="DL116" s="111" t="s">
        <v>410</v>
      </c>
      <c r="DM116" s="14"/>
      <c r="DN116" s="21"/>
      <c r="DO116" s="233"/>
      <c r="DP116" s="21"/>
      <c r="DQ116" s="21"/>
      <c r="DR116" s="14"/>
      <c r="DS116" s="14"/>
      <c r="DT116" s="14"/>
      <c r="DU116" s="14"/>
      <c r="DV116" s="14"/>
      <c r="DW116" s="87"/>
      <c r="DX116" s="87"/>
      <c r="DY116" s="14"/>
      <c r="DZ116" s="233"/>
      <c r="EA116" s="233"/>
      <c r="EB116" s="21" t="s">
        <v>3159</v>
      </c>
      <c r="EC116" s="21"/>
      <c r="ED116" s="14"/>
      <c r="EE116" s="14" t="s">
        <v>3598</v>
      </c>
      <c r="EF116" s="14">
        <v>3</v>
      </c>
      <c r="EG116" s="14" t="s">
        <v>2957</v>
      </c>
      <c r="EH116" s="14" t="s">
        <v>3140</v>
      </c>
      <c r="EI116" s="87" t="s">
        <v>3612</v>
      </c>
      <c r="EJ116" s="87" t="s">
        <v>3728</v>
      </c>
      <c r="EK116" s="14"/>
      <c r="EL116" s="233"/>
      <c r="EM116" s="233"/>
      <c r="EN116" s="101" t="s">
        <v>393</v>
      </c>
      <c r="EO116" s="167"/>
      <c r="EP116" s="233"/>
      <c r="EQ116" s="167" t="s">
        <v>5892</v>
      </c>
      <c r="ER116" s="167">
        <v>1</v>
      </c>
      <c r="ES116" s="288" t="s">
        <v>3667</v>
      </c>
      <c r="ET116" s="167" t="s">
        <v>3898</v>
      </c>
      <c r="EU116" s="111" t="s">
        <v>3753</v>
      </c>
      <c r="EV116" s="111" t="s">
        <v>410</v>
      </c>
      <c r="EW116" s="14"/>
      <c r="EX116" s="21"/>
      <c r="EY116" s="233"/>
      <c r="EZ116" s="233"/>
      <c r="FA116" s="233"/>
      <c r="FB116" s="233"/>
      <c r="FC116" s="233"/>
      <c r="FD116" s="233"/>
    </row>
    <row r="117" spans="1:160">
      <c r="A117" s="20" t="s">
        <v>3483</v>
      </c>
      <c r="B117" s="14">
        <v>2</v>
      </c>
      <c r="C117" s="14" t="s">
        <v>3484</v>
      </c>
      <c r="D117" s="14">
        <v>1</v>
      </c>
      <c r="E117" s="110" t="s">
        <v>3569</v>
      </c>
      <c r="F117" s="14" t="s">
        <v>3485</v>
      </c>
      <c r="G117" s="44" t="s">
        <v>3843</v>
      </c>
      <c r="H117" s="44" t="s">
        <v>3656</v>
      </c>
      <c r="I117" s="44">
        <v>2</v>
      </c>
      <c r="J117" s="196" t="s">
        <v>4369</v>
      </c>
      <c r="L117" s="21" t="s">
        <v>3151</v>
      </c>
      <c r="M117" s="14"/>
      <c r="N117" s="21"/>
      <c r="O117" s="14" t="s">
        <v>2859</v>
      </c>
      <c r="P117" s="14">
        <v>2</v>
      </c>
      <c r="Q117" s="110" t="s">
        <v>2778</v>
      </c>
      <c r="R117" s="14" t="s">
        <v>3618</v>
      </c>
      <c r="S117" s="44" t="s">
        <v>3765</v>
      </c>
      <c r="T117" s="44" t="s">
        <v>3488</v>
      </c>
      <c r="U117" s="14"/>
      <c r="V117" s="21"/>
      <c r="W117" s="21"/>
      <c r="X117" s="21" t="s">
        <v>3157</v>
      </c>
      <c r="Y117" s="21"/>
      <c r="Z117" s="14"/>
      <c r="AA117" s="14" t="s">
        <v>3158</v>
      </c>
      <c r="AB117" s="14">
        <v>1</v>
      </c>
      <c r="AC117" s="110" t="s">
        <v>3221</v>
      </c>
      <c r="AD117" s="14" t="s">
        <v>4000</v>
      </c>
      <c r="AE117" s="87" t="s">
        <v>3736</v>
      </c>
      <c r="AF117" s="87" t="s">
        <v>3047</v>
      </c>
      <c r="AG117" s="14"/>
      <c r="AH117" s="21"/>
      <c r="AI117" s="21"/>
      <c r="AJ117" s="21" t="s">
        <v>3340</v>
      </c>
      <c r="AK117" s="21"/>
      <c r="AL117" s="21"/>
      <c r="AM117" s="14" t="s">
        <v>3237</v>
      </c>
      <c r="AN117" s="14">
        <v>3</v>
      </c>
      <c r="AO117" s="110" t="s">
        <v>3341</v>
      </c>
      <c r="AP117" s="14" t="s">
        <v>3851</v>
      </c>
      <c r="AQ117" s="111" t="s">
        <v>3937</v>
      </c>
      <c r="AR117" s="111" t="s">
        <v>3511</v>
      </c>
      <c r="AS117" s="14"/>
      <c r="AT117" s="21"/>
      <c r="AU117" s="21"/>
      <c r="AV117" s="21" t="s">
        <v>3149</v>
      </c>
      <c r="AW117" s="21"/>
      <c r="AX117" s="14"/>
      <c r="AY117" s="14" t="s">
        <v>2964</v>
      </c>
      <c r="AZ117" s="14">
        <v>3</v>
      </c>
      <c r="BA117" s="14" t="s">
        <v>2786</v>
      </c>
      <c r="BB117" s="14" t="s">
        <v>3618</v>
      </c>
      <c r="BC117" s="87" t="s">
        <v>3736</v>
      </c>
      <c r="BD117" s="87" t="s">
        <v>3150</v>
      </c>
      <c r="BE117" s="14"/>
      <c r="BF117" s="21"/>
      <c r="BG117" s="21"/>
      <c r="BH117" s="21" t="s">
        <v>3513</v>
      </c>
      <c r="BI117" s="21"/>
      <c r="BJ117" s="14"/>
      <c r="BK117" s="14" t="s">
        <v>3600</v>
      </c>
      <c r="BL117" s="14">
        <v>3</v>
      </c>
      <c r="BM117" s="14" t="s">
        <v>2957</v>
      </c>
      <c r="BN117" s="14" t="s">
        <v>3548</v>
      </c>
      <c r="BO117" s="87" t="s">
        <v>3651</v>
      </c>
      <c r="BP117" s="87" t="s">
        <v>3514</v>
      </c>
      <c r="BQ117" s="14"/>
      <c r="BR117" s="21"/>
      <c r="BS117" s="233"/>
      <c r="BT117" s="21"/>
      <c r="BU117" s="21"/>
      <c r="BV117" s="14"/>
      <c r="BW117" s="14"/>
      <c r="BX117" s="14"/>
      <c r="BY117" s="110"/>
      <c r="BZ117" s="14"/>
      <c r="CA117" s="14"/>
      <c r="CB117" s="87"/>
      <c r="CC117" s="233"/>
      <c r="CD117" s="233"/>
      <c r="CE117" s="233"/>
      <c r="CF117" s="21" t="s">
        <v>3513</v>
      </c>
      <c r="CG117" s="21"/>
      <c r="CH117" s="14"/>
      <c r="CI117" s="14" t="s">
        <v>3600</v>
      </c>
      <c r="CJ117" s="14">
        <v>3</v>
      </c>
      <c r="CK117" s="14" t="s">
        <v>2957</v>
      </c>
      <c r="CL117" s="14" t="s">
        <v>3548</v>
      </c>
      <c r="CM117" s="87" t="s">
        <v>3651</v>
      </c>
      <c r="CN117" s="87" t="s">
        <v>3514</v>
      </c>
      <c r="CO117" s="233"/>
      <c r="CP117" s="233"/>
      <c r="CQ117" s="233"/>
      <c r="CR117" s="21" t="s">
        <v>3157</v>
      </c>
      <c r="CS117" s="21"/>
      <c r="CT117" s="14"/>
      <c r="CU117" s="14" t="s">
        <v>3158</v>
      </c>
      <c r="CV117" s="14">
        <v>1</v>
      </c>
      <c r="CW117" s="110" t="s">
        <v>3221</v>
      </c>
      <c r="CX117" s="14" t="s">
        <v>4000</v>
      </c>
      <c r="CY117" s="87" t="s">
        <v>3736</v>
      </c>
      <c r="CZ117" s="87" t="s">
        <v>3047</v>
      </c>
      <c r="DA117" s="14"/>
      <c r="DB117" s="21"/>
      <c r="DC117" s="233"/>
      <c r="DD117" s="21" t="s">
        <v>3157</v>
      </c>
      <c r="DE117" s="21"/>
      <c r="DF117" s="14"/>
      <c r="DG117" s="14" t="s">
        <v>3158</v>
      </c>
      <c r="DH117" s="14">
        <v>1</v>
      </c>
      <c r="DI117" s="110" t="s">
        <v>3221</v>
      </c>
      <c r="DJ117" s="14" t="s">
        <v>4000</v>
      </c>
      <c r="DK117" s="87" t="s">
        <v>3736</v>
      </c>
      <c r="DL117" s="87" t="s">
        <v>3047</v>
      </c>
      <c r="DM117" s="14"/>
      <c r="DN117" s="21"/>
      <c r="DO117" s="233"/>
      <c r="DP117" s="21"/>
      <c r="DQ117" s="21"/>
      <c r="DR117" s="21"/>
      <c r="DS117" s="14"/>
      <c r="DT117" s="14"/>
      <c r="DU117" s="110"/>
      <c r="DV117" s="14"/>
      <c r="DW117" s="111"/>
      <c r="DX117" s="111"/>
      <c r="DY117" s="14"/>
      <c r="DZ117" s="233"/>
      <c r="EA117" s="233"/>
      <c r="EB117" s="21" t="s">
        <v>3340</v>
      </c>
      <c r="EC117" s="21"/>
      <c r="ED117" s="21"/>
      <c r="EE117" s="14" t="s">
        <v>3237</v>
      </c>
      <c r="EF117" s="14">
        <v>3</v>
      </c>
      <c r="EG117" s="110" t="s">
        <v>3341</v>
      </c>
      <c r="EH117" s="14" t="s">
        <v>3851</v>
      </c>
      <c r="EI117" s="111" t="s">
        <v>3937</v>
      </c>
      <c r="EJ117" s="111" t="s">
        <v>3511</v>
      </c>
      <c r="EK117" s="14"/>
      <c r="EL117" s="233"/>
      <c r="EM117" s="233"/>
      <c r="EN117" s="21" t="s">
        <v>3157</v>
      </c>
      <c r="EO117" s="21"/>
      <c r="EP117" s="14"/>
      <c r="EQ117" s="14" t="s">
        <v>3158</v>
      </c>
      <c r="ER117" s="14">
        <v>1</v>
      </c>
      <c r="ES117" s="110" t="s">
        <v>3221</v>
      </c>
      <c r="ET117" s="14" t="s">
        <v>4000</v>
      </c>
      <c r="EU117" s="87" t="s">
        <v>3736</v>
      </c>
      <c r="EV117" s="87" t="s">
        <v>3047</v>
      </c>
      <c r="EW117" s="14"/>
      <c r="EX117" s="21"/>
      <c r="EY117" s="233"/>
      <c r="EZ117" s="233"/>
      <c r="FA117" s="233"/>
      <c r="FB117" s="233"/>
      <c r="FC117" s="233"/>
      <c r="FD117" s="233"/>
    </row>
    <row r="118" spans="1:160">
      <c r="A118" s="20" t="s">
        <v>3627</v>
      </c>
      <c r="B118" s="14">
        <v>2</v>
      </c>
      <c r="C118" s="14" t="s">
        <v>3785</v>
      </c>
      <c r="D118" s="14">
        <v>1</v>
      </c>
      <c r="E118" s="110" t="s">
        <v>3807</v>
      </c>
      <c r="F118" s="14" t="s">
        <v>3548</v>
      </c>
      <c r="G118" s="44" t="s">
        <v>3759</v>
      </c>
      <c r="H118" s="44" t="s">
        <v>3728</v>
      </c>
      <c r="I118" s="44" t="s">
        <v>3916</v>
      </c>
      <c r="J118" s="28" t="s">
        <v>4037</v>
      </c>
      <c r="L118" s="21" t="s">
        <v>3515</v>
      </c>
      <c r="M118" s="14"/>
      <c r="N118" s="21"/>
      <c r="O118" s="14" t="s">
        <v>2790</v>
      </c>
      <c r="P118" s="14">
        <v>2</v>
      </c>
      <c r="Q118" s="110" t="s">
        <v>3305</v>
      </c>
      <c r="R118" s="14" t="s">
        <v>4000</v>
      </c>
      <c r="S118" s="44" t="s">
        <v>3736</v>
      </c>
      <c r="T118" s="44" t="s">
        <v>3351</v>
      </c>
      <c r="U118" s="14"/>
      <c r="V118" s="21"/>
      <c r="W118" s="21"/>
      <c r="X118" s="21" t="s">
        <v>3342</v>
      </c>
      <c r="Y118" s="21"/>
      <c r="Z118" s="14"/>
      <c r="AA118" s="14" t="s">
        <v>2990</v>
      </c>
      <c r="AB118" s="14" t="s">
        <v>3884</v>
      </c>
      <c r="AC118" s="110" t="s">
        <v>2957</v>
      </c>
      <c r="AD118" s="14" t="s">
        <v>2959</v>
      </c>
      <c r="AE118" s="87" t="s">
        <v>3736</v>
      </c>
      <c r="AF118" s="87" t="s">
        <v>3047</v>
      </c>
      <c r="AG118" s="14"/>
      <c r="AH118" s="21"/>
      <c r="AI118" s="21"/>
      <c r="AJ118" s="21" t="s">
        <v>3354</v>
      </c>
      <c r="AK118" s="21"/>
      <c r="AL118" s="14"/>
      <c r="AM118" s="14" t="s">
        <v>2785</v>
      </c>
      <c r="AN118" s="14">
        <v>2</v>
      </c>
      <c r="AO118" s="110" t="s">
        <v>3026</v>
      </c>
      <c r="AP118" s="14" t="s">
        <v>4000</v>
      </c>
      <c r="AQ118" s="87" t="s">
        <v>3378</v>
      </c>
      <c r="AR118" s="87" t="s">
        <v>3859</v>
      </c>
      <c r="AS118" s="14"/>
      <c r="AT118" s="21"/>
      <c r="AU118" s="21"/>
      <c r="AV118" s="21" t="s">
        <v>3512</v>
      </c>
      <c r="AW118" s="21"/>
      <c r="AX118" s="21"/>
      <c r="AY118" s="14" t="s">
        <v>3446</v>
      </c>
      <c r="AZ118" s="14">
        <v>1</v>
      </c>
      <c r="BA118" s="110" t="s">
        <v>3328</v>
      </c>
      <c r="BB118" s="14" t="s">
        <v>3936</v>
      </c>
      <c r="BC118" s="168" t="s">
        <v>3407</v>
      </c>
      <c r="BD118" s="111" t="s">
        <v>3915</v>
      </c>
      <c r="BE118" s="14"/>
      <c r="BF118" s="21"/>
      <c r="BG118" s="21"/>
      <c r="BH118" s="21" t="s">
        <v>3355</v>
      </c>
      <c r="BI118" s="21"/>
      <c r="BJ118" s="14"/>
      <c r="BK118" s="14" t="s">
        <v>2865</v>
      </c>
      <c r="BL118" s="14" t="s">
        <v>3884</v>
      </c>
      <c r="BM118" s="110" t="s">
        <v>3356</v>
      </c>
      <c r="BN118" s="14" t="s">
        <v>3979</v>
      </c>
      <c r="BO118" s="87" t="s">
        <v>3736</v>
      </c>
      <c r="BP118" s="87" t="s">
        <v>4212</v>
      </c>
      <c r="BQ118" s="14"/>
      <c r="BR118" s="21"/>
      <c r="BS118" s="233"/>
      <c r="BT118" s="21"/>
      <c r="BU118" s="21"/>
      <c r="BV118" s="14"/>
      <c r="BW118" s="14"/>
      <c r="BX118" s="14"/>
      <c r="BY118" s="14"/>
      <c r="BZ118" s="14"/>
      <c r="CA118" s="14"/>
      <c r="CB118" s="87"/>
      <c r="CC118" s="233"/>
      <c r="CD118" s="233"/>
      <c r="CE118" s="233"/>
      <c r="CF118" s="21" t="s">
        <v>3355</v>
      </c>
      <c r="CG118" s="21"/>
      <c r="CH118" s="14"/>
      <c r="CI118" s="14" t="s">
        <v>2865</v>
      </c>
      <c r="CJ118" s="14" t="s">
        <v>3884</v>
      </c>
      <c r="CK118" s="110" t="s">
        <v>3356</v>
      </c>
      <c r="CL118" s="14" t="s">
        <v>3979</v>
      </c>
      <c r="CM118" s="87" t="s">
        <v>3736</v>
      </c>
      <c r="CN118" s="87" t="s">
        <v>4212</v>
      </c>
      <c r="CO118" s="233"/>
      <c r="CP118" s="233"/>
      <c r="CQ118" s="233"/>
      <c r="CR118" s="21" t="s">
        <v>3342</v>
      </c>
      <c r="CS118" s="21"/>
      <c r="CT118" s="14"/>
      <c r="CU118" s="14" t="s">
        <v>2990</v>
      </c>
      <c r="CV118" s="14" t="s">
        <v>3884</v>
      </c>
      <c r="CW118" s="110" t="s">
        <v>2957</v>
      </c>
      <c r="CX118" s="14" t="s">
        <v>2959</v>
      </c>
      <c r="CY118" s="87" t="s">
        <v>3736</v>
      </c>
      <c r="CZ118" s="87" t="s">
        <v>3047</v>
      </c>
      <c r="DA118" s="14"/>
      <c r="DB118" s="21"/>
      <c r="DC118" s="233"/>
      <c r="DD118" s="21" t="s">
        <v>3342</v>
      </c>
      <c r="DE118" s="21"/>
      <c r="DF118" s="14"/>
      <c r="DG118" s="14" t="s">
        <v>2990</v>
      </c>
      <c r="DH118" s="14" t="s">
        <v>3884</v>
      </c>
      <c r="DI118" s="110" t="s">
        <v>2957</v>
      </c>
      <c r="DJ118" s="14" t="s">
        <v>2959</v>
      </c>
      <c r="DK118" s="87" t="s">
        <v>3736</v>
      </c>
      <c r="DL118" s="87" t="s">
        <v>3047</v>
      </c>
      <c r="DM118" s="14"/>
      <c r="DN118" s="21"/>
      <c r="DO118" s="233"/>
      <c r="DP118" s="21"/>
      <c r="DQ118" s="21"/>
      <c r="DR118" s="14"/>
      <c r="DS118" s="14"/>
      <c r="DT118" s="14"/>
      <c r="DU118" s="110"/>
      <c r="DV118" s="14"/>
      <c r="DW118" s="87"/>
      <c r="DX118" s="87"/>
      <c r="DY118" s="14"/>
      <c r="DZ118" s="233"/>
      <c r="EA118" s="233"/>
      <c r="EB118" s="21" t="s">
        <v>3354</v>
      </c>
      <c r="EC118" s="21"/>
      <c r="ED118" s="14"/>
      <c r="EE118" s="14" t="s">
        <v>2785</v>
      </c>
      <c r="EF118" s="14">
        <v>2</v>
      </c>
      <c r="EG118" s="110" t="s">
        <v>3026</v>
      </c>
      <c r="EH118" s="14" t="s">
        <v>4000</v>
      </c>
      <c r="EI118" s="87" t="s">
        <v>3378</v>
      </c>
      <c r="EJ118" s="87" t="s">
        <v>3859</v>
      </c>
      <c r="EK118" s="14"/>
      <c r="EL118" s="233"/>
      <c r="EM118" s="233"/>
      <c r="EN118" s="21" t="s">
        <v>3342</v>
      </c>
      <c r="EO118" s="21"/>
      <c r="EP118" s="14"/>
      <c r="EQ118" s="14" t="s">
        <v>2990</v>
      </c>
      <c r="ER118" s="14" t="s">
        <v>3884</v>
      </c>
      <c r="ES118" s="110" t="s">
        <v>2957</v>
      </c>
      <c r="ET118" s="14" t="s">
        <v>2959</v>
      </c>
      <c r="EU118" s="87" t="s">
        <v>3736</v>
      </c>
      <c r="EV118" s="87" t="s">
        <v>3047</v>
      </c>
      <c r="EW118" s="14"/>
      <c r="EX118" s="21"/>
      <c r="EY118" s="233"/>
      <c r="EZ118" s="233"/>
      <c r="FA118" s="233"/>
      <c r="FB118" s="233"/>
      <c r="FC118" s="233"/>
      <c r="FD118" s="233"/>
    </row>
    <row r="119" spans="1:160">
      <c r="A119" s="20" t="s">
        <v>3661</v>
      </c>
      <c r="B119" s="14">
        <v>2</v>
      </c>
      <c r="C119" s="14" t="s">
        <v>3940</v>
      </c>
      <c r="D119" s="14">
        <v>1</v>
      </c>
      <c r="E119" s="110" t="s">
        <v>3569</v>
      </c>
      <c r="F119" s="14" t="s">
        <v>3898</v>
      </c>
      <c r="G119" s="44" t="s">
        <v>3550</v>
      </c>
      <c r="H119" s="107" t="s">
        <v>3318</v>
      </c>
      <c r="I119" s="44" t="s">
        <v>3900</v>
      </c>
      <c r="J119" s="28" t="s">
        <v>5232</v>
      </c>
      <c r="L119" s="21" t="s">
        <v>5371</v>
      </c>
      <c r="M119" s="14"/>
      <c r="N119" s="21"/>
      <c r="O119" s="14" t="s">
        <v>2964</v>
      </c>
      <c r="P119" s="14">
        <v>3</v>
      </c>
      <c r="Q119" s="110" t="s">
        <v>2786</v>
      </c>
      <c r="R119" s="14" t="s">
        <v>3898</v>
      </c>
      <c r="S119" s="44" t="s">
        <v>3736</v>
      </c>
      <c r="T119" s="44" t="s">
        <v>3351</v>
      </c>
      <c r="U119" s="21"/>
      <c r="V119" s="21"/>
      <c r="W119" s="21"/>
      <c r="X119" s="21" t="s">
        <v>3352</v>
      </c>
      <c r="Y119" s="21"/>
      <c r="Z119" s="14"/>
      <c r="AA119" s="14" t="s">
        <v>2859</v>
      </c>
      <c r="AB119" s="14">
        <v>2</v>
      </c>
      <c r="AC119" s="14" t="s">
        <v>3353</v>
      </c>
      <c r="AD119" s="14" t="s">
        <v>3979</v>
      </c>
      <c r="AE119" s="87" t="s">
        <v>3843</v>
      </c>
      <c r="AF119" s="87" t="s">
        <v>3915</v>
      </c>
      <c r="AG119" s="21"/>
      <c r="AH119" s="21"/>
      <c r="AI119" s="21"/>
      <c r="AJ119" s="21" t="s">
        <v>3359</v>
      </c>
      <c r="AK119" s="21"/>
      <c r="AL119" s="14"/>
      <c r="AM119" s="14" t="s">
        <v>3180</v>
      </c>
      <c r="AN119" s="14">
        <v>3</v>
      </c>
      <c r="AO119" s="14" t="s">
        <v>2778</v>
      </c>
      <c r="AP119" s="14" t="s">
        <v>3854</v>
      </c>
      <c r="AQ119" s="87" t="s">
        <v>3759</v>
      </c>
      <c r="AR119" s="87" t="s">
        <v>3728</v>
      </c>
      <c r="AS119" s="21"/>
      <c r="AT119" s="21"/>
      <c r="AU119" s="21"/>
      <c r="AV119" s="21" t="s">
        <v>5371</v>
      </c>
      <c r="AW119" s="21"/>
      <c r="AX119" s="14"/>
      <c r="AY119" s="14" t="s">
        <v>2964</v>
      </c>
      <c r="AZ119" s="14">
        <v>3</v>
      </c>
      <c r="BA119" s="110" t="s">
        <v>2786</v>
      </c>
      <c r="BB119" s="14" t="s">
        <v>3898</v>
      </c>
      <c r="BC119" s="87" t="s">
        <v>3736</v>
      </c>
      <c r="BD119" s="87" t="s">
        <v>3351</v>
      </c>
      <c r="BE119" s="14"/>
      <c r="BF119" s="21"/>
      <c r="BG119" s="21"/>
      <c r="BH119" s="21" t="s">
        <v>3515</v>
      </c>
      <c r="BI119" s="21"/>
      <c r="BJ119" s="14"/>
      <c r="BK119" s="14" t="s">
        <v>2790</v>
      </c>
      <c r="BL119" s="14">
        <v>2</v>
      </c>
      <c r="BM119" s="14" t="s">
        <v>3305</v>
      </c>
      <c r="BN119" s="14" t="s">
        <v>4000</v>
      </c>
      <c r="BO119" s="87" t="s">
        <v>3736</v>
      </c>
      <c r="BP119" s="87" t="s">
        <v>3351</v>
      </c>
      <c r="BQ119" s="14"/>
      <c r="BR119" s="21"/>
      <c r="BS119" s="233"/>
      <c r="BT119" s="21"/>
      <c r="BU119" s="21"/>
      <c r="BV119" s="14"/>
      <c r="BW119" s="14"/>
      <c r="BX119" s="14"/>
      <c r="BY119" s="14"/>
      <c r="BZ119" s="14"/>
      <c r="CA119" s="14"/>
      <c r="CB119" s="87"/>
      <c r="CC119" s="233"/>
      <c r="CD119" s="233"/>
      <c r="CE119" s="233"/>
      <c r="CF119" s="21" t="s">
        <v>3515</v>
      </c>
      <c r="CG119" s="21"/>
      <c r="CH119" s="14"/>
      <c r="CI119" s="14" t="s">
        <v>2790</v>
      </c>
      <c r="CJ119" s="14">
        <v>2</v>
      </c>
      <c r="CK119" s="14" t="s">
        <v>3305</v>
      </c>
      <c r="CL119" s="14" t="s">
        <v>4000</v>
      </c>
      <c r="CM119" s="87" t="s">
        <v>3736</v>
      </c>
      <c r="CN119" s="87" t="s">
        <v>3351</v>
      </c>
      <c r="CO119" s="233"/>
      <c r="CP119" s="233"/>
      <c r="CQ119" s="233"/>
      <c r="CR119" s="21" t="s">
        <v>3352</v>
      </c>
      <c r="CS119" s="21"/>
      <c r="CT119" s="14"/>
      <c r="CU119" s="14" t="s">
        <v>2859</v>
      </c>
      <c r="CV119" s="14">
        <v>2</v>
      </c>
      <c r="CW119" s="14" t="s">
        <v>3353</v>
      </c>
      <c r="CX119" s="14" t="s">
        <v>3979</v>
      </c>
      <c r="CY119" s="87" t="s">
        <v>3843</v>
      </c>
      <c r="CZ119" s="87" t="s">
        <v>3915</v>
      </c>
      <c r="DA119" s="21"/>
      <c r="DB119" s="21"/>
      <c r="DC119" s="233"/>
      <c r="DD119" s="21" t="s">
        <v>3352</v>
      </c>
      <c r="DE119" s="21"/>
      <c r="DF119" s="14"/>
      <c r="DG119" s="14" t="s">
        <v>2859</v>
      </c>
      <c r="DH119" s="14">
        <v>2</v>
      </c>
      <c r="DI119" s="14" t="s">
        <v>3353</v>
      </c>
      <c r="DJ119" s="14" t="s">
        <v>3979</v>
      </c>
      <c r="DK119" s="87" t="s">
        <v>3843</v>
      </c>
      <c r="DL119" s="87" t="s">
        <v>3915</v>
      </c>
      <c r="DM119" s="21"/>
      <c r="DN119" s="21"/>
      <c r="DO119" s="233"/>
      <c r="DP119" s="21"/>
      <c r="DQ119" s="21"/>
      <c r="DR119" s="14"/>
      <c r="DS119" s="14"/>
      <c r="DT119" s="14"/>
      <c r="DU119" s="14"/>
      <c r="DV119" s="14"/>
      <c r="DW119" s="87"/>
      <c r="DX119" s="87"/>
      <c r="DY119" s="21"/>
      <c r="DZ119" s="233"/>
      <c r="EA119" s="233"/>
      <c r="EB119" s="21" t="s">
        <v>3359</v>
      </c>
      <c r="EC119" s="21"/>
      <c r="ED119" s="14"/>
      <c r="EE119" s="14" t="s">
        <v>3180</v>
      </c>
      <c r="EF119" s="14">
        <v>3</v>
      </c>
      <c r="EG119" s="14" t="s">
        <v>2778</v>
      </c>
      <c r="EH119" s="14" t="s">
        <v>3854</v>
      </c>
      <c r="EI119" s="87" t="s">
        <v>3759</v>
      </c>
      <c r="EJ119" s="87" t="s">
        <v>3728</v>
      </c>
      <c r="EK119" s="21"/>
      <c r="EL119" s="233"/>
      <c r="EM119" s="233"/>
      <c r="EN119" s="21" t="s">
        <v>3352</v>
      </c>
      <c r="EO119" s="21"/>
      <c r="EP119" s="14"/>
      <c r="EQ119" s="14" t="s">
        <v>2859</v>
      </c>
      <c r="ER119" s="14">
        <v>2</v>
      </c>
      <c r="ES119" s="14" t="s">
        <v>3353</v>
      </c>
      <c r="ET119" s="14" t="s">
        <v>3979</v>
      </c>
      <c r="EU119" s="87" t="s">
        <v>3843</v>
      </c>
      <c r="EV119" s="87" t="s">
        <v>3915</v>
      </c>
      <c r="EW119" s="21"/>
      <c r="EX119" s="21"/>
      <c r="EY119" s="233"/>
      <c r="EZ119" s="233"/>
      <c r="FA119" s="233"/>
      <c r="FB119" s="233"/>
      <c r="FC119" s="233"/>
      <c r="FD119" s="233"/>
    </row>
    <row r="120" spans="1:160">
      <c r="A120" s="20" t="s">
        <v>3322</v>
      </c>
      <c r="B120" s="14">
        <v>2</v>
      </c>
      <c r="C120" s="14" t="s">
        <v>3803</v>
      </c>
      <c r="D120" s="14">
        <v>1</v>
      </c>
      <c r="E120" s="110" t="s">
        <v>3323</v>
      </c>
      <c r="F120" s="14" t="s">
        <v>3716</v>
      </c>
      <c r="G120" s="44" t="s">
        <v>3490</v>
      </c>
      <c r="H120" s="44" t="s">
        <v>3491</v>
      </c>
      <c r="I120" s="44" t="s">
        <v>2775</v>
      </c>
      <c r="J120" s="28" t="s">
        <v>5232</v>
      </c>
      <c r="L120" s="21" t="s">
        <v>2976</v>
      </c>
      <c r="M120" s="14"/>
      <c r="N120" s="21"/>
      <c r="O120" s="14" t="s">
        <v>2790</v>
      </c>
      <c r="P120" s="14">
        <v>2</v>
      </c>
      <c r="Q120" s="110" t="s">
        <v>3650</v>
      </c>
      <c r="R120" s="14" t="s">
        <v>3716</v>
      </c>
      <c r="S120" s="44" t="s">
        <v>3809</v>
      </c>
      <c r="T120" s="44" t="s">
        <v>3148</v>
      </c>
      <c r="U120" s="21"/>
      <c r="V120" s="21"/>
      <c r="W120" s="21"/>
      <c r="X120" s="21" t="s">
        <v>3357</v>
      </c>
      <c r="Y120" s="21"/>
      <c r="Z120" s="14"/>
      <c r="AA120" s="14" t="s">
        <v>2990</v>
      </c>
      <c r="AB120" s="14">
        <v>3</v>
      </c>
      <c r="AC120" s="110" t="s">
        <v>3336</v>
      </c>
      <c r="AD120" s="14" t="s">
        <v>4000</v>
      </c>
      <c r="AE120" s="87" t="s">
        <v>3612</v>
      </c>
      <c r="AF120" s="87" t="s">
        <v>3358</v>
      </c>
      <c r="AG120" s="21"/>
      <c r="AH120" s="21"/>
      <c r="AI120" s="21"/>
      <c r="AJ120" s="21" t="s">
        <v>411</v>
      </c>
      <c r="AK120" s="21"/>
      <c r="AL120" s="21"/>
      <c r="AM120" s="14" t="s">
        <v>5732</v>
      </c>
      <c r="AN120" s="14">
        <v>2</v>
      </c>
      <c r="AO120" s="106" t="s">
        <v>3667</v>
      </c>
      <c r="AP120" s="14" t="s">
        <v>3854</v>
      </c>
      <c r="AQ120" s="44" t="s">
        <v>3736</v>
      </c>
      <c r="AR120" s="44" t="s">
        <v>3915</v>
      </c>
      <c r="AS120" s="21"/>
      <c r="AT120" s="21"/>
      <c r="AU120" s="21"/>
      <c r="AV120" s="21" t="s">
        <v>3179</v>
      </c>
      <c r="AW120" s="21"/>
      <c r="AX120" s="14"/>
      <c r="AY120" s="14" t="s">
        <v>2964</v>
      </c>
      <c r="AZ120" s="14">
        <v>1</v>
      </c>
      <c r="BA120" s="14" t="s">
        <v>3381</v>
      </c>
      <c r="BB120" s="14" t="s">
        <v>3898</v>
      </c>
      <c r="BC120" s="87" t="s">
        <v>3249</v>
      </c>
      <c r="BD120" s="87" t="s">
        <v>3008</v>
      </c>
      <c r="BE120" s="21"/>
      <c r="BF120" s="21"/>
      <c r="BG120" s="21"/>
      <c r="BH120" s="21" t="s">
        <v>2976</v>
      </c>
      <c r="BI120" s="21"/>
      <c r="BJ120" s="14"/>
      <c r="BK120" s="14" t="s">
        <v>2790</v>
      </c>
      <c r="BL120" s="14">
        <v>2</v>
      </c>
      <c r="BM120" s="14" t="s">
        <v>3650</v>
      </c>
      <c r="BN120" s="14" t="s">
        <v>3716</v>
      </c>
      <c r="BO120" s="87" t="s">
        <v>3809</v>
      </c>
      <c r="BP120" s="87" t="s">
        <v>3148</v>
      </c>
      <c r="BQ120" s="14"/>
      <c r="BR120" s="21"/>
      <c r="BS120" s="233"/>
      <c r="BT120" s="21"/>
      <c r="BU120" s="21"/>
      <c r="BV120" s="14"/>
      <c r="BW120" s="14"/>
      <c r="BX120" s="14"/>
      <c r="BY120" s="14"/>
      <c r="BZ120" s="14"/>
      <c r="CA120" s="14"/>
      <c r="CB120" s="87"/>
      <c r="CC120" s="233"/>
      <c r="CD120" s="233"/>
      <c r="CE120" s="233"/>
      <c r="CF120" s="21" t="s">
        <v>2976</v>
      </c>
      <c r="CG120" s="21"/>
      <c r="CH120" s="14"/>
      <c r="CI120" s="14" t="s">
        <v>2790</v>
      </c>
      <c r="CJ120" s="14">
        <v>2</v>
      </c>
      <c r="CK120" s="14" t="s">
        <v>3650</v>
      </c>
      <c r="CL120" s="14" t="s">
        <v>3716</v>
      </c>
      <c r="CM120" s="87" t="s">
        <v>3809</v>
      </c>
      <c r="CN120" s="87" t="s">
        <v>3148</v>
      </c>
      <c r="CO120" s="233"/>
      <c r="CP120" s="233"/>
      <c r="CQ120" s="233"/>
      <c r="CR120" s="21" t="s">
        <v>3357</v>
      </c>
      <c r="CS120" s="21"/>
      <c r="CT120" s="14"/>
      <c r="CU120" s="14" t="s">
        <v>2990</v>
      </c>
      <c r="CV120" s="14">
        <v>3</v>
      </c>
      <c r="CW120" s="110" t="s">
        <v>3336</v>
      </c>
      <c r="CX120" s="14" t="s">
        <v>4000</v>
      </c>
      <c r="CY120" s="87" t="s">
        <v>3612</v>
      </c>
      <c r="CZ120" s="87" t="s">
        <v>3358</v>
      </c>
      <c r="DA120" s="21"/>
      <c r="DB120" s="21"/>
      <c r="DC120" s="233"/>
      <c r="DD120" s="21" t="s">
        <v>3357</v>
      </c>
      <c r="DE120" s="21"/>
      <c r="DF120" s="14"/>
      <c r="DG120" s="14" t="s">
        <v>2990</v>
      </c>
      <c r="DH120" s="14">
        <v>3</v>
      </c>
      <c r="DI120" s="110" t="s">
        <v>3336</v>
      </c>
      <c r="DJ120" s="14" t="s">
        <v>4000</v>
      </c>
      <c r="DK120" s="87" t="s">
        <v>3612</v>
      </c>
      <c r="DL120" s="87" t="s">
        <v>3358</v>
      </c>
      <c r="DM120" s="21"/>
      <c r="DN120" s="21"/>
      <c r="DO120" s="233"/>
      <c r="DP120" s="21"/>
      <c r="DQ120" s="21"/>
      <c r="DR120" s="21"/>
      <c r="DS120" s="14"/>
      <c r="DT120" s="14"/>
      <c r="DU120" s="14"/>
      <c r="DV120" s="14"/>
      <c r="DW120" s="14"/>
      <c r="DX120" s="87"/>
      <c r="DY120" s="21"/>
      <c r="DZ120" s="233"/>
      <c r="EA120" s="233"/>
      <c r="EB120" s="21" t="s">
        <v>411</v>
      </c>
      <c r="EC120" s="21"/>
      <c r="ED120" s="21"/>
      <c r="EE120" s="14" t="s">
        <v>5732</v>
      </c>
      <c r="EF120" s="14">
        <v>2</v>
      </c>
      <c r="EG120" s="106" t="s">
        <v>3667</v>
      </c>
      <c r="EH120" s="14" t="s">
        <v>3854</v>
      </c>
      <c r="EI120" s="44" t="s">
        <v>3736</v>
      </c>
      <c r="EJ120" s="44" t="s">
        <v>3915</v>
      </c>
      <c r="EK120" s="21"/>
      <c r="EL120" s="233"/>
      <c r="EM120" s="233"/>
      <c r="EN120" s="21" t="s">
        <v>3357</v>
      </c>
      <c r="EO120" s="21"/>
      <c r="EP120" s="14"/>
      <c r="EQ120" s="14" t="s">
        <v>2990</v>
      </c>
      <c r="ER120" s="14">
        <v>3</v>
      </c>
      <c r="ES120" s="110" t="s">
        <v>3336</v>
      </c>
      <c r="ET120" s="14" t="s">
        <v>4000</v>
      </c>
      <c r="EU120" s="87" t="s">
        <v>3612</v>
      </c>
      <c r="EV120" s="87" t="s">
        <v>3358</v>
      </c>
      <c r="EW120" s="21"/>
      <c r="EX120" s="21"/>
      <c r="EY120" s="233"/>
      <c r="EZ120" s="233"/>
      <c r="FA120" s="233"/>
      <c r="FB120" s="233"/>
      <c r="FC120" s="233"/>
      <c r="FD120" s="233"/>
    </row>
    <row r="121" spans="1:160">
      <c r="A121" s="283" t="s">
        <v>412</v>
      </c>
      <c r="B121" s="284">
        <v>2</v>
      </c>
      <c r="C121" s="284" t="s">
        <v>5889</v>
      </c>
      <c r="D121" s="284" t="s">
        <v>5036</v>
      </c>
      <c r="E121" s="285" t="s">
        <v>3999</v>
      </c>
      <c r="F121" s="284" t="s">
        <v>3947</v>
      </c>
      <c r="G121" s="286" t="s">
        <v>395</v>
      </c>
      <c r="H121" s="289" t="s">
        <v>413</v>
      </c>
      <c r="I121" s="286" t="s">
        <v>2775</v>
      </c>
      <c r="J121" s="287" t="s">
        <v>414</v>
      </c>
      <c r="L121" s="21" t="s">
        <v>2841</v>
      </c>
      <c r="M121" s="14"/>
      <c r="N121" s="21"/>
      <c r="O121" s="14" t="s">
        <v>2842</v>
      </c>
      <c r="P121" s="14">
        <v>3</v>
      </c>
      <c r="Q121" s="14" t="s">
        <v>2843</v>
      </c>
      <c r="R121" s="14" t="s">
        <v>3548</v>
      </c>
      <c r="S121" s="44" t="s">
        <v>2951</v>
      </c>
      <c r="T121" s="44" t="s">
        <v>3706</v>
      </c>
      <c r="U121" s="21"/>
      <c r="V121" s="21"/>
      <c r="W121" s="21"/>
      <c r="X121" s="21" t="s">
        <v>2841</v>
      </c>
      <c r="Y121" s="21"/>
      <c r="Z121" s="14"/>
      <c r="AA121" s="14" t="s">
        <v>2842</v>
      </c>
      <c r="AB121" s="14">
        <v>3</v>
      </c>
      <c r="AC121" s="14" t="s">
        <v>2843</v>
      </c>
      <c r="AD121" s="14" t="s">
        <v>3548</v>
      </c>
      <c r="AE121" s="87" t="s">
        <v>2951</v>
      </c>
      <c r="AF121" s="87" t="s">
        <v>3706</v>
      </c>
      <c r="AG121" s="21"/>
      <c r="AH121" s="21"/>
      <c r="AI121" s="21"/>
      <c r="AJ121" s="21" t="s">
        <v>415</v>
      </c>
      <c r="AK121" s="21"/>
      <c r="AL121" s="21"/>
      <c r="AM121" s="14" t="s">
        <v>5732</v>
      </c>
      <c r="AN121" s="14">
        <v>3</v>
      </c>
      <c r="AO121" s="106" t="s">
        <v>3667</v>
      </c>
      <c r="AP121" s="14" t="s">
        <v>3947</v>
      </c>
      <c r="AQ121" s="44" t="s">
        <v>3550</v>
      </c>
      <c r="AR121" s="44" t="s">
        <v>308</v>
      </c>
      <c r="AS121" s="21"/>
      <c r="AT121" s="21"/>
      <c r="AU121" s="21"/>
      <c r="AV121" s="21" t="s">
        <v>2844</v>
      </c>
      <c r="AW121" s="21"/>
      <c r="AX121" s="14"/>
      <c r="AY121" s="14" t="s">
        <v>2973</v>
      </c>
      <c r="AZ121" s="14">
        <v>2</v>
      </c>
      <c r="BA121" s="14" t="s">
        <v>2957</v>
      </c>
      <c r="BB121" s="14" t="s">
        <v>3947</v>
      </c>
      <c r="BC121" s="87" t="s">
        <v>3759</v>
      </c>
      <c r="BD121" s="87" t="s">
        <v>3728</v>
      </c>
      <c r="BE121" s="21"/>
      <c r="BF121" s="21"/>
      <c r="BG121" s="21"/>
      <c r="BH121" s="21" t="s">
        <v>3156</v>
      </c>
      <c r="BI121" s="21"/>
      <c r="BJ121" s="14"/>
      <c r="BK121" s="14" t="s">
        <v>3600</v>
      </c>
      <c r="BL121" s="14">
        <v>2</v>
      </c>
      <c r="BM121" s="14" t="s">
        <v>2957</v>
      </c>
      <c r="BN121" s="14" t="s">
        <v>3898</v>
      </c>
      <c r="BO121" s="87" t="s">
        <v>3651</v>
      </c>
      <c r="BP121" s="87" t="s">
        <v>3728</v>
      </c>
      <c r="BQ121" s="21"/>
      <c r="BR121" s="21"/>
      <c r="BS121" s="233"/>
      <c r="BT121" s="21"/>
      <c r="BU121" s="21"/>
      <c r="BV121" s="21"/>
      <c r="BW121" s="14"/>
      <c r="BX121" s="14"/>
      <c r="BY121" s="14"/>
      <c r="BZ121" s="14"/>
      <c r="CA121" s="14"/>
      <c r="CB121" s="87"/>
      <c r="CC121" s="233"/>
      <c r="CD121" s="233"/>
      <c r="CE121" s="233"/>
      <c r="CF121" s="21" t="s">
        <v>3156</v>
      </c>
      <c r="CG121" s="21"/>
      <c r="CH121" s="14"/>
      <c r="CI121" s="14" t="s">
        <v>3600</v>
      </c>
      <c r="CJ121" s="14">
        <v>2</v>
      </c>
      <c r="CK121" s="14" t="s">
        <v>2957</v>
      </c>
      <c r="CL121" s="14" t="s">
        <v>3898</v>
      </c>
      <c r="CM121" s="87" t="s">
        <v>3651</v>
      </c>
      <c r="CN121" s="87" t="s">
        <v>3728</v>
      </c>
      <c r="CO121" s="233"/>
      <c r="CP121" s="233"/>
      <c r="CQ121" s="233"/>
      <c r="CR121" s="21" t="s">
        <v>2841</v>
      </c>
      <c r="CS121" s="21"/>
      <c r="CT121" s="14"/>
      <c r="CU121" s="14" t="s">
        <v>2842</v>
      </c>
      <c r="CV121" s="14">
        <v>3</v>
      </c>
      <c r="CW121" s="14" t="s">
        <v>2843</v>
      </c>
      <c r="CX121" s="14" t="s">
        <v>3548</v>
      </c>
      <c r="CY121" s="87" t="s">
        <v>2951</v>
      </c>
      <c r="CZ121" s="87" t="s">
        <v>3706</v>
      </c>
      <c r="DA121" s="21"/>
      <c r="DB121" s="21"/>
      <c r="DC121" s="233"/>
      <c r="DD121" s="21" t="s">
        <v>2841</v>
      </c>
      <c r="DE121" s="21"/>
      <c r="DF121" s="14"/>
      <c r="DG121" s="14" t="s">
        <v>2842</v>
      </c>
      <c r="DH121" s="14">
        <v>3</v>
      </c>
      <c r="DI121" s="14" t="s">
        <v>2843</v>
      </c>
      <c r="DJ121" s="14" t="s">
        <v>3548</v>
      </c>
      <c r="DK121" s="87" t="s">
        <v>2951</v>
      </c>
      <c r="DL121" s="87" t="s">
        <v>3706</v>
      </c>
      <c r="DM121" s="21"/>
      <c r="DN121" s="21"/>
      <c r="DO121" s="233"/>
      <c r="DP121" s="21"/>
      <c r="DQ121" s="21"/>
      <c r="DR121" s="21"/>
      <c r="DS121" s="14"/>
      <c r="DT121" s="14"/>
      <c r="DU121" s="14"/>
      <c r="DV121" s="14"/>
      <c r="DW121" s="14"/>
      <c r="DX121" s="87"/>
      <c r="DY121" s="21"/>
      <c r="DZ121" s="233"/>
      <c r="EA121" s="233"/>
      <c r="EB121" s="21" t="s">
        <v>415</v>
      </c>
      <c r="EC121" s="21"/>
      <c r="ED121" s="21"/>
      <c r="EE121" s="14" t="s">
        <v>5732</v>
      </c>
      <c r="EF121" s="14">
        <v>3</v>
      </c>
      <c r="EG121" s="106" t="s">
        <v>3667</v>
      </c>
      <c r="EH121" s="14" t="s">
        <v>3947</v>
      </c>
      <c r="EI121" s="44" t="s">
        <v>3550</v>
      </c>
      <c r="EJ121" s="44" t="s">
        <v>308</v>
      </c>
      <c r="EK121" s="21"/>
      <c r="EL121" s="233"/>
      <c r="EM121" s="233"/>
      <c r="EN121" s="21" t="s">
        <v>2841</v>
      </c>
      <c r="EO121" s="21"/>
      <c r="EP121" s="14"/>
      <c r="EQ121" s="14" t="s">
        <v>2842</v>
      </c>
      <c r="ER121" s="14">
        <v>3</v>
      </c>
      <c r="ES121" s="14" t="s">
        <v>2843</v>
      </c>
      <c r="ET121" s="14" t="s">
        <v>3548</v>
      </c>
      <c r="EU121" s="87" t="s">
        <v>2951</v>
      </c>
      <c r="EV121" s="87" t="s">
        <v>3706</v>
      </c>
      <c r="EW121" s="21"/>
      <c r="EX121" s="21"/>
      <c r="EY121" s="233"/>
      <c r="EZ121" s="233"/>
      <c r="FA121" s="233"/>
      <c r="FB121" s="233"/>
      <c r="FC121" s="233"/>
      <c r="FD121" s="233"/>
    </row>
    <row r="122" spans="1:160">
      <c r="A122" s="20" t="s">
        <v>3659</v>
      </c>
      <c r="B122" s="14">
        <v>2</v>
      </c>
      <c r="C122" s="14" t="s">
        <v>3940</v>
      </c>
      <c r="D122" s="14">
        <v>1</v>
      </c>
      <c r="E122" s="110" t="s">
        <v>3569</v>
      </c>
      <c r="F122" s="14" t="s">
        <v>3914</v>
      </c>
      <c r="G122" s="44" t="s">
        <v>3759</v>
      </c>
      <c r="H122" s="44" t="s">
        <v>3660</v>
      </c>
      <c r="I122" s="44" t="s">
        <v>3900</v>
      </c>
      <c r="J122" s="28" t="s">
        <v>5232</v>
      </c>
      <c r="L122" s="26" t="s">
        <v>5217</v>
      </c>
      <c r="M122" s="21"/>
      <c r="N122" s="108" t="s">
        <v>5018</v>
      </c>
      <c r="O122" s="108" t="s">
        <v>5701</v>
      </c>
      <c r="P122" s="108" t="s">
        <v>5019</v>
      </c>
      <c r="Q122" s="108" t="s">
        <v>5020</v>
      </c>
      <c r="R122" s="108" t="s">
        <v>5021</v>
      </c>
      <c r="S122" s="108" t="s">
        <v>5022</v>
      </c>
      <c r="T122" s="282" t="s">
        <v>5316</v>
      </c>
      <c r="U122" s="26"/>
      <c r="V122" s="21"/>
      <c r="W122" s="21"/>
      <c r="X122" s="26" t="s">
        <v>5217</v>
      </c>
      <c r="Y122" s="21"/>
      <c r="Z122" s="108" t="s">
        <v>5018</v>
      </c>
      <c r="AA122" s="108" t="s">
        <v>5701</v>
      </c>
      <c r="AB122" s="108" t="s">
        <v>5019</v>
      </c>
      <c r="AC122" s="108" t="s">
        <v>5020</v>
      </c>
      <c r="AD122" s="108" t="s">
        <v>5021</v>
      </c>
      <c r="AE122" s="108" t="s">
        <v>5022</v>
      </c>
      <c r="AF122" s="282" t="s">
        <v>5316</v>
      </c>
      <c r="AG122" s="26"/>
      <c r="AH122" s="21"/>
      <c r="AI122" s="21"/>
      <c r="AJ122" s="26" t="s">
        <v>5217</v>
      </c>
      <c r="AK122" s="21"/>
      <c r="AL122" s="108" t="s">
        <v>5018</v>
      </c>
      <c r="AM122" s="108" t="s">
        <v>5701</v>
      </c>
      <c r="AN122" s="108" t="s">
        <v>5019</v>
      </c>
      <c r="AO122" s="108" t="s">
        <v>5020</v>
      </c>
      <c r="AP122" s="108" t="s">
        <v>5021</v>
      </c>
      <c r="AQ122" s="108" t="s">
        <v>5022</v>
      </c>
      <c r="AR122" s="282" t="s">
        <v>5316</v>
      </c>
      <c r="AS122" s="26"/>
      <c r="AT122" s="21"/>
      <c r="AU122" s="21"/>
      <c r="AV122" s="26" t="s">
        <v>5217</v>
      </c>
      <c r="AW122" s="21"/>
      <c r="AX122" s="108" t="s">
        <v>5018</v>
      </c>
      <c r="AY122" s="108" t="s">
        <v>5701</v>
      </c>
      <c r="AZ122" s="108" t="s">
        <v>5019</v>
      </c>
      <c r="BA122" s="108" t="s">
        <v>5020</v>
      </c>
      <c r="BB122" s="108" t="s">
        <v>5021</v>
      </c>
      <c r="BC122" s="108" t="s">
        <v>5022</v>
      </c>
      <c r="BD122" s="282" t="s">
        <v>5316</v>
      </c>
      <c r="BE122" s="26"/>
      <c r="BF122" s="21"/>
      <c r="BG122" s="21"/>
      <c r="BH122" s="26" t="s">
        <v>5217</v>
      </c>
      <c r="BI122" s="21"/>
      <c r="BJ122" s="108" t="s">
        <v>5018</v>
      </c>
      <c r="BK122" s="108" t="s">
        <v>5701</v>
      </c>
      <c r="BL122" s="108" t="s">
        <v>5019</v>
      </c>
      <c r="BM122" s="108" t="s">
        <v>5020</v>
      </c>
      <c r="BN122" s="108" t="s">
        <v>5021</v>
      </c>
      <c r="BO122" s="108" t="s">
        <v>5022</v>
      </c>
      <c r="BP122" s="282" t="s">
        <v>5316</v>
      </c>
      <c r="BQ122" s="26"/>
      <c r="BR122" s="21"/>
      <c r="BS122" s="233"/>
      <c r="BT122" s="26" t="s">
        <v>5217</v>
      </c>
      <c r="BU122" s="21"/>
      <c r="BV122" s="108" t="s">
        <v>5018</v>
      </c>
      <c r="BW122" s="108" t="s">
        <v>5701</v>
      </c>
      <c r="BX122" s="108" t="s">
        <v>5019</v>
      </c>
      <c r="BY122" s="108" t="s">
        <v>5020</v>
      </c>
      <c r="BZ122" s="108" t="s">
        <v>5021</v>
      </c>
      <c r="CA122" s="108" t="s">
        <v>5022</v>
      </c>
      <c r="CB122" s="282" t="s">
        <v>5316</v>
      </c>
      <c r="CC122" s="233"/>
      <c r="CD122" s="233"/>
      <c r="CE122" s="233"/>
      <c r="CF122" s="26" t="s">
        <v>5217</v>
      </c>
      <c r="CG122" s="21"/>
      <c r="CH122" s="108" t="s">
        <v>5018</v>
      </c>
      <c r="CI122" s="108" t="s">
        <v>5701</v>
      </c>
      <c r="CJ122" s="108" t="s">
        <v>5019</v>
      </c>
      <c r="CK122" s="108" t="s">
        <v>5020</v>
      </c>
      <c r="CL122" s="108" t="s">
        <v>5021</v>
      </c>
      <c r="CM122" s="108" t="s">
        <v>5022</v>
      </c>
      <c r="CN122" s="282" t="s">
        <v>5316</v>
      </c>
      <c r="CO122" s="233"/>
      <c r="CP122" s="233"/>
      <c r="CQ122" s="233"/>
      <c r="CR122" s="26" t="s">
        <v>5217</v>
      </c>
      <c r="CS122" s="21"/>
      <c r="CT122" s="108" t="s">
        <v>5018</v>
      </c>
      <c r="CU122" s="108" t="s">
        <v>5701</v>
      </c>
      <c r="CV122" s="108" t="s">
        <v>5019</v>
      </c>
      <c r="CW122" s="108" t="s">
        <v>5020</v>
      </c>
      <c r="CX122" s="108" t="s">
        <v>5021</v>
      </c>
      <c r="CY122" s="108" t="s">
        <v>5022</v>
      </c>
      <c r="CZ122" s="282" t="s">
        <v>5316</v>
      </c>
      <c r="DA122" s="26"/>
      <c r="DB122" s="21"/>
      <c r="DC122" s="233"/>
      <c r="DD122" s="26" t="s">
        <v>5217</v>
      </c>
      <c r="DE122" s="21"/>
      <c r="DF122" s="108" t="s">
        <v>5018</v>
      </c>
      <c r="DG122" s="108" t="s">
        <v>5701</v>
      </c>
      <c r="DH122" s="108" t="s">
        <v>5019</v>
      </c>
      <c r="DI122" s="108" t="s">
        <v>5020</v>
      </c>
      <c r="DJ122" s="108" t="s">
        <v>5021</v>
      </c>
      <c r="DK122" s="108" t="s">
        <v>5022</v>
      </c>
      <c r="DL122" s="282" t="s">
        <v>5316</v>
      </c>
      <c r="DM122" s="26"/>
      <c r="DN122" s="21"/>
      <c r="DO122" s="233"/>
      <c r="DP122" s="26" t="s">
        <v>5217</v>
      </c>
      <c r="DQ122" s="21"/>
      <c r="DR122" s="108" t="s">
        <v>5018</v>
      </c>
      <c r="DS122" s="108" t="s">
        <v>5701</v>
      </c>
      <c r="DT122" s="108" t="s">
        <v>5019</v>
      </c>
      <c r="DU122" s="108" t="s">
        <v>5020</v>
      </c>
      <c r="DV122" s="108" t="s">
        <v>5021</v>
      </c>
      <c r="DW122" s="108" t="s">
        <v>5022</v>
      </c>
      <c r="DX122" s="282" t="s">
        <v>5316</v>
      </c>
      <c r="DY122" s="26"/>
      <c r="DZ122" s="233"/>
      <c r="EA122" s="233"/>
      <c r="EB122" s="26" t="s">
        <v>5217</v>
      </c>
      <c r="EC122" s="21"/>
      <c r="ED122" s="108" t="s">
        <v>5018</v>
      </c>
      <c r="EE122" s="108" t="s">
        <v>5701</v>
      </c>
      <c r="EF122" s="108" t="s">
        <v>5019</v>
      </c>
      <c r="EG122" s="108" t="s">
        <v>5020</v>
      </c>
      <c r="EH122" s="108" t="s">
        <v>5021</v>
      </c>
      <c r="EI122" s="108" t="s">
        <v>5022</v>
      </c>
      <c r="EJ122" s="282" t="s">
        <v>5316</v>
      </c>
      <c r="EK122" s="26"/>
      <c r="EL122" s="233"/>
      <c r="EM122" s="233"/>
      <c r="EN122" s="26" t="s">
        <v>5217</v>
      </c>
      <c r="EO122" s="21"/>
      <c r="EP122" s="108" t="s">
        <v>5018</v>
      </c>
      <c r="EQ122" s="108" t="s">
        <v>5701</v>
      </c>
      <c r="ER122" s="108" t="s">
        <v>5019</v>
      </c>
      <c r="ES122" s="108" t="s">
        <v>5020</v>
      </c>
      <c r="ET122" s="108" t="s">
        <v>5021</v>
      </c>
      <c r="EU122" s="108" t="s">
        <v>5022</v>
      </c>
      <c r="EV122" s="282" t="s">
        <v>5316</v>
      </c>
      <c r="EW122" s="26"/>
      <c r="EX122" s="21"/>
      <c r="EY122" s="233"/>
      <c r="EZ122" s="233"/>
      <c r="FA122" s="233"/>
      <c r="FB122" s="233"/>
      <c r="FC122" s="233"/>
      <c r="FD122" s="233"/>
    </row>
    <row r="123" spans="1:160">
      <c r="A123" s="20" t="s">
        <v>3788</v>
      </c>
      <c r="B123" s="14">
        <v>2</v>
      </c>
      <c r="C123" s="14" t="s">
        <v>3803</v>
      </c>
      <c r="D123" s="14">
        <v>1</v>
      </c>
      <c r="E123" s="110" t="s">
        <v>3557</v>
      </c>
      <c r="F123" s="14" t="s">
        <v>3947</v>
      </c>
      <c r="G123" s="44" t="s">
        <v>3736</v>
      </c>
      <c r="H123" s="44" t="s">
        <v>4209</v>
      </c>
      <c r="I123" s="44">
        <v>2</v>
      </c>
      <c r="J123" s="28" t="s">
        <v>3104</v>
      </c>
      <c r="L123" s="21" t="s">
        <v>2845</v>
      </c>
      <c r="M123" s="14"/>
      <c r="N123" s="21"/>
      <c r="O123" s="14" t="s">
        <v>2842</v>
      </c>
      <c r="P123" s="14">
        <v>2</v>
      </c>
      <c r="Q123" s="14" t="s">
        <v>2843</v>
      </c>
      <c r="R123" s="14" t="s">
        <v>3548</v>
      </c>
      <c r="S123" s="44" t="s">
        <v>3901</v>
      </c>
      <c r="T123" s="44" t="s">
        <v>2846</v>
      </c>
      <c r="U123" s="14"/>
      <c r="V123" s="21"/>
      <c r="W123" s="21"/>
      <c r="X123" s="21" t="s">
        <v>2845</v>
      </c>
      <c r="Y123" s="21"/>
      <c r="Z123" s="14"/>
      <c r="AA123" s="14" t="s">
        <v>2842</v>
      </c>
      <c r="AB123" s="14">
        <v>2</v>
      </c>
      <c r="AC123" s="14" t="s">
        <v>2843</v>
      </c>
      <c r="AD123" s="14" t="s">
        <v>3548</v>
      </c>
      <c r="AE123" s="87" t="s">
        <v>3901</v>
      </c>
      <c r="AF123" s="87" t="s">
        <v>2846</v>
      </c>
      <c r="AG123" s="14"/>
      <c r="AH123" s="21"/>
      <c r="AI123" s="21"/>
      <c r="AJ123" s="21" t="s">
        <v>2847</v>
      </c>
      <c r="AK123" s="21"/>
      <c r="AL123" s="14"/>
      <c r="AM123" s="14" t="s">
        <v>3455</v>
      </c>
      <c r="AN123" s="14">
        <v>3</v>
      </c>
      <c r="AO123" s="110" t="s">
        <v>3887</v>
      </c>
      <c r="AP123" s="14" t="s">
        <v>3548</v>
      </c>
      <c r="AQ123" s="87" t="s">
        <v>3651</v>
      </c>
      <c r="AR123" s="87" t="s">
        <v>2848</v>
      </c>
      <c r="AS123" s="14"/>
      <c r="AT123" s="21"/>
      <c r="AU123" s="21"/>
      <c r="AV123" s="21" t="s">
        <v>309</v>
      </c>
      <c r="AW123" s="21"/>
      <c r="AX123" s="14"/>
      <c r="AY123" s="14" t="s">
        <v>5747</v>
      </c>
      <c r="AZ123" s="14">
        <v>1</v>
      </c>
      <c r="BA123" s="110" t="s">
        <v>2984</v>
      </c>
      <c r="BB123" s="14" t="s">
        <v>3898</v>
      </c>
      <c r="BC123" s="44" t="s">
        <v>3937</v>
      </c>
      <c r="BD123" s="107" t="s">
        <v>310</v>
      </c>
      <c r="BE123" s="14"/>
      <c r="BF123" s="21"/>
      <c r="BG123" s="21"/>
      <c r="BH123" s="21" t="s">
        <v>2851</v>
      </c>
      <c r="BI123" s="21"/>
      <c r="BJ123" s="14"/>
      <c r="BK123" s="14" t="s">
        <v>2852</v>
      </c>
      <c r="BL123" s="14">
        <v>3</v>
      </c>
      <c r="BM123" s="14" t="s">
        <v>2850</v>
      </c>
      <c r="BN123" s="14" t="s">
        <v>3979</v>
      </c>
      <c r="BO123" s="87" t="s">
        <v>3332</v>
      </c>
      <c r="BP123" s="87" t="s">
        <v>2691</v>
      </c>
      <c r="BQ123" s="14"/>
      <c r="BR123" s="21"/>
      <c r="BS123" s="233"/>
      <c r="BT123" s="21" t="s">
        <v>2845</v>
      </c>
      <c r="BU123" s="14"/>
      <c r="BV123" s="21"/>
      <c r="BW123" s="14" t="s">
        <v>2842</v>
      </c>
      <c r="BX123" s="14">
        <v>2</v>
      </c>
      <c r="BY123" s="14" t="s">
        <v>2843</v>
      </c>
      <c r="BZ123" s="14" t="s">
        <v>3548</v>
      </c>
      <c r="CA123" s="87" t="s">
        <v>3901</v>
      </c>
      <c r="CB123" s="44" t="s">
        <v>2846</v>
      </c>
      <c r="CC123" s="233"/>
      <c r="CD123" s="233"/>
      <c r="CE123" s="233"/>
      <c r="CF123" s="21" t="s">
        <v>2851</v>
      </c>
      <c r="CG123" s="21"/>
      <c r="CH123" s="14"/>
      <c r="CI123" s="14" t="s">
        <v>2852</v>
      </c>
      <c r="CJ123" s="14">
        <v>3</v>
      </c>
      <c r="CK123" s="14" t="s">
        <v>2850</v>
      </c>
      <c r="CL123" s="14" t="s">
        <v>3979</v>
      </c>
      <c r="CM123" s="87" t="s">
        <v>3332</v>
      </c>
      <c r="CN123" s="87" t="s">
        <v>2691</v>
      </c>
      <c r="CO123" s="233"/>
      <c r="CP123" s="233"/>
      <c r="CQ123" s="233"/>
      <c r="CR123" s="21" t="s">
        <v>2845</v>
      </c>
      <c r="CS123" s="21"/>
      <c r="CT123" s="14"/>
      <c r="CU123" s="14" t="s">
        <v>2842</v>
      </c>
      <c r="CV123" s="14">
        <v>2</v>
      </c>
      <c r="CW123" s="14" t="s">
        <v>2843</v>
      </c>
      <c r="CX123" s="14" t="s">
        <v>3548</v>
      </c>
      <c r="CY123" s="87" t="s">
        <v>3901</v>
      </c>
      <c r="CZ123" s="87" t="s">
        <v>2846</v>
      </c>
      <c r="DA123" s="14"/>
      <c r="DB123" s="21"/>
      <c r="DC123" s="233"/>
      <c r="DD123" s="21" t="s">
        <v>2845</v>
      </c>
      <c r="DE123" s="21"/>
      <c r="DF123" s="14"/>
      <c r="DG123" s="14" t="s">
        <v>2842</v>
      </c>
      <c r="DH123" s="14">
        <v>2</v>
      </c>
      <c r="DI123" s="14" t="s">
        <v>2843</v>
      </c>
      <c r="DJ123" s="14" t="s">
        <v>3548</v>
      </c>
      <c r="DK123" s="87" t="s">
        <v>3901</v>
      </c>
      <c r="DL123" s="87" t="s">
        <v>2846</v>
      </c>
      <c r="DM123" s="14"/>
      <c r="DN123" s="21"/>
      <c r="DO123" s="233"/>
      <c r="DP123" s="21" t="s">
        <v>2894</v>
      </c>
      <c r="DQ123" s="21"/>
      <c r="DR123" s="14"/>
      <c r="DS123" s="14" t="s">
        <v>3058</v>
      </c>
      <c r="DT123" s="14">
        <v>3</v>
      </c>
      <c r="DU123" s="14" t="s">
        <v>3124</v>
      </c>
      <c r="DV123" s="14" t="s">
        <v>3898</v>
      </c>
      <c r="DW123" s="87" t="s">
        <v>3759</v>
      </c>
      <c r="DX123" s="87" t="s">
        <v>4209</v>
      </c>
      <c r="DY123" s="14"/>
      <c r="DZ123" s="233"/>
      <c r="EA123" s="233"/>
      <c r="EB123" s="21" t="s">
        <v>2847</v>
      </c>
      <c r="EC123" s="21"/>
      <c r="ED123" s="14"/>
      <c r="EE123" s="14" t="s">
        <v>3455</v>
      </c>
      <c r="EF123" s="14">
        <v>3</v>
      </c>
      <c r="EG123" s="110" t="s">
        <v>3887</v>
      </c>
      <c r="EH123" s="14" t="s">
        <v>3548</v>
      </c>
      <c r="EI123" s="87" t="s">
        <v>3651</v>
      </c>
      <c r="EJ123" s="87" t="s">
        <v>2848</v>
      </c>
      <c r="EK123" s="14"/>
      <c r="EL123" s="233"/>
      <c r="EM123" s="233"/>
      <c r="EN123" s="21" t="s">
        <v>2845</v>
      </c>
      <c r="EO123" s="21"/>
      <c r="EP123" s="14"/>
      <c r="EQ123" s="14" t="s">
        <v>2842</v>
      </c>
      <c r="ER123" s="14">
        <v>2</v>
      </c>
      <c r="ES123" s="14" t="s">
        <v>2843</v>
      </c>
      <c r="ET123" s="14" t="s">
        <v>3548</v>
      </c>
      <c r="EU123" s="87" t="s">
        <v>3901</v>
      </c>
      <c r="EV123" s="87" t="s">
        <v>2846</v>
      </c>
      <c r="EW123" s="14"/>
      <c r="EX123" s="21"/>
      <c r="EY123" s="233"/>
      <c r="EZ123" s="233"/>
      <c r="FA123" s="233"/>
      <c r="FB123" s="233"/>
      <c r="FC123" s="233"/>
      <c r="FD123" s="233"/>
    </row>
    <row r="124" spans="1:160">
      <c r="A124" s="20" t="s">
        <v>3675</v>
      </c>
      <c r="B124" s="14">
        <v>2</v>
      </c>
      <c r="C124" s="14" t="s">
        <v>3803</v>
      </c>
      <c r="D124" s="14">
        <v>1</v>
      </c>
      <c r="E124" s="110" t="s">
        <v>4211</v>
      </c>
      <c r="F124" s="14" t="s">
        <v>3914</v>
      </c>
      <c r="G124" s="44" t="s">
        <v>3765</v>
      </c>
      <c r="H124" s="44" t="s">
        <v>4209</v>
      </c>
      <c r="I124" s="44" t="s">
        <v>2775</v>
      </c>
      <c r="J124" s="28" t="s">
        <v>5232</v>
      </c>
      <c r="L124" s="21" t="s">
        <v>2692</v>
      </c>
      <c r="M124" s="14"/>
      <c r="N124" s="21"/>
      <c r="O124" s="14" t="s">
        <v>2790</v>
      </c>
      <c r="P124" s="14">
        <v>3</v>
      </c>
      <c r="Q124" s="110" t="s">
        <v>2609</v>
      </c>
      <c r="R124" s="14" t="s">
        <v>3716</v>
      </c>
      <c r="S124" s="44" t="s">
        <v>2693</v>
      </c>
      <c r="T124" s="44" t="s">
        <v>3687</v>
      </c>
      <c r="U124" s="14"/>
      <c r="V124" s="21"/>
      <c r="W124" s="21"/>
      <c r="X124" s="21" t="s">
        <v>2694</v>
      </c>
      <c r="Y124" s="21"/>
      <c r="Z124" s="14"/>
      <c r="AA124" s="14" t="s">
        <v>2990</v>
      </c>
      <c r="AB124" s="14">
        <v>4</v>
      </c>
      <c r="AC124" s="110" t="s">
        <v>3248</v>
      </c>
      <c r="AD124" s="14" t="s">
        <v>3705</v>
      </c>
      <c r="AE124" s="87" t="s">
        <v>3612</v>
      </c>
      <c r="AF124" s="87" t="s">
        <v>3687</v>
      </c>
      <c r="AG124" s="14"/>
      <c r="AH124" s="21"/>
      <c r="AI124" s="21"/>
      <c r="AJ124" s="21" t="s">
        <v>2695</v>
      </c>
      <c r="AK124" s="21"/>
      <c r="AL124" s="14"/>
      <c r="AM124" s="14" t="s">
        <v>3180</v>
      </c>
      <c r="AN124" s="14">
        <v>3</v>
      </c>
      <c r="AO124" s="14" t="s">
        <v>2850</v>
      </c>
      <c r="AP124" s="14" t="s">
        <v>3376</v>
      </c>
      <c r="AQ124" s="87" t="s">
        <v>3743</v>
      </c>
      <c r="AR124" s="87" t="s">
        <v>3859</v>
      </c>
      <c r="AS124" s="14"/>
      <c r="AT124" s="21"/>
      <c r="AU124" s="21"/>
      <c r="AV124" s="21" t="s">
        <v>2849</v>
      </c>
      <c r="AW124" s="21"/>
      <c r="AX124" s="14"/>
      <c r="AY124" s="14" t="s">
        <v>2973</v>
      </c>
      <c r="AZ124" s="14">
        <v>3</v>
      </c>
      <c r="BA124" s="14" t="s">
        <v>2850</v>
      </c>
      <c r="BB124" s="14" t="s">
        <v>3854</v>
      </c>
      <c r="BC124" s="44" t="s">
        <v>3736</v>
      </c>
      <c r="BD124" s="44" t="s">
        <v>3706</v>
      </c>
      <c r="BE124" s="14"/>
      <c r="BF124" s="21"/>
      <c r="BG124" s="21"/>
      <c r="BH124" s="21" t="s">
        <v>2692</v>
      </c>
      <c r="BI124" s="21"/>
      <c r="BJ124" s="14"/>
      <c r="BK124" s="14" t="s">
        <v>2790</v>
      </c>
      <c r="BL124" s="14">
        <v>3</v>
      </c>
      <c r="BM124" s="110" t="s">
        <v>2609</v>
      </c>
      <c r="BN124" s="14" t="s">
        <v>3716</v>
      </c>
      <c r="BO124" s="87" t="s">
        <v>2693</v>
      </c>
      <c r="BP124" s="87" t="s">
        <v>3687</v>
      </c>
      <c r="BQ124" s="14"/>
      <c r="BR124" s="21"/>
      <c r="BS124" s="233"/>
      <c r="BT124" s="21" t="s">
        <v>2527</v>
      </c>
      <c r="BU124" s="21"/>
      <c r="BV124" s="14"/>
      <c r="BW124" s="14" t="s">
        <v>2528</v>
      </c>
      <c r="BX124" s="14">
        <v>3</v>
      </c>
      <c r="BY124" s="110" t="s">
        <v>3516</v>
      </c>
      <c r="BZ124" s="14" t="s">
        <v>3947</v>
      </c>
      <c r="CA124" s="87" t="s">
        <v>3736</v>
      </c>
      <c r="CB124" s="87" t="s">
        <v>2529</v>
      </c>
      <c r="CC124" s="233"/>
      <c r="CD124" s="233"/>
      <c r="CE124" s="233"/>
      <c r="CF124" s="21" t="s">
        <v>2692</v>
      </c>
      <c r="CG124" s="21"/>
      <c r="CH124" s="14"/>
      <c r="CI124" s="14" t="s">
        <v>2790</v>
      </c>
      <c r="CJ124" s="14">
        <v>3</v>
      </c>
      <c r="CK124" s="110" t="s">
        <v>2609</v>
      </c>
      <c r="CL124" s="14" t="s">
        <v>3716</v>
      </c>
      <c r="CM124" s="87" t="s">
        <v>2693</v>
      </c>
      <c r="CN124" s="87" t="s">
        <v>3687</v>
      </c>
      <c r="CO124" s="233"/>
      <c r="CP124" s="233"/>
      <c r="CQ124" s="233"/>
      <c r="CR124" s="21" t="s">
        <v>2694</v>
      </c>
      <c r="CS124" s="21"/>
      <c r="CT124" s="14"/>
      <c r="CU124" s="14" t="s">
        <v>2990</v>
      </c>
      <c r="CV124" s="14">
        <v>4</v>
      </c>
      <c r="CW124" s="110" t="s">
        <v>3248</v>
      </c>
      <c r="CX124" s="14" t="s">
        <v>3705</v>
      </c>
      <c r="CY124" s="87" t="s">
        <v>3612</v>
      </c>
      <c r="CZ124" s="87" t="s">
        <v>3687</v>
      </c>
      <c r="DA124" s="14"/>
      <c r="DB124" s="21"/>
      <c r="DC124" s="233"/>
      <c r="DD124" s="21" t="s">
        <v>2694</v>
      </c>
      <c r="DE124" s="21"/>
      <c r="DF124" s="14"/>
      <c r="DG124" s="14" t="s">
        <v>2990</v>
      </c>
      <c r="DH124" s="14">
        <v>4</v>
      </c>
      <c r="DI124" s="110" t="s">
        <v>3248</v>
      </c>
      <c r="DJ124" s="14" t="s">
        <v>3705</v>
      </c>
      <c r="DK124" s="87" t="s">
        <v>3612</v>
      </c>
      <c r="DL124" s="87" t="s">
        <v>3687</v>
      </c>
      <c r="DM124" s="14"/>
      <c r="DN124" s="21"/>
      <c r="DO124" s="233"/>
      <c r="DP124" s="21"/>
      <c r="DQ124" s="21"/>
      <c r="DR124" s="14"/>
      <c r="DS124" s="14"/>
      <c r="DT124" s="14"/>
      <c r="DU124" s="110"/>
      <c r="DV124" s="14"/>
      <c r="DW124" s="87"/>
      <c r="DX124" s="87"/>
      <c r="DY124" s="14"/>
      <c r="DZ124" s="233"/>
      <c r="EA124" s="233"/>
      <c r="EB124" s="21" t="s">
        <v>2695</v>
      </c>
      <c r="EC124" s="21"/>
      <c r="ED124" s="14"/>
      <c r="EE124" s="14" t="s">
        <v>3180</v>
      </c>
      <c r="EF124" s="14">
        <v>3</v>
      </c>
      <c r="EG124" s="14" t="s">
        <v>2850</v>
      </c>
      <c r="EH124" s="14" t="s">
        <v>3376</v>
      </c>
      <c r="EI124" s="87" t="s">
        <v>3743</v>
      </c>
      <c r="EJ124" s="87" t="s">
        <v>3859</v>
      </c>
      <c r="EK124" s="14"/>
      <c r="EL124" s="233"/>
      <c r="EM124" s="233"/>
      <c r="EN124" s="21" t="s">
        <v>2694</v>
      </c>
      <c r="EO124" s="21"/>
      <c r="EP124" s="14"/>
      <c r="EQ124" s="14" t="s">
        <v>2990</v>
      </c>
      <c r="ER124" s="14">
        <v>4</v>
      </c>
      <c r="ES124" s="110" t="s">
        <v>3248</v>
      </c>
      <c r="ET124" s="14" t="s">
        <v>3705</v>
      </c>
      <c r="EU124" s="87" t="s">
        <v>3612</v>
      </c>
      <c r="EV124" s="87" t="s">
        <v>3687</v>
      </c>
      <c r="EW124" s="14"/>
      <c r="EX124" s="21"/>
      <c r="EY124" s="233"/>
      <c r="EZ124" s="233"/>
      <c r="FA124" s="233"/>
      <c r="FB124" s="233"/>
      <c r="FC124" s="233"/>
      <c r="FD124" s="233"/>
    </row>
    <row r="125" spans="1:160">
      <c r="A125" s="20" t="s">
        <v>3319</v>
      </c>
      <c r="B125" s="14">
        <v>2</v>
      </c>
      <c r="C125" s="14" t="s">
        <v>3320</v>
      </c>
      <c r="D125" s="14">
        <v>2</v>
      </c>
      <c r="E125" s="110" t="s">
        <v>3654</v>
      </c>
      <c r="F125" s="14" t="s">
        <v>3898</v>
      </c>
      <c r="G125" s="44" t="s">
        <v>3321</v>
      </c>
      <c r="H125" s="44" t="s">
        <v>3915</v>
      </c>
      <c r="I125" s="44" t="s">
        <v>3900</v>
      </c>
      <c r="J125" s="28" t="s">
        <v>4369</v>
      </c>
      <c r="L125" s="21" t="s">
        <v>2697</v>
      </c>
      <c r="M125" s="14"/>
      <c r="N125" s="21"/>
      <c r="O125" s="14" t="s">
        <v>2990</v>
      </c>
      <c r="P125" s="14">
        <v>3</v>
      </c>
      <c r="Q125" s="110" t="s">
        <v>3516</v>
      </c>
      <c r="R125" s="14" t="s">
        <v>3376</v>
      </c>
      <c r="S125" s="44" t="s">
        <v>3612</v>
      </c>
      <c r="T125" s="44" t="s">
        <v>4209</v>
      </c>
      <c r="U125" s="14"/>
      <c r="V125" s="21"/>
      <c r="W125" s="21"/>
      <c r="X125" s="21" t="s">
        <v>2697</v>
      </c>
      <c r="Y125" s="21"/>
      <c r="Z125" s="14"/>
      <c r="AA125" s="14" t="s">
        <v>2990</v>
      </c>
      <c r="AB125" s="14">
        <v>3</v>
      </c>
      <c r="AC125" s="110" t="s">
        <v>3516</v>
      </c>
      <c r="AD125" s="14" t="s">
        <v>3376</v>
      </c>
      <c r="AE125" s="87" t="s">
        <v>3612</v>
      </c>
      <c r="AF125" s="87" t="s">
        <v>4209</v>
      </c>
      <c r="AG125" s="14"/>
      <c r="AH125" s="21"/>
      <c r="AI125" s="21"/>
      <c r="AJ125" s="21" t="s">
        <v>2698</v>
      </c>
      <c r="AK125" s="21"/>
      <c r="AL125" s="14"/>
      <c r="AM125" s="14" t="s">
        <v>3180</v>
      </c>
      <c r="AN125" s="14">
        <v>4</v>
      </c>
      <c r="AO125" s="110" t="s">
        <v>3887</v>
      </c>
      <c r="AP125" s="14" t="s">
        <v>3898</v>
      </c>
      <c r="AQ125" s="87" t="s">
        <v>2699</v>
      </c>
      <c r="AR125" s="87" t="s">
        <v>2700</v>
      </c>
      <c r="AS125" s="14"/>
      <c r="AT125" s="21"/>
      <c r="AU125" s="21"/>
      <c r="AV125" s="21" t="s">
        <v>2526</v>
      </c>
      <c r="AW125" s="21"/>
      <c r="AX125" s="14"/>
      <c r="AY125" s="14" t="s">
        <v>2973</v>
      </c>
      <c r="AZ125" s="14">
        <v>2</v>
      </c>
      <c r="BA125" s="14" t="s">
        <v>3792</v>
      </c>
      <c r="BB125" s="14" t="s">
        <v>3914</v>
      </c>
      <c r="BC125" s="87" t="s">
        <v>3759</v>
      </c>
      <c r="BD125" s="87" t="s">
        <v>3286</v>
      </c>
      <c r="BE125" s="14"/>
      <c r="BF125" s="21"/>
      <c r="BG125" s="21"/>
      <c r="BH125" s="21" t="s">
        <v>2703</v>
      </c>
      <c r="BI125" s="21"/>
      <c r="BJ125" s="14"/>
      <c r="BK125" s="14" t="s">
        <v>2852</v>
      </c>
      <c r="BL125" s="14">
        <v>2</v>
      </c>
      <c r="BM125" s="110" t="s">
        <v>3701</v>
      </c>
      <c r="BN125" s="14" t="s">
        <v>3414</v>
      </c>
      <c r="BO125" s="87" t="s">
        <v>3736</v>
      </c>
      <c r="BP125" s="87" t="s">
        <v>2704</v>
      </c>
      <c r="BQ125" s="14"/>
      <c r="BR125" s="21"/>
      <c r="BS125" s="233"/>
      <c r="BT125" s="21" t="s">
        <v>2697</v>
      </c>
      <c r="BU125" s="21"/>
      <c r="BV125" s="14"/>
      <c r="BW125" s="14" t="s">
        <v>2990</v>
      </c>
      <c r="BX125" s="14">
        <v>3</v>
      </c>
      <c r="BY125" s="110" t="s">
        <v>3516</v>
      </c>
      <c r="BZ125" s="14" t="s">
        <v>3376</v>
      </c>
      <c r="CA125" s="87" t="s">
        <v>3612</v>
      </c>
      <c r="CB125" s="87" t="s">
        <v>4209</v>
      </c>
      <c r="CC125" s="233"/>
      <c r="CD125" s="233"/>
      <c r="CE125" s="233"/>
      <c r="CF125" s="21" t="s">
        <v>2703</v>
      </c>
      <c r="CG125" s="21"/>
      <c r="CH125" s="14"/>
      <c r="CI125" s="14" t="s">
        <v>2852</v>
      </c>
      <c r="CJ125" s="14">
        <v>2</v>
      </c>
      <c r="CK125" s="110" t="s">
        <v>3701</v>
      </c>
      <c r="CL125" s="14" t="s">
        <v>3414</v>
      </c>
      <c r="CM125" s="87" t="s">
        <v>3736</v>
      </c>
      <c r="CN125" s="87" t="s">
        <v>2704</v>
      </c>
      <c r="CO125" s="233"/>
      <c r="CP125" s="233"/>
      <c r="CQ125" s="233"/>
      <c r="CR125" s="21" t="s">
        <v>2697</v>
      </c>
      <c r="CS125" s="21"/>
      <c r="CT125" s="14"/>
      <c r="CU125" s="14" t="s">
        <v>2990</v>
      </c>
      <c r="CV125" s="14">
        <v>3</v>
      </c>
      <c r="CW125" s="110" t="s">
        <v>3516</v>
      </c>
      <c r="CX125" s="14" t="s">
        <v>3376</v>
      </c>
      <c r="CY125" s="87" t="s">
        <v>3612</v>
      </c>
      <c r="CZ125" s="87" t="s">
        <v>4209</v>
      </c>
      <c r="DA125" s="14"/>
      <c r="DB125" s="21"/>
      <c r="DC125" s="233"/>
      <c r="DD125" s="21" t="s">
        <v>2697</v>
      </c>
      <c r="DE125" s="21"/>
      <c r="DF125" s="14"/>
      <c r="DG125" s="14" t="s">
        <v>2990</v>
      </c>
      <c r="DH125" s="14">
        <v>3</v>
      </c>
      <c r="DI125" s="110" t="s">
        <v>3516</v>
      </c>
      <c r="DJ125" s="14" t="s">
        <v>3376</v>
      </c>
      <c r="DK125" s="87" t="s">
        <v>3612</v>
      </c>
      <c r="DL125" s="87" t="s">
        <v>4209</v>
      </c>
      <c r="DM125" s="14"/>
      <c r="DN125" s="21"/>
      <c r="DO125" s="233"/>
      <c r="DP125" s="21"/>
      <c r="DQ125" s="21"/>
      <c r="DR125" s="14"/>
      <c r="DS125" s="14"/>
      <c r="DT125" s="14"/>
      <c r="DU125" s="110"/>
      <c r="DV125" s="14"/>
      <c r="DW125" s="87"/>
      <c r="DX125" s="87"/>
      <c r="DY125" s="14"/>
      <c r="DZ125" s="233"/>
      <c r="EA125" s="233"/>
      <c r="EB125" s="21" t="s">
        <v>2698</v>
      </c>
      <c r="EC125" s="21"/>
      <c r="ED125" s="14"/>
      <c r="EE125" s="14" t="s">
        <v>3180</v>
      </c>
      <c r="EF125" s="14">
        <v>4</v>
      </c>
      <c r="EG125" s="110" t="s">
        <v>3887</v>
      </c>
      <c r="EH125" s="14" t="s">
        <v>3898</v>
      </c>
      <c r="EI125" s="87" t="s">
        <v>2699</v>
      </c>
      <c r="EJ125" s="87" t="s">
        <v>2700</v>
      </c>
      <c r="EK125" s="14"/>
      <c r="EL125" s="233"/>
      <c r="EM125" s="233"/>
      <c r="EN125" s="21" t="s">
        <v>2697</v>
      </c>
      <c r="EO125" s="21"/>
      <c r="EP125" s="14"/>
      <c r="EQ125" s="14" t="s">
        <v>2990</v>
      </c>
      <c r="ER125" s="14">
        <v>3</v>
      </c>
      <c r="ES125" s="110" t="s">
        <v>3516</v>
      </c>
      <c r="ET125" s="14" t="s">
        <v>3376</v>
      </c>
      <c r="EU125" s="87" t="s">
        <v>3612</v>
      </c>
      <c r="EV125" s="87" t="s">
        <v>4209</v>
      </c>
      <c r="EW125" s="14"/>
      <c r="EX125" s="21"/>
      <c r="EY125" s="233"/>
      <c r="EZ125" s="233"/>
      <c r="FA125" s="233"/>
      <c r="FB125" s="233"/>
      <c r="FC125" s="233"/>
      <c r="FD125" s="233"/>
    </row>
    <row r="126" spans="1:160">
      <c r="A126" s="20" t="s">
        <v>3614</v>
      </c>
      <c r="B126" s="14">
        <v>2</v>
      </c>
      <c r="C126" s="5" t="s">
        <v>3615</v>
      </c>
      <c r="D126" s="14">
        <v>1</v>
      </c>
      <c r="E126" s="110" t="s">
        <v>3807</v>
      </c>
      <c r="F126" s="14" t="s">
        <v>3898</v>
      </c>
      <c r="G126" s="44" t="s">
        <v>3616</v>
      </c>
      <c r="H126" s="44" t="s">
        <v>3449</v>
      </c>
      <c r="I126" s="44" t="s">
        <v>3900</v>
      </c>
      <c r="J126" s="28" t="s">
        <v>4773</v>
      </c>
      <c r="L126" s="21" t="s">
        <v>2705</v>
      </c>
      <c r="M126" s="14"/>
      <c r="N126" s="21"/>
      <c r="O126" s="14" t="s">
        <v>2964</v>
      </c>
      <c r="P126" s="14" t="s">
        <v>5036</v>
      </c>
      <c r="Q126" s="14" t="s">
        <v>2927</v>
      </c>
      <c r="R126" s="14" t="s">
        <v>3914</v>
      </c>
      <c r="S126" s="44" t="s">
        <v>3759</v>
      </c>
      <c r="T126" s="44" t="s">
        <v>3728</v>
      </c>
      <c r="U126" s="14"/>
      <c r="V126" s="21"/>
      <c r="W126" s="21"/>
      <c r="X126" s="21" t="s">
        <v>2706</v>
      </c>
      <c r="Y126" s="21"/>
      <c r="Z126" s="14"/>
      <c r="AA126" s="14" t="s">
        <v>2990</v>
      </c>
      <c r="AB126" s="14">
        <v>1</v>
      </c>
      <c r="AC126" s="14" t="s">
        <v>2707</v>
      </c>
      <c r="AD126" s="14" t="s">
        <v>2959</v>
      </c>
      <c r="AE126" s="87" t="s">
        <v>3906</v>
      </c>
      <c r="AF126" s="87" t="s">
        <v>2708</v>
      </c>
      <c r="AG126" s="14"/>
      <c r="AH126" s="21"/>
      <c r="AI126" s="21"/>
      <c r="AJ126" s="21" t="s">
        <v>2709</v>
      </c>
      <c r="AK126" s="21"/>
      <c r="AL126" s="14"/>
      <c r="AM126" s="14" t="s">
        <v>2785</v>
      </c>
      <c r="AN126" s="14">
        <v>5</v>
      </c>
      <c r="AO126" s="110" t="s">
        <v>3272</v>
      </c>
      <c r="AP126" s="14" t="s">
        <v>3898</v>
      </c>
      <c r="AQ126" s="87" t="s">
        <v>2710</v>
      </c>
      <c r="AR126" s="87" t="s">
        <v>2711</v>
      </c>
      <c r="AS126" s="14"/>
      <c r="AT126" s="21"/>
      <c r="AU126" s="21"/>
      <c r="AV126" s="21" t="s">
        <v>2701</v>
      </c>
      <c r="AW126" s="21"/>
      <c r="AX126" s="14"/>
      <c r="AY126" s="14" t="s">
        <v>2973</v>
      </c>
      <c r="AZ126" s="14">
        <v>3</v>
      </c>
      <c r="BA126" s="110" t="s">
        <v>3701</v>
      </c>
      <c r="BB126" s="14" t="s">
        <v>3898</v>
      </c>
      <c r="BC126" s="87" t="s">
        <v>3420</v>
      </c>
      <c r="BD126" s="87" t="s">
        <v>2702</v>
      </c>
      <c r="BE126" s="14"/>
      <c r="BF126" s="21"/>
      <c r="BG126" s="21"/>
      <c r="BH126" s="21" t="s">
        <v>2712</v>
      </c>
      <c r="BI126" s="21"/>
      <c r="BJ126" s="14"/>
      <c r="BK126" s="14" t="s">
        <v>2713</v>
      </c>
      <c r="BL126" s="14" t="s">
        <v>3884</v>
      </c>
      <c r="BM126" s="14" t="s">
        <v>3221</v>
      </c>
      <c r="BN126" s="14" t="s">
        <v>3898</v>
      </c>
      <c r="BO126" s="87" t="s">
        <v>3420</v>
      </c>
      <c r="BP126" s="87" t="s">
        <v>2714</v>
      </c>
      <c r="BQ126" s="14"/>
      <c r="BR126" s="21"/>
      <c r="BS126" s="233"/>
      <c r="BT126" s="21" t="s">
        <v>2873</v>
      </c>
      <c r="BU126" s="21"/>
      <c r="BV126" s="14"/>
      <c r="BW126" s="14" t="s">
        <v>2528</v>
      </c>
      <c r="BX126" s="14">
        <v>8</v>
      </c>
      <c r="BY126" s="14" t="s">
        <v>3526</v>
      </c>
      <c r="BZ126" s="14" t="s">
        <v>3898</v>
      </c>
      <c r="CA126" s="87" t="s">
        <v>2874</v>
      </c>
      <c r="CB126" s="87" t="s">
        <v>2875</v>
      </c>
      <c r="CC126" s="233"/>
      <c r="CD126" s="233"/>
      <c r="CE126" s="233"/>
      <c r="CF126" s="21" t="s">
        <v>2712</v>
      </c>
      <c r="CG126" s="21"/>
      <c r="CH126" s="14"/>
      <c r="CI126" s="14" t="s">
        <v>2713</v>
      </c>
      <c r="CJ126" s="14" t="s">
        <v>3884</v>
      </c>
      <c r="CK126" s="14" t="s">
        <v>3221</v>
      </c>
      <c r="CL126" s="14" t="s">
        <v>3898</v>
      </c>
      <c r="CM126" s="87" t="s">
        <v>3420</v>
      </c>
      <c r="CN126" s="87" t="s">
        <v>2714</v>
      </c>
      <c r="CO126" s="233"/>
      <c r="CP126" s="233"/>
      <c r="CQ126" s="233"/>
      <c r="CR126" s="21" t="s">
        <v>2706</v>
      </c>
      <c r="CS126" s="21"/>
      <c r="CT126" s="14"/>
      <c r="CU126" s="14" t="s">
        <v>2990</v>
      </c>
      <c r="CV126" s="14">
        <v>1</v>
      </c>
      <c r="CW126" s="14" t="s">
        <v>2707</v>
      </c>
      <c r="CX126" s="14" t="s">
        <v>2959</v>
      </c>
      <c r="CY126" s="87" t="s">
        <v>3906</v>
      </c>
      <c r="CZ126" s="87" t="s">
        <v>2708</v>
      </c>
      <c r="DA126" s="14"/>
      <c r="DB126" s="21"/>
      <c r="DC126" s="233"/>
      <c r="DD126" s="21" t="s">
        <v>2706</v>
      </c>
      <c r="DE126" s="21"/>
      <c r="DF126" s="14"/>
      <c r="DG126" s="14" t="s">
        <v>2990</v>
      </c>
      <c r="DH126" s="14">
        <v>1</v>
      </c>
      <c r="DI126" s="14" t="s">
        <v>2707</v>
      </c>
      <c r="DJ126" s="14" t="s">
        <v>2959</v>
      </c>
      <c r="DK126" s="87" t="s">
        <v>3906</v>
      </c>
      <c r="DL126" s="87" t="s">
        <v>2708</v>
      </c>
      <c r="DM126" s="14"/>
      <c r="DN126" s="21"/>
      <c r="DO126" s="233"/>
      <c r="DP126" s="21"/>
      <c r="DQ126" s="21"/>
      <c r="DR126" s="14"/>
      <c r="DS126" s="14"/>
      <c r="DT126" s="14"/>
      <c r="DU126" s="14"/>
      <c r="DV126" s="14"/>
      <c r="DW126" s="87"/>
      <c r="DX126" s="87"/>
      <c r="DY126" s="14"/>
      <c r="DZ126" s="233"/>
      <c r="EA126" s="233"/>
      <c r="EB126" s="21" t="s">
        <v>2709</v>
      </c>
      <c r="EC126" s="21"/>
      <c r="ED126" s="14"/>
      <c r="EE126" s="14" t="s">
        <v>2785</v>
      </c>
      <c r="EF126" s="14">
        <v>5</v>
      </c>
      <c r="EG126" s="110" t="s">
        <v>3272</v>
      </c>
      <c r="EH126" s="14" t="s">
        <v>3898</v>
      </c>
      <c r="EI126" s="87" t="s">
        <v>2710</v>
      </c>
      <c r="EJ126" s="87" t="s">
        <v>2711</v>
      </c>
      <c r="EK126" s="14"/>
      <c r="EL126" s="233"/>
      <c r="EM126" s="233"/>
      <c r="EN126" s="21" t="s">
        <v>2706</v>
      </c>
      <c r="EO126" s="21"/>
      <c r="EP126" s="14"/>
      <c r="EQ126" s="14" t="s">
        <v>2990</v>
      </c>
      <c r="ER126" s="14">
        <v>1</v>
      </c>
      <c r="ES126" s="14" t="s">
        <v>2707</v>
      </c>
      <c r="ET126" s="14" t="s">
        <v>2959</v>
      </c>
      <c r="EU126" s="87" t="s">
        <v>3906</v>
      </c>
      <c r="EV126" s="87" t="s">
        <v>2708</v>
      </c>
      <c r="EW126" s="14"/>
      <c r="EX126" s="21"/>
      <c r="EY126" s="233"/>
      <c r="EZ126" s="233"/>
      <c r="FA126" s="233"/>
      <c r="FB126" s="233"/>
      <c r="FC126" s="233"/>
      <c r="FD126" s="233"/>
    </row>
    <row r="127" spans="1:160">
      <c r="A127" s="20" t="s">
        <v>3492</v>
      </c>
      <c r="B127" s="14">
        <v>2</v>
      </c>
      <c r="C127" s="14" t="s">
        <v>3505</v>
      </c>
      <c r="D127" s="14">
        <v>1</v>
      </c>
      <c r="E127" s="110" t="s">
        <v>3749</v>
      </c>
      <c r="F127" s="14" t="s">
        <v>3851</v>
      </c>
      <c r="G127" s="111" t="s">
        <v>3843</v>
      </c>
      <c r="H127" s="111" t="s">
        <v>3496</v>
      </c>
      <c r="I127" s="44">
        <v>6</v>
      </c>
      <c r="J127" s="28" t="s">
        <v>4369</v>
      </c>
      <c r="L127" s="21" t="s">
        <v>2876</v>
      </c>
      <c r="M127" s="14"/>
      <c r="N127" s="21"/>
      <c r="O127" s="14" t="s">
        <v>2528</v>
      </c>
      <c r="P127" s="14">
        <v>2</v>
      </c>
      <c r="Q127" s="14" t="s">
        <v>3887</v>
      </c>
      <c r="R127" s="14" t="s">
        <v>3548</v>
      </c>
      <c r="S127" s="44" t="s">
        <v>3736</v>
      </c>
      <c r="T127" s="44" t="s">
        <v>2877</v>
      </c>
      <c r="U127" s="14"/>
      <c r="V127" s="21"/>
      <c r="W127" s="21"/>
      <c r="X127" s="21" t="s">
        <v>3044</v>
      </c>
      <c r="Y127" s="21"/>
      <c r="Z127" s="14"/>
      <c r="AA127" s="14" t="s">
        <v>2842</v>
      </c>
      <c r="AB127" s="14">
        <v>4</v>
      </c>
      <c r="AC127" s="14" t="s">
        <v>3045</v>
      </c>
      <c r="AD127" s="14" t="s">
        <v>3548</v>
      </c>
      <c r="AE127" s="87" t="s">
        <v>3730</v>
      </c>
      <c r="AF127" s="87" t="s">
        <v>3706</v>
      </c>
      <c r="AG127" s="14"/>
      <c r="AH127" s="21"/>
      <c r="AI127" s="21"/>
      <c r="AJ127" s="21" t="s">
        <v>2879</v>
      </c>
      <c r="AK127" s="21"/>
      <c r="AL127" s="14"/>
      <c r="AM127" s="14" t="s">
        <v>2785</v>
      </c>
      <c r="AN127" s="14">
        <v>1</v>
      </c>
      <c r="AO127" s="14" t="s">
        <v>3045</v>
      </c>
      <c r="AP127" s="14" t="s">
        <v>3716</v>
      </c>
      <c r="AQ127" s="87" t="s">
        <v>3809</v>
      </c>
      <c r="AR127" s="87" t="s">
        <v>3915</v>
      </c>
      <c r="AS127" s="14"/>
      <c r="AT127" s="21"/>
      <c r="AU127" s="21"/>
      <c r="AV127" s="21" t="s">
        <v>2527</v>
      </c>
      <c r="AW127" s="21"/>
      <c r="AX127" s="14"/>
      <c r="AY127" s="14" t="s">
        <v>2528</v>
      </c>
      <c r="AZ127" s="14">
        <v>3</v>
      </c>
      <c r="BA127" s="110" t="s">
        <v>3516</v>
      </c>
      <c r="BB127" s="14" t="s">
        <v>3947</v>
      </c>
      <c r="BC127" s="87" t="s">
        <v>3736</v>
      </c>
      <c r="BD127" s="87" t="s">
        <v>2529</v>
      </c>
      <c r="BE127" s="14"/>
      <c r="BF127" s="21"/>
      <c r="BG127" s="21"/>
      <c r="BH127" s="21" t="s">
        <v>2880</v>
      </c>
      <c r="BI127" s="21"/>
      <c r="BJ127" s="14"/>
      <c r="BK127" s="14" t="s">
        <v>2790</v>
      </c>
      <c r="BL127" s="14">
        <v>1</v>
      </c>
      <c r="BM127" s="14" t="s">
        <v>3887</v>
      </c>
      <c r="BN127" s="14" t="s">
        <v>3716</v>
      </c>
      <c r="BO127" s="87" t="s">
        <v>3736</v>
      </c>
      <c r="BP127" s="87" t="s">
        <v>3488</v>
      </c>
      <c r="BQ127" s="14"/>
      <c r="BR127" s="21"/>
      <c r="BS127" s="233"/>
      <c r="BT127" s="21" t="s">
        <v>2881</v>
      </c>
      <c r="BU127" s="21"/>
      <c r="BV127" s="14"/>
      <c r="BW127" s="112" t="s">
        <v>3840</v>
      </c>
      <c r="BX127" s="14">
        <v>3</v>
      </c>
      <c r="BY127" s="106" t="s">
        <v>3233</v>
      </c>
      <c r="BZ127" s="14" t="s">
        <v>3898</v>
      </c>
      <c r="CA127" s="87" t="s">
        <v>3570</v>
      </c>
      <c r="CB127" s="44" t="s">
        <v>2882</v>
      </c>
      <c r="CC127" s="233"/>
      <c r="CD127" s="233"/>
      <c r="CE127" s="233"/>
      <c r="CF127" s="21" t="s">
        <v>2880</v>
      </c>
      <c r="CG127" s="21"/>
      <c r="CH127" s="14"/>
      <c r="CI127" s="14" t="s">
        <v>2790</v>
      </c>
      <c r="CJ127" s="14">
        <v>1</v>
      </c>
      <c r="CK127" s="14" t="s">
        <v>3887</v>
      </c>
      <c r="CL127" s="14" t="s">
        <v>3716</v>
      </c>
      <c r="CM127" s="87" t="s">
        <v>3736</v>
      </c>
      <c r="CN127" s="87" t="s">
        <v>3488</v>
      </c>
      <c r="CO127" s="233"/>
      <c r="CP127" s="233"/>
      <c r="CQ127" s="233"/>
      <c r="CR127" s="21" t="s">
        <v>3044</v>
      </c>
      <c r="CS127" s="21"/>
      <c r="CT127" s="14"/>
      <c r="CU127" s="14" t="s">
        <v>2842</v>
      </c>
      <c r="CV127" s="14">
        <v>4</v>
      </c>
      <c r="CW127" s="14" t="s">
        <v>3045</v>
      </c>
      <c r="CX127" s="14" t="s">
        <v>3548</v>
      </c>
      <c r="CY127" s="87" t="s">
        <v>3730</v>
      </c>
      <c r="CZ127" s="87" t="s">
        <v>3706</v>
      </c>
      <c r="DA127" s="14"/>
      <c r="DB127" s="21"/>
      <c r="DC127" s="233"/>
      <c r="DD127" s="21" t="s">
        <v>3044</v>
      </c>
      <c r="DE127" s="21"/>
      <c r="DF127" s="14"/>
      <c r="DG127" s="14" t="s">
        <v>2842</v>
      </c>
      <c r="DH127" s="14">
        <v>4</v>
      </c>
      <c r="DI127" s="14" t="s">
        <v>3045</v>
      </c>
      <c r="DJ127" s="14" t="s">
        <v>3548</v>
      </c>
      <c r="DK127" s="87" t="s">
        <v>3730</v>
      </c>
      <c r="DL127" s="87" t="s">
        <v>3706</v>
      </c>
      <c r="DM127" s="14"/>
      <c r="DN127" s="21"/>
      <c r="DO127" s="233"/>
      <c r="DP127" s="21"/>
      <c r="DQ127" s="21"/>
      <c r="DR127" s="14"/>
      <c r="DS127" s="14"/>
      <c r="DT127" s="14"/>
      <c r="DU127" s="14"/>
      <c r="DV127" s="14"/>
      <c r="DW127" s="87"/>
      <c r="DX127" s="87"/>
      <c r="DY127" s="14"/>
      <c r="DZ127" s="233"/>
      <c r="EA127" s="233"/>
      <c r="EB127" s="21" t="s">
        <v>2879</v>
      </c>
      <c r="EC127" s="21"/>
      <c r="ED127" s="14"/>
      <c r="EE127" s="14" t="s">
        <v>2785</v>
      </c>
      <c r="EF127" s="14">
        <v>1</v>
      </c>
      <c r="EG127" s="14" t="s">
        <v>3045</v>
      </c>
      <c r="EH127" s="14" t="s">
        <v>3716</v>
      </c>
      <c r="EI127" s="87" t="s">
        <v>3809</v>
      </c>
      <c r="EJ127" s="87" t="s">
        <v>3915</v>
      </c>
      <c r="EK127" s="14"/>
      <c r="EL127" s="233"/>
      <c r="EM127" s="233"/>
      <c r="EN127" s="21" t="s">
        <v>3044</v>
      </c>
      <c r="EO127" s="21"/>
      <c r="EP127" s="14"/>
      <c r="EQ127" s="14" t="s">
        <v>2842</v>
      </c>
      <c r="ER127" s="14">
        <v>4</v>
      </c>
      <c r="ES127" s="14" t="s">
        <v>3045</v>
      </c>
      <c r="ET127" s="14" t="s">
        <v>3548</v>
      </c>
      <c r="EU127" s="87" t="s">
        <v>3730</v>
      </c>
      <c r="EV127" s="87" t="s">
        <v>3706</v>
      </c>
      <c r="EW127" s="14"/>
      <c r="EX127" s="21"/>
      <c r="EY127" s="233"/>
      <c r="EZ127" s="233"/>
      <c r="FA127" s="233"/>
      <c r="FB127" s="233"/>
      <c r="FC127" s="233"/>
      <c r="FD127" s="233"/>
    </row>
    <row r="128" spans="1:160">
      <c r="A128" s="20" t="s">
        <v>3499</v>
      </c>
      <c r="B128" s="14">
        <v>2</v>
      </c>
      <c r="C128" s="14" t="s">
        <v>3320</v>
      </c>
      <c r="D128" s="14" t="s">
        <v>5036</v>
      </c>
      <c r="E128" s="14" t="s">
        <v>3415</v>
      </c>
      <c r="F128" s="14" t="s">
        <v>3716</v>
      </c>
      <c r="G128" s="44" t="s">
        <v>3736</v>
      </c>
      <c r="H128" s="44" t="s">
        <v>3488</v>
      </c>
      <c r="I128" s="44" t="s">
        <v>3900</v>
      </c>
      <c r="J128" s="28" t="s">
        <v>4369</v>
      </c>
      <c r="L128" s="21" t="s">
        <v>2706</v>
      </c>
      <c r="M128" s="14"/>
      <c r="N128" s="21"/>
      <c r="O128" s="14" t="s">
        <v>2990</v>
      </c>
      <c r="P128" s="14">
        <v>1</v>
      </c>
      <c r="Q128" s="14" t="s">
        <v>2707</v>
      </c>
      <c r="R128" s="14" t="s">
        <v>2959</v>
      </c>
      <c r="S128" s="44" t="s">
        <v>3906</v>
      </c>
      <c r="T128" s="44" t="s">
        <v>2708</v>
      </c>
      <c r="U128" s="14"/>
      <c r="V128" s="21"/>
      <c r="W128" s="21"/>
      <c r="X128" s="21" t="s">
        <v>2883</v>
      </c>
      <c r="Y128" s="21"/>
      <c r="Z128" s="14"/>
      <c r="AA128" s="14" t="s">
        <v>2842</v>
      </c>
      <c r="AB128" s="14">
        <v>4</v>
      </c>
      <c r="AC128" s="110" t="s">
        <v>2884</v>
      </c>
      <c r="AD128" s="14" t="s">
        <v>3140</v>
      </c>
      <c r="AE128" s="87" t="s">
        <v>3678</v>
      </c>
      <c r="AF128" s="87" t="s">
        <v>2885</v>
      </c>
      <c r="AG128" s="14"/>
      <c r="AH128" s="21"/>
      <c r="AI128" s="21"/>
      <c r="AJ128" s="21" t="s">
        <v>2892</v>
      </c>
      <c r="AK128" s="21"/>
      <c r="AL128" s="14"/>
      <c r="AM128" s="14" t="s">
        <v>3180</v>
      </c>
      <c r="AN128" s="14">
        <v>2</v>
      </c>
      <c r="AO128" s="14" t="s">
        <v>3887</v>
      </c>
      <c r="AP128" s="14" t="s">
        <v>3979</v>
      </c>
      <c r="AQ128" s="87" t="s">
        <v>3759</v>
      </c>
      <c r="AR128" s="233"/>
      <c r="AS128" s="14"/>
      <c r="AT128" s="21"/>
      <c r="AU128" s="21"/>
      <c r="AV128" s="21" t="s">
        <v>2873</v>
      </c>
      <c r="AW128" s="21"/>
      <c r="AX128" s="14"/>
      <c r="AY128" s="14" t="s">
        <v>2528</v>
      </c>
      <c r="AZ128" s="14">
        <v>8</v>
      </c>
      <c r="BA128" s="14" t="s">
        <v>3526</v>
      </c>
      <c r="BB128" s="14" t="s">
        <v>3898</v>
      </c>
      <c r="BC128" s="87" t="s">
        <v>2874</v>
      </c>
      <c r="BD128" s="87" t="s">
        <v>2875</v>
      </c>
      <c r="BE128" s="14"/>
      <c r="BF128" s="21"/>
      <c r="BG128" s="21"/>
      <c r="BH128" s="21" t="s">
        <v>2893</v>
      </c>
      <c r="BI128" s="21"/>
      <c r="BJ128" s="14"/>
      <c r="BK128" s="14" t="s">
        <v>2852</v>
      </c>
      <c r="BL128" s="14">
        <v>1</v>
      </c>
      <c r="BM128" s="14" t="s">
        <v>3356</v>
      </c>
      <c r="BN128" s="14" t="s">
        <v>3716</v>
      </c>
      <c r="BO128" s="87" t="s">
        <v>3736</v>
      </c>
      <c r="BP128" s="87" t="s">
        <v>3286</v>
      </c>
      <c r="BQ128" s="14"/>
      <c r="BR128" s="21"/>
      <c r="BS128" s="233"/>
      <c r="BT128" s="21" t="s">
        <v>2894</v>
      </c>
      <c r="BU128" s="21"/>
      <c r="BV128" s="14"/>
      <c r="BW128" s="14" t="s">
        <v>3058</v>
      </c>
      <c r="BX128" s="14">
        <v>3</v>
      </c>
      <c r="BY128" s="14" t="s">
        <v>3124</v>
      </c>
      <c r="BZ128" s="14" t="s">
        <v>3898</v>
      </c>
      <c r="CA128" s="87" t="s">
        <v>3759</v>
      </c>
      <c r="CB128" s="87" t="s">
        <v>4209</v>
      </c>
      <c r="CC128" s="233"/>
      <c r="CD128" s="233"/>
      <c r="CE128" s="233"/>
      <c r="CF128" s="21" t="s">
        <v>2893</v>
      </c>
      <c r="CG128" s="21"/>
      <c r="CH128" s="14"/>
      <c r="CI128" s="14" t="s">
        <v>2852</v>
      </c>
      <c r="CJ128" s="14">
        <v>1</v>
      </c>
      <c r="CK128" s="14" t="s">
        <v>3356</v>
      </c>
      <c r="CL128" s="14" t="s">
        <v>3716</v>
      </c>
      <c r="CM128" s="87" t="s">
        <v>3736</v>
      </c>
      <c r="CN128" s="87" t="s">
        <v>3286</v>
      </c>
      <c r="CO128" s="233"/>
      <c r="CP128" s="233"/>
      <c r="CQ128" s="233"/>
      <c r="CR128" s="21" t="s">
        <v>2883</v>
      </c>
      <c r="CS128" s="21"/>
      <c r="CT128" s="14"/>
      <c r="CU128" s="14" t="s">
        <v>2842</v>
      </c>
      <c r="CV128" s="14">
        <v>4</v>
      </c>
      <c r="CW128" s="110" t="s">
        <v>2884</v>
      </c>
      <c r="CX128" s="14" t="s">
        <v>3140</v>
      </c>
      <c r="CY128" s="87" t="s">
        <v>3678</v>
      </c>
      <c r="CZ128" s="87" t="s">
        <v>2885</v>
      </c>
      <c r="DA128" s="14"/>
      <c r="DB128" s="21"/>
      <c r="DC128" s="233"/>
      <c r="DD128" s="21" t="s">
        <v>2883</v>
      </c>
      <c r="DE128" s="21"/>
      <c r="DF128" s="14"/>
      <c r="DG128" s="14" t="s">
        <v>2842</v>
      </c>
      <c r="DH128" s="14">
        <v>4</v>
      </c>
      <c r="DI128" s="110" t="s">
        <v>2884</v>
      </c>
      <c r="DJ128" s="14" t="s">
        <v>3140</v>
      </c>
      <c r="DK128" s="87" t="s">
        <v>3678</v>
      </c>
      <c r="DL128" s="87" t="s">
        <v>2885</v>
      </c>
      <c r="DM128" s="14"/>
      <c r="DN128" s="21"/>
      <c r="DO128" s="233"/>
      <c r="DP128" s="21"/>
      <c r="DQ128" s="21"/>
      <c r="DR128" s="14"/>
      <c r="DS128" s="14"/>
      <c r="DT128" s="14"/>
      <c r="DU128" s="110"/>
      <c r="DV128" s="14"/>
      <c r="DW128" s="87"/>
      <c r="DX128" s="87"/>
      <c r="DY128" s="14"/>
      <c r="DZ128" s="233"/>
      <c r="EA128" s="233"/>
      <c r="EB128" s="21" t="s">
        <v>2892</v>
      </c>
      <c r="EC128" s="21"/>
      <c r="ED128" s="14"/>
      <c r="EE128" s="14" t="s">
        <v>3180</v>
      </c>
      <c r="EF128" s="14">
        <v>2</v>
      </c>
      <c r="EG128" s="14" t="s">
        <v>3887</v>
      </c>
      <c r="EH128" s="14" t="s">
        <v>3979</v>
      </c>
      <c r="EI128" s="87" t="s">
        <v>3759</v>
      </c>
      <c r="EJ128" s="233"/>
      <c r="EK128" s="14"/>
      <c r="EL128" s="233"/>
      <c r="EM128" s="233"/>
      <c r="EN128" s="21" t="s">
        <v>2883</v>
      </c>
      <c r="EO128" s="21"/>
      <c r="EP128" s="14"/>
      <c r="EQ128" s="14" t="s">
        <v>2842</v>
      </c>
      <c r="ER128" s="14">
        <v>4</v>
      </c>
      <c r="ES128" s="110" t="s">
        <v>2884</v>
      </c>
      <c r="ET128" s="14" t="s">
        <v>3140</v>
      </c>
      <c r="EU128" s="87" t="s">
        <v>3678</v>
      </c>
      <c r="EV128" s="87" t="s">
        <v>2885</v>
      </c>
      <c r="EW128" s="14"/>
      <c r="EX128" s="21"/>
      <c r="EY128" s="233"/>
      <c r="EZ128" s="233"/>
      <c r="FA128" s="233"/>
      <c r="FB128" s="233"/>
      <c r="FC128" s="233"/>
      <c r="FD128" s="233"/>
    </row>
    <row r="129" spans="1:160">
      <c r="A129" s="20" t="s">
        <v>3613</v>
      </c>
      <c r="B129" s="14">
        <v>2</v>
      </c>
      <c r="C129" s="14" t="s">
        <v>3546</v>
      </c>
      <c r="D129" s="14">
        <v>1</v>
      </c>
      <c r="E129" s="110" t="s">
        <v>3925</v>
      </c>
      <c r="F129" s="14" t="s">
        <v>3573</v>
      </c>
      <c r="G129" s="44" t="s">
        <v>3759</v>
      </c>
      <c r="H129" s="44" t="s">
        <v>3915</v>
      </c>
      <c r="I129" s="44" t="s">
        <v>3916</v>
      </c>
      <c r="J129" s="28" t="s">
        <v>3890</v>
      </c>
      <c r="L129" s="21" t="s">
        <v>3059</v>
      </c>
      <c r="M129" s="14"/>
      <c r="N129" s="21"/>
      <c r="O129" s="14" t="s">
        <v>2842</v>
      </c>
      <c r="P129" s="14">
        <v>2</v>
      </c>
      <c r="Q129" s="14" t="s">
        <v>3887</v>
      </c>
      <c r="R129" s="14" t="s">
        <v>3947</v>
      </c>
      <c r="S129" s="44" t="s">
        <v>3843</v>
      </c>
      <c r="T129" s="44" t="s">
        <v>5483</v>
      </c>
      <c r="U129" s="14"/>
      <c r="V129" s="21"/>
      <c r="W129" s="21"/>
      <c r="X129" s="21" t="s">
        <v>3059</v>
      </c>
      <c r="Y129" s="21"/>
      <c r="Z129" s="14"/>
      <c r="AA129" s="14" t="s">
        <v>2842</v>
      </c>
      <c r="AB129" s="14">
        <v>2</v>
      </c>
      <c r="AC129" s="14" t="s">
        <v>3887</v>
      </c>
      <c r="AD129" s="14" t="s">
        <v>3947</v>
      </c>
      <c r="AE129" s="87" t="s">
        <v>3843</v>
      </c>
      <c r="AF129" s="87" t="s">
        <v>5483</v>
      </c>
      <c r="AG129" s="14"/>
      <c r="AH129" s="21"/>
      <c r="AI129" s="21"/>
      <c r="AJ129" s="21" t="s">
        <v>2329</v>
      </c>
      <c r="AK129" s="21"/>
      <c r="AL129" s="14"/>
      <c r="AM129" s="14" t="s">
        <v>2593</v>
      </c>
      <c r="AN129" s="14">
        <v>6</v>
      </c>
      <c r="AO129" s="110" t="s">
        <v>3026</v>
      </c>
      <c r="AP129" s="14" t="s">
        <v>3898</v>
      </c>
      <c r="AQ129" s="44" t="s">
        <v>3651</v>
      </c>
      <c r="AR129" s="44" t="s">
        <v>2330</v>
      </c>
      <c r="AS129" s="233"/>
      <c r="AT129" s="21"/>
      <c r="AU129" s="21"/>
      <c r="AV129" s="21" t="s">
        <v>2705</v>
      </c>
      <c r="AW129" s="21"/>
      <c r="AX129" s="14"/>
      <c r="AY129" s="14" t="s">
        <v>2964</v>
      </c>
      <c r="AZ129" s="14" t="s">
        <v>5036</v>
      </c>
      <c r="BA129" s="14" t="s">
        <v>2927</v>
      </c>
      <c r="BB129" s="14" t="s">
        <v>3914</v>
      </c>
      <c r="BC129" s="87" t="s">
        <v>3759</v>
      </c>
      <c r="BD129" s="87" t="s">
        <v>3728</v>
      </c>
      <c r="BE129" s="14"/>
      <c r="BF129" s="21"/>
      <c r="BG129" s="21"/>
      <c r="BH129" s="21" t="s">
        <v>311</v>
      </c>
      <c r="BI129" s="21"/>
      <c r="BJ129" s="14"/>
      <c r="BK129" s="14" t="s">
        <v>5748</v>
      </c>
      <c r="BL129" s="14">
        <v>1</v>
      </c>
      <c r="BM129" s="106" t="s">
        <v>2984</v>
      </c>
      <c r="BN129" s="14" t="s">
        <v>3931</v>
      </c>
      <c r="BO129" s="44" t="s">
        <v>3736</v>
      </c>
      <c r="BP129" s="44" t="s">
        <v>4212</v>
      </c>
      <c r="BQ129" s="14"/>
      <c r="BR129" s="21"/>
      <c r="BS129" s="233"/>
      <c r="BT129" s="21" t="s">
        <v>3063</v>
      </c>
      <c r="BU129" s="21"/>
      <c r="BV129" s="14"/>
      <c r="BW129" s="14" t="s">
        <v>3708</v>
      </c>
      <c r="BX129" s="14">
        <v>1</v>
      </c>
      <c r="BY129" s="110" t="s">
        <v>3331</v>
      </c>
      <c r="BZ129" s="14" t="s">
        <v>3851</v>
      </c>
      <c r="CA129" s="87" t="s">
        <v>3937</v>
      </c>
      <c r="CB129" s="44" t="s">
        <v>3064</v>
      </c>
      <c r="CC129" s="233"/>
      <c r="CD129" s="233"/>
      <c r="CE129" s="233"/>
      <c r="CF129" s="21" t="s">
        <v>311</v>
      </c>
      <c r="CG129" s="21"/>
      <c r="CH129" s="14"/>
      <c r="CI129" s="14" t="s">
        <v>5748</v>
      </c>
      <c r="CJ129" s="14">
        <v>1</v>
      </c>
      <c r="CK129" s="106" t="s">
        <v>2984</v>
      </c>
      <c r="CL129" s="14" t="s">
        <v>3931</v>
      </c>
      <c r="CM129" s="44" t="s">
        <v>3736</v>
      </c>
      <c r="CN129" s="44" t="s">
        <v>4212</v>
      </c>
      <c r="CO129" s="233"/>
      <c r="CP129" s="233"/>
      <c r="CQ129" s="233"/>
      <c r="CR129" s="21" t="s">
        <v>3059</v>
      </c>
      <c r="CS129" s="21"/>
      <c r="CT129" s="14"/>
      <c r="CU129" s="14" t="s">
        <v>2842</v>
      </c>
      <c r="CV129" s="14">
        <v>2</v>
      </c>
      <c r="CW129" s="14" t="s">
        <v>3887</v>
      </c>
      <c r="CX129" s="14" t="s">
        <v>3947</v>
      </c>
      <c r="CY129" s="87" t="s">
        <v>3843</v>
      </c>
      <c r="CZ129" s="87" t="s">
        <v>5483</v>
      </c>
      <c r="DA129" s="14"/>
      <c r="DB129" s="21"/>
      <c r="DC129" s="233"/>
      <c r="DD129" s="21" t="s">
        <v>3059</v>
      </c>
      <c r="DE129" s="21"/>
      <c r="DF129" s="14"/>
      <c r="DG129" s="14" t="s">
        <v>2842</v>
      </c>
      <c r="DH129" s="14">
        <v>2</v>
      </c>
      <c r="DI129" s="14" t="s">
        <v>3887</v>
      </c>
      <c r="DJ129" s="14" t="s">
        <v>3947</v>
      </c>
      <c r="DK129" s="87" t="s">
        <v>3843</v>
      </c>
      <c r="DL129" s="87" t="s">
        <v>5483</v>
      </c>
      <c r="DM129" s="14"/>
      <c r="DN129" s="21"/>
      <c r="DO129" s="233"/>
      <c r="DP129" s="21"/>
      <c r="DQ129" s="21"/>
      <c r="DR129" s="14"/>
      <c r="DS129" s="14"/>
      <c r="DT129" s="14"/>
      <c r="DU129" s="14"/>
      <c r="DV129" s="14"/>
      <c r="DW129" s="87"/>
      <c r="DX129" s="87"/>
      <c r="DY129" s="14"/>
      <c r="DZ129" s="233"/>
      <c r="EA129" s="233"/>
      <c r="EB129" s="21" t="s">
        <v>2329</v>
      </c>
      <c r="EC129" s="21"/>
      <c r="ED129" s="14"/>
      <c r="EE129" s="14" t="s">
        <v>2593</v>
      </c>
      <c r="EF129" s="14">
        <v>6</v>
      </c>
      <c r="EG129" s="110" t="s">
        <v>3026</v>
      </c>
      <c r="EH129" s="14" t="s">
        <v>3898</v>
      </c>
      <c r="EI129" s="44" t="s">
        <v>3651</v>
      </c>
      <c r="EJ129" s="44" t="s">
        <v>2330</v>
      </c>
      <c r="EK129" s="14"/>
      <c r="EL129" s="233"/>
      <c r="EM129" s="233"/>
      <c r="EN129" s="21" t="s">
        <v>3059</v>
      </c>
      <c r="EO129" s="21"/>
      <c r="EP129" s="14"/>
      <c r="EQ129" s="14" t="s">
        <v>2842</v>
      </c>
      <c r="ER129" s="14">
        <v>2</v>
      </c>
      <c r="ES129" s="14" t="s">
        <v>3887</v>
      </c>
      <c r="ET129" s="14" t="s">
        <v>3947</v>
      </c>
      <c r="EU129" s="87" t="s">
        <v>3843</v>
      </c>
      <c r="EV129" s="87" t="s">
        <v>5483</v>
      </c>
      <c r="EW129" s="14"/>
      <c r="EX129" s="21"/>
      <c r="EY129" s="233"/>
      <c r="EZ129" s="233"/>
      <c r="FA129" s="233"/>
      <c r="FB129" s="233"/>
      <c r="FC129" s="233"/>
      <c r="FD129" s="233"/>
    </row>
    <row r="130" spans="1:160">
      <c r="A130" s="20" t="s">
        <v>3628</v>
      </c>
      <c r="B130" s="14">
        <v>2</v>
      </c>
      <c r="C130" s="14" t="s">
        <v>3546</v>
      </c>
      <c r="D130" s="14">
        <v>4</v>
      </c>
      <c r="E130" s="110" t="s">
        <v>3925</v>
      </c>
      <c r="F130" s="14" t="s">
        <v>3898</v>
      </c>
      <c r="G130" s="44" t="s">
        <v>3629</v>
      </c>
      <c r="H130" s="44" t="s">
        <v>3465</v>
      </c>
      <c r="I130" s="44" t="s">
        <v>3916</v>
      </c>
      <c r="J130" s="28" t="s">
        <v>4555</v>
      </c>
      <c r="L130" s="21" t="s">
        <v>3065</v>
      </c>
      <c r="M130" s="14"/>
      <c r="N130" s="21"/>
      <c r="O130" s="14" t="s">
        <v>3066</v>
      </c>
      <c r="P130" s="14">
        <v>3</v>
      </c>
      <c r="Q130" s="14" t="s">
        <v>3887</v>
      </c>
      <c r="R130" s="14" t="s">
        <v>3716</v>
      </c>
      <c r="S130" s="44" t="s">
        <v>3759</v>
      </c>
      <c r="T130" s="44" t="s">
        <v>3728</v>
      </c>
      <c r="U130" s="14"/>
      <c r="V130" s="21"/>
      <c r="W130" s="21"/>
      <c r="X130" s="21" t="s">
        <v>3067</v>
      </c>
      <c r="Y130" s="21"/>
      <c r="Z130" s="14"/>
      <c r="AA130" s="14" t="s">
        <v>3066</v>
      </c>
      <c r="AB130" s="14" t="s">
        <v>3068</v>
      </c>
      <c r="AC130" s="14" t="s">
        <v>3887</v>
      </c>
      <c r="AD130" s="14" t="s">
        <v>3947</v>
      </c>
      <c r="AE130" s="87" t="s">
        <v>3901</v>
      </c>
      <c r="AF130" s="87" t="s">
        <v>3069</v>
      </c>
      <c r="AG130" s="14"/>
      <c r="AH130" s="21"/>
      <c r="AI130" s="21"/>
      <c r="AJ130" s="21" t="s">
        <v>3060</v>
      </c>
      <c r="AK130" s="21"/>
      <c r="AL130" s="14"/>
      <c r="AM130" s="14" t="s">
        <v>3180</v>
      </c>
      <c r="AN130" s="14">
        <v>4</v>
      </c>
      <c r="AO130" s="110" t="s">
        <v>2609</v>
      </c>
      <c r="AP130" s="14" t="s">
        <v>3735</v>
      </c>
      <c r="AQ130" s="87" t="s">
        <v>3013</v>
      </c>
      <c r="AR130" s="87" t="s">
        <v>3061</v>
      </c>
      <c r="AS130" s="14"/>
      <c r="AT130" s="21"/>
      <c r="AU130" s="21"/>
      <c r="AV130" s="21" t="s">
        <v>2876</v>
      </c>
      <c r="AW130" s="21"/>
      <c r="AX130" s="14"/>
      <c r="AY130" s="14" t="s">
        <v>2528</v>
      </c>
      <c r="AZ130" s="14">
        <v>2</v>
      </c>
      <c r="BA130" s="110" t="s">
        <v>3887</v>
      </c>
      <c r="BB130" s="14" t="s">
        <v>3548</v>
      </c>
      <c r="BC130" s="87" t="s">
        <v>3736</v>
      </c>
      <c r="BD130" s="87" t="s">
        <v>2877</v>
      </c>
      <c r="BE130" s="14"/>
      <c r="BF130" s="21"/>
      <c r="BG130" s="21"/>
      <c r="BH130" s="21" t="s">
        <v>3062</v>
      </c>
      <c r="BI130" s="21"/>
      <c r="BJ130" s="14"/>
      <c r="BK130" s="14" t="s">
        <v>2790</v>
      </c>
      <c r="BL130" s="14">
        <v>4</v>
      </c>
      <c r="BM130" s="110" t="s">
        <v>2795</v>
      </c>
      <c r="BN130" s="14" t="s">
        <v>3735</v>
      </c>
      <c r="BO130" s="87" t="s">
        <v>3753</v>
      </c>
      <c r="BP130" s="87" t="s">
        <v>3286</v>
      </c>
      <c r="BQ130" s="14"/>
      <c r="BR130" s="21"/>
      <c r="BS130" s="233"/>
      <c r="BT130" s="21" t="s">
        <v>3250</v>
      </c>
      <c r="BU130" s="21"/>
      <c r="BV130" s="14"/>
      <c r="BW130" s="14" t="s">
        <v>3427</v>
      </c>
      <c r="BX130" s="14">
        <v>1</v>
      </c>
      <c r="BY130" s="14" t="s">
        <v>3792</v>
      </c>
      <c r="BZ130" s="14" t="s">
        <v>3898</v>
      </c>
      <c r="CA130" s="87" t="s">
        <v>3395</v>
      </c>
      <c r="CB130" s="87" t="s">
        <v>3428</v>
      </c>
      <c r="CC130" s="233"/>
      <c r="CD130" s="233"/>
      <c r="CE130" s="233"/>
      <c r="CF130" s="21" t="s">
        <v>3062</v>
      </c>
      <c r="CG130" s="21"/>
      <c r="CH130" s="14"/>
      <c r="CI130" s="14" t="s">
        <v>2790</v>
      </c>
      <c r="CJ130" s="14">
        <v>4</v>
      </c>
      <c r="CK130" s="110" t="s">
        <v>2795</v>
      </c>
      <c r="CL130" s="14" t="s">
        <v>3735</v>
      </c>
      <c r="CM130" s="87" t="s">
        <v>3753</v>
      </c>
      <c r="CN130" s="87" t="s">
        <v>3286</v>
      </c>
      <c r="CO130" s="233"/>
      <c r="CP130" s="233"/>
      <c r="CQ130" s="233"/>
      <c r="CR130" s="21" t="s">
        <v>3067</v>
      </c>
      <c r="CS130" s="21"/>
      <c r="CT130" s="14"/>
      <c r="CU130" s="14" t="s">
        <v>3066</v>
      </c>
      <c r="CV130" s="14" t="s">
        <v>3068</v>
      </c>
      <c r="CW130" s="14" t="s">
        <v>3887</v>
      </c>
      <c r="CX130" s="14" t="s">
        <v>3947</v>
      </c>
      <c r="CY130" s="87" t="s">
        <v>3901</v>
      </c>
      <c r="CZ130" s="87" t="s">
        <v>3069</v>
      </c>
      <c r="DA130" s="14"/>
      <c r="DB130" s="21"/>
      <c r="DC130" s="233"/>
      <c r="DD130" s="21" t="s">
        <v>3067</v>
      </c>
      <c r="DE130" s="21"/>
      <c r="DF130" s="14"/>
      <c r="DG130" s="14" t="s">
        <v>3066</v>
      </c>
      <c r="DH130" s="14" t="s">
        <v>3068</v>
      </c>
      <c r="DI130" s="14" t="s">
        <v>3887</v>
      </c>
      <c r="DJ130" s="14" t="s">
        <v>3947</v>
      </c>
      <c r="DK130" s="87" t="s">
        <v>3901</v>
      </c>
      <c r="DL130" s="87" t="s">
        <v>3069</v>
      </c>
      <c r="DM130" s="14"/>
      <c r="DN130" s="21"/>
      <c r="DO130" s="233"/>
      <c r="DP130" s="21"/>
      <c r="DQ130" s="21"/>
      <c r="DR130" s="14"/>
      <c r="DS130" s="14"/>
      <c r="DT130" s="14"/>
      <c r="DU130" s="14"/>
      <c r="DV130" s="14"/>
      <c r="DW130" s="87"/>
      <c r="DX130" s="87"/>
      <c r="DY130" s="14"/>
      <c r="DZ130" s="233"/>
      <c r="EA130" s="233"/>
      <c r="EB130" s="21" t="s">
        <v>3060</v>
      </c>
      <c r="EC130" s="21"/>
      <c r="ED130" s="14"/>
      <c r="EE130" s="14" t="s">
        <v>3180</v>
      </c>
      <c r="EF130" s="14">
        <v>4</v>
      </c>
      <c r="EG130" s="110" t="s">
        <v>2609</v>
      </c>
      <c r="EH130" s="14" t="s">
        <v>3735</v>
      </c>
      <c r="EI130" s="87" t="s">
        <v>3013</v>
      </c>
      <c r="EJ130" s="87" t="s">
        <v>3061</v>
      </c>
      <c r="EK130" s="14"/>
      <c r="EL130" s="233"/>
      <c r="EM130" s="233"/>
      <c r="EN130" s="21" t="s">
        <v>3067</v>
      </c>
      <c r="EO130" s="21"/>
      <c r="EP130" s="14"/>
      <c r="EQ130" s="14" t="s">
        <v>3066</v>
      </c>
      <c r="ER130" s="14" t="s">
        <v>3068</v>
      </c>
      <c r="ES130" s="14" t="s">
        <v>3887</v>
      </c>
      <c r="ET130" s="14" t="s">
        <v>3947</v>
      </c>
      <c r="EU130" s="87" t="s">
        <v>3901</v>
      </c>
      <c r="EV130" s="87" t="s">
        <v>3069</v>
      </c>
      <c r="EW130" s="14"/>
      <c r="EX130" s="21"/>
      <c r="EY130" s="233"/>
      <c r="EZ130" s="233"/>
      <c r="FA130" s="233"/>
      <c r="FB130" s="233"/>
      <c r="FC130" s="233"/>
      <c r="FD130" s="233"/>
    </row>
    <row r="131" spans="1:160">
      <c r="A131" s="20" t="s">
        <v>3497</v>
      </c>
      <c r="B131" s="14">
        <v>2</v>
      </c>
      <c r="C131" s="14" t="s">
        <v>3320</v>
      </c>
      <c r="D131" s="14">
        <v>1</v>
      </c>
      <c r="E131" s="110" t="s">
        <v>3498</v>
      </c>
      <c r="F131" s="14" t="s">
        <v>3898</v>
      </c>
      <c r="G131" s="44" t="s">
        <v>3321</v>
      </c>
      <c r="H131" s="44" t="s">
        <v>3488</v>
      </c>
      <c r="I131" s="44" t="s">
        <v>3900</v>
      </c>
      <c r="J131" s="28" t="s">
        <v>3590</v>
      </c>
      <c r="L131" s="21" t="s">
        <v>3062</v>
      </c>
      <c r="M131" s="14"/>
      <c r="N131" s="21"/>
      <c r="O131" s="14" t="s">
        <v>2790</v>
      </c>
      <c r="P131" s="14">
        <v>4</v>
      </c>
      <c r="Q131" s="110" t="s">
        <v>2795</v>
      </c>
      <c r="R131" s="14" t="s">
        <v>3735</v>
      </c>
      <c r="S131" s="44" t="s">
        <v>3753</v>
      </c>
      <c r="T131" s="44" t="s">
        <v>3286</v>
      </c>
      <c r="U131" s="14"/>
      <c r="V131" s="21"/>
      <c r="W131" s="21"/>
      <c r="X131" s="21" t="s">
        <v>3429</v>
      </c>
      <c r="Y131" s="21"/>
      <c r="Z131" s="14"/>
      <c r="AA131" s="14" t="s">
        <v>3430</v>
      </c>
      <c r="AB131" s="14" t="s">
        <v>3068</v>
      </c>
      <c r="AC131" s="14" t="s">
        <v>3431</v>
      </c>
      <c r="AD131" s="14" t="s">
        <v>3898</v>
      </c>
      <c r="AE131" s="87" t="s">
        <v>3432</v>
      </c>
      <c r="AF131" s="87" t="s">
        <v>3433</v>
      </c>
      <c r="AG131" s="14"/>
      <c r="AH131" s="21"/>
      <c r="AI131" s="21"/>
      <c r="AJ131" s="21" t="s">
        <v>3070</v>
      </c>
      <c r="AK131" s="21"/>
      <c r="AL131" s="14"/>
      <c r="AM131" s="14" t="s">
        <v>3180</v>
      </c>
      <c r="AN131" s="14">
        <v>4</v>
      </c>
      <c r="AO131" s="14" t="s">
        <v>3071</v>
      </c>
      <c r="AP131" s="14" t="s">
        <v>3716</v>
      </c>
      <c r="AQ131" s="87" t="s">
        <v>3651</v>
      </c>
      <c r="AR131" s="87" t="s">
        <v>3488</v>
      </c>
      <c r="AS131" s="14"/>
      <c r="AT131" s="21"/>
      <c r="AU131" s="21"/>
      <c r="AV131" s="21" t="s">
        <v>3072</v>
      </c>
      <c r="AW131" s="21"/>
      <c r="AX131" s="14"/>
      <c r="AY131" s="14" t="s">
        <v>2528</v>
      </c>
      <c r="AZ131" s="14">
        <v>3</v>
      </c>
      <c r="BA131" s="14" t="s">
        <v>3887</v>
      </c>
      <c r="BB131" s="14" t="s">
        <v>3200</v>
      </c>
      <c r="BC131" s="87" t="s">
        <v>3467</v>
      </c>
      <c r="BD131" s="87" t="s">
        <v>3251</v>
      </c>
      <c r="BE131" s="14"/>
      <c r="BF131" s="21"/>
      <c r="BG131" s="21"/>
      <c r="BH131" s="21" t="s">
        <v>3252</v>
      </c>
      <c r="BI131" s="21"/>
      <c r="BJ131" s="14"/>
      <c r="BK131" s="14" t="s">
        <v>2852</v>
      </c>
      <c r="BL131" s="14">
        <v>3</v>
      </c>
      <c r="BM131" s="14" t="s">
        <v>2850</v>
      </c>
      <c r="BN131" s="14" t="s">
        <v>3854</v>
      </c>
      <c r="BO131" s="87" t="s">
        <v>3843</v>
      </c>
      <c r="BP131" s="87" t="s">
        <v>3789</v>
      </c>
      <c r="BQ131" s="14"/>
      <c r="BR131" s="21"/>
      <c r="BS131" s="233"/>
      <c r="BT131" s="21"/>
      <c r="BU131" s="21"/>
      <c r="BV131" s="14"/>
      <c r="BW131" s="14"/>
      <c r="BX131" s="14"/>
      <c r="BY131" s="14"/>
      <c r="BZ131" s="14"/>
      <c r="CA131" s="14"/>
      <c r="CB131" s="87"/>
      <c r="CC131" s="233"/>
      <c r="CD131" s="233"/>
      <c r="CE131" s="233"/>
      <c r="CF131" s="21" t="s">
        <v>3252</v>
      </c>
      <c r="CG131" s="21"/>
      <c r="CH131" s="14"/>
      <c r="CI131" s="14" t="s">
        <v>2852</v>
      </c>
      <c r="CJ131" s="14">
        <v>3</v>
      </c>
      <c r="CK131" s="14" t="s">
        <v>2850</v>
      </c>
      <c r="CL131" s="14" t="s">
        <v>3854</v>
      </c>
      <c r="CM131" s="87" t="s">
        <v>3843</v>
      </c>
      <c r="CN131" s="87" t="s">
        <v>3789</v>
      </c>
      <c r="CO131" s="233"/>
      <c r="CP131" s="233"/>
      <c r="CQ131" s="233"/>
      <c r="CR131" s="21" t="s">
        <v>3429</v>
      </c>
      <c r="CS131" s="21"/>
      <c r="CT131" s="14"/>
      <c r="CU131" s="14" t="s">
        <v>3430</v>
      </c>
      <c r="CV131" s="14" t="s">
        <v>3068</v>
      </c>
      <c r="CW131" s="14" t="s">
        <v>3431</v>
      </c>
      <c r="CX131" s="14" t="s">
        <v>3898</v>
      </c>
      <c r="CY131" s="87" t="s">
        <v>3432</v>
      </c>
      <c r="CZ131" s="87" t="s">
        <v>3433</v>
      </c>
      <c r="DA131" s="14"/>
      <c r="DB131" s="21"/>
      <c r="DC131" s="233"/>
      <c r="DD131" s="21" t="s">
        <v>3429</v>
      </c>
      <c r="DE131" s="21"/>
      <c r="DF131" s="14"/>
      <c r="DG131" s="14" t="s">
        <v>3430</v>
      </c>
      <c r="DH131" s="14" t="s">
        <v>3068</v>
      </c>
      <c r="DI131" s="14" t="s">
        <v>3431</v>
      </c>
      <c r="DJ131" s="14" t="s">
        <v>3898</v>
      </c>
      <c r="DK131" s="87" t="s">
        <v>3432</v>
      </c>
      <c r="DL131" s="87" t="s">
        <v>3433</v>
      </c>
      <c r="DM131" s="14"/>
      <c r="DN131" s="21"/>
      <c r="DO131" s="233"/>
      <c r="DP131" s="21"/>
      <c r="DQ131" s="21"/>
      <c r="DR131" s="14"/>
      <c r="DS131" s="14"/>
      <c r="DT131" s="14"/>
      <c r="DU131" s="14"/>
      <c r="DV131" s="14"/>
      <c r="DW131" s="87"/>
      <c r="DX131" s="87"/>
      <c r="DY131" s="14"/>
      <c r="DZ131" s="233"/>
      <c r="EA131" s="233"/>
      <c r="EB131" s="21" t="s">
        <v>3070</v>
      </c>
      <c r="EC131" s="21"/>
      <c r="ED131" s="14"/>
      <c r="EE131" s="14" t="s">
        <v>3180</v>
      </c>
      <c r="EF131" s="14">
        <v>4</v>
      </c>
      <c r="EG131" s="14" t="s">
        <v>3071</v>
      </c>
      <c r="EH131" s="14" t="s">
        <v>3716</v>
      </c>
      <c r="EI131" s="87" t="s">
        <v>3651</v>
      </c>
      <c r="EJ131" s="87" t="s">
        <v>3488</v>
      </c>
      <c r="EK131" s="14"/>
      <c r="EL131" s="233"/>
      <c r="EM131" s="233"/>
      <c r="EN131" s="21" t="s">
        <v>3429</v>
      </c>
      <c r="EO131" s="21"/>
      <c r="EP131" s="14"/>
      <c r="EQ131" s="14" t="s">
        <v>3430</v>
      </c>
      <c r="ER131" s="14" t="s">
        <v>3068</v>
      </c>
      <c r="ES131" s="14" t="s">
        <v>3431</v>
      </c>
      <c r="ET131" s="14" t="s">
        <v>3898</v>
      </c>
      <c r="EU131" s="87" t="s">
        <v>3432</v>
      </c>
      <c r="EV131" s="87" t="s">
        <v>3433</v>
      </c>
      <c r="EW131" s="14"/>
      <c r="EX131" s="21"/>
      <c r="EY131" s="233"/>
      <c r="EZ131" s="233"/>
      <c r="FA131" s="233"/>
      <c r="FB131" s="233"/>
      <c r="FC131" s="233"/>
      <c r="FD131" s="233"/>
    </row>
    <row r="132" spans="1:160">
      <c r="A132" s="20" t="s">
        <v>3296</v>
      </c>
      <c r="B132" s="14">
        <v>2</v>
      </c>
      <c r="C132" s="14" t="s">
        <v>3295</v>
      </c>
      <c r="D132" s="14">
        <v>1</v>
      </c>
      <c r="E132" s="110" t="s">
        <v>3749</v>
      </c>
      <c r="F132" s="14" t="s">
        <v>3851</v>
      </c>
      <c r="G132" s="111" t="s">
        <v>3948</v>
      </c>
      <c r="H132" s="111" t="s">
        <v>3297</v>
      </c>
      <c r="I132" s="44" t="s">
        <v>3900</v>
      </c>
      <c r="J132" s="28" t="s">
        <v>4555</v>
      </c>
      <c r="L132" s="21" t="s">
        <v>3261</v>
      </c>
      <c r="M132" s="14"/>
      <c r="N132" s="21"/>
      <c r="O132" s="14" t="s">
        <v>2964</v>
      </c>
      <c r="P132" s="14">
        <v>2</v>
      </c>
      <c r="Q132" s="14" t="s">
        <v>3262</v>
      </c>
      <c r="R132" s="14" t="s">
        <v>3914</v>
      </c>
      <c r="S132" s="44" t="s">
        <v>3765</v>
      </c>
      <c r="T132" s="44" t="s">
        <v>3047</v>
      </c>
      <c r="U132" s="14"/>
      <c r="V132" s="21"/>
      <c r="W132" s="21"/>
      <c r="X132" s="21" t="s">
        <v>3266</v>
      </c>
      <c r="Y132" s="21"/>
      <c r="Z132" s="14"/>
      <c r="AA132" s="14" t="s">
        <v>3066</v>
      </c>
      <c r="AB132" s="14">
        <v>2</v>
      </c>
      <c r="AC132" s="14" t="s">
        <v>2850</v>
      </c>
      <c r="AD132" s="14" t="s">
        <v>3854</v>
      </c>
      <c r="AE132" s="87" t="s">
        <v>3736</v>
      </c>
      <c r="AF132" s="87" t="s">
        <v>4209</v>
      </c>
      <c r="AG132" s="14"/>
      <c r="AH132" s="21"/>
      <c r="AI132" s="21"/>
      <c r="AJ132" s="21" t="s">
        <v>3434</v>
      </c>
      <c r="AK132" s="21"/>
      <c r="AL132" s="14"/>
      <c r="AM132" s="14" t="s">
        <v>3427</v>
      </c>
      <c r="AN132" s="14">
        <v>1</v>
      </c>
      <c r="AO132" s="14" t="s">
        <v>2855</v>
      </c>
      <c r="AP132" s="14" t="s">
        <v>3716</v>
      </c>
      <c r="AQ132" s="87" t="s">
        <v>3765</v>
      </c>
      <c r="AR132" s="87" t="s">
        <v>3435</v>
      </c>
      <c r="AS132" s="14"/>
      <c r="AT132" s="21"/>
      <c r="AU132" s="21"/>
      <c r="AV132" s="21" t="s">
        <v>3261</v>
      </c>
      <c r="AW132" s="21"/>
      <c r="AX132" s="14"/>
      <c r="AY132" s="14" t="s">
        <v>2964</v>
      </c>
      <c r="AZ132" s="14">
        <v>2</v>
      </c>
      <c r="BA132" s="14" t="s">
        <v>3262</v>
      </c>
      <c r="BB132" s="14" t="s">
        <v>3914</v>
      </c>
      <c r="BC132" s="87" t="s">
        <v>3765</v>
      </c>
      <c r="BD132" s="87" t="s">
        <v>3047</v>
      </c>
      <c r="BE132" s="14"/>
      <c r="BF132" s="21"/>
      <c r="BG132" s="21"/>
      <c r="BH132" s="21" t="s">
        <v>3263</v>
      </c>
      <c r="BI132" s="21"/>
      <c r="BJ132" s="14"/>
      <c r="BK132" s="14" t="s">
        <v>2790</v>
      </c>
      <c r="BL132" s="14" t="s">
        <v>5036</v>
      </c>
      <c r="BM132" s="14" t="s">
        <v>3264</v>
      </c>
      <c r="BN132" s="14" t="s">
        <v>3735</v>
      </c>
      <c r="BO132" s="87" t="s">
        <v>3736</v>
      </c>
      <c r="BP132" s="87" t="s">
        <v>3915</v>
      </c>
      <c r="BQ132" s="14"/>
      <c r="BR132" s="21"/>
      <c r="BS132" s="233"/>
      <c r="BT132" s="21"/>
      <c r="BU132" s="21"/>
      <c r="BV132" s="14"/>
      <c r="BW132" s="14"/>
      <c r="BX132" s="14"/>
      <c r="BY132" s="14"/>
      <c r="BZ132" s="14"/>
      <c r="CA132" s="14"/>
      <c r="CB132" s="87"/>
      <c r="CC132" s="233"/>
      <c r="CD132" s="233"/>
      <c r="CE132" s="233"/>
      <c r="CF132" s="21" t="s">
        <v>3263</v>
      </c>
      <c r="CG132" s="21"/>
      <c r="CH132" s="14"/>
      <c r="CI132" s="14" t="s">
        <v>2790</v>
      </c>
      <c r="CJ132" s="14" t="s">
        <v>5036</v>
      </c>
      <c r="CK132" s="14" t="s">
        <v>3264</v>
      </c>
      <c r="CL132" s="14" t="s">
        <v>3735</v>
      </c>
      <c r="CM132" s="87" t="s">
        <v>3736</v>
      </c>
      <c r="CN132" s="87" t="s">
        <v>3915</v>
      </c>
      <c r="CO132" s="233"/>
      <c r="CP132" s="233"/>
      <c r="CQ132" s="233"/>
      <c r="CR132" s="21" t="s">
        <v>3266</v>
      </c>
      <c r="CS132" s="21"/>
      <c r="CT132" s="14"/>
      <c r="CU132" s="14" t="s">
        <v>3066</v>
      </c>
      <c r="CV132" s="14">
        <v>2</v>
      </c>
      <c r="CW132" s="14" t="s">
        <v>2850</v>
      </c>
      <c r="CX132" s="14" t="s">
        <v>3854</v>
      </c>
      <c r="CY132" s="87" t="s">
        <v>3736</v>
      </c>
      <c r="CZ132" s="87" t="s">
        <v>4209</v>
      </c>
      <c r="DA132" s="14"/>
      <c r="DB132" s="21"/>
      <c r="DC132" s="233"/>
      <c r="DD132" s="21" t="s">
        <v>3266</v>
      </c>
      <c r="DE132" s="21"/>
      <c r="DF132" s="14"/>
      <c r="DG132" s="14" t="s">
        <v>3066</v>
      </c>
      <c r="DH132" s="14">
        <v>2</v>
      </c>
      <c r="DI132" s="14" t="s">
        <v>2850</v>
      </c>
      <c r="DJ132" s="14" t="s">
        <v>3854</v>
      </c>
      <c r="DK132" s="87" t="s">
        <v>3736</v>
      </c>
      <c r="DL132" s="87" t="s">
        <v>4209</v>
      </c>
      <c r="DM132" s="14"/>
      <c r="DN132" s="21"/>
      <c r="DO132" s="233"/>
      <c r="DP132" s="21"/>
      <c r="DQ132" s="21"/>
      <c r="DR132" s="14"/>
      <c r="DS132" s="14"/>
      <c r="DT132" s="14"/>
      <c r="DU132" s="14"/>
      <c r="DV132" s="14"/>
      <c r="DW132" s="87"/>
      <c r="DX132" s="87"/>
      <c r="DY132" s="14"/>
      <c r="DZ132" s="233"/>
      <c r="EA132" s="233"/>
      <c r="EB132" s="21" t="s">
        <v>3434</v>
      </c>
      <c r="EC132" s="21"/>
      <c r="ED132" s="14"/>
      <c r="EE132" s="14" t="s">
        <v>3427</v>
      </c>
      <c r="EF132" s="14">
        <v>1</v>
      </c>
      <c r="EG132" s="14" t="s">
        <v>2855</v>
      </c>
      <c r="EH132" s="14" t="s">
        <v>3716</v>
      </c>
      <c r="EI132" s="87" t="s">
        <v>3765</v>
      </c>
      <c r="EJ132" s="87" t="s">
        <v>3435</v>
      </c>
      <c r="EK132" s="14"/>
      <c r="EL132" s="233"/>
      <c r="EM132" s="233"/>
      <c r="EN132" s="21" t="s">
        <v>3266</v>
      </c>
      <c r="EO132" s="21"/>
      <c r="EP132" s="14"/>
      <c r="EQ132" s="14" t="s">
        <v>3066</v>
      </c>
      <c r="ER132" s="14">
        <v>2</v>
      </c>
      <c r="ES132" s="14" t="s">
        <v>2850</v>
      </c>
      <c r="ET132" s="14" t="s">
        <v>3854</v>
      </c>
      <c r="EU132" s="87" t="s">
        <v>3736</v>
      </c>
      <c r="EV132" s="87" t="s">
        <v>4209</v>
      </c>
      <c r="EW132" s="14"/>
      <c r="EX132" s="21"/>
      <c r="EY132" s="233"/>
      <c r="EZ132" s="233"/>
      <c r="FA132" s="233"/>
      <c r="FB132" s="233"/>
      <c r="FC132" s="233"/>
      <c r="FD132" s="233"/>
    </row>
    <row r="133" spans="1:160">
      <c r="A133" s="20" t="s">
        <v>3480</v>
      </c>
      <c r="B133" s="14">
        <v>2</v>
      </c>
      <c r="C133" s="14" t="s">
        <v>4214</v>
      </c>
      <c r="D133" s="14">
        <v>1</v>
      </c>
      <c r="E133" s="110" t="s">
        <v>3749</v>
      </c>
      <c r="F133" s="14" t="s">
        <v>3481</v>
      </c>
      <c r="G133" s="111" t="s">
        <v>3550</v>
      </c>
      <c r="H133" s="111" t="s">
        <v>3915</v>
      </c>
      <c r="I133" s="44" t="s">
        <v>3900</v>
      </c>
      <c r="J133" s="28" t="s">
        <v>4555</v>
      </c>
      <c r="L133" s="21" t="s">
        <v>2894</v>
      </c>
      <c r="M133" s="14"/>
      <c r="N133" s="21"/>
      <c r="O133" s="14" t="s">
        <v>3058</v>
      </c>
      <c r="P133" s="14">
        <v>3</v>
      </c>
      <c r="Q133" s="110" t="s">
        <v>3124</v>
      </c>
      <c r="R133" s="14" t="s">
        <v>3898</v>
      </c>
      <c r="S133" s="44" t="s">
        <v>3759</v>
      </c>
      <c r="T133" s="44" t="s">
        <v>4209</v>
      </c>
      <c r="U133" s="14"/>
      <c r="V133" s="21"/>
      <c r="W133" s="21"/>
      <c r="X133" s="21" t="s">
        <v>3065</v>
      </c>
      <c r="Y133" s="21"/>
      <c r="Z133" s="14"/>
      <c r="AA133" s="14" t="s">
        <v>3066</v>
      </c>
      <c r="AB133" s="14">
        <v>3</v>
      </c>
      <c r="AC133" s="14" t="s">
        <v>3887</v>
      </c>
      <c r="AD133" s="14" t="s">
        <v>3716</v>
      </c>
      <c r="AE133" s="87" t="s">
        <v>3759</v>
      </c>
      <c r="AF133" s="87" t="s">
        <v>3728</v>
      </c>
      <c r="AG133" s="14"/>
      <c r="AH133" s="21"/>
      <c r="AI133" s="21"/>
      <c r="AJ133" s="21" t="s">
        <v>3267</v>
      </c>
      <c r="AK133" s="21"/>
      <c r="AL133" s="14"/>
      <c r="AM133" s="14" t="s">
        <v>3427</v>
      </c>
      <c r="AN133" s="14">
        <v>3</v>
      </c>
      <c r="AO133" s="14" t="s">
        <v>3197</v>
      </c>
      <c r="AP133" s="14" t="s">
        <v>2959</v>
      </c>
      <c r="AQ133" s="87" t="s">
        <v>3378</v>
      </c>
      <c r="AR133" s="87" t="s">
        <v>2922</v>
      </c>
      <c r="AS133" s="44"/>
      <c r="AT133" s="14"/>
      <c r="AU133" s="21"/>
      <c r="AV133" s="21" t="s">
        <v>2894</v>
      </c>
      <c r="AW133" s="21"/>
      <c r="AX133" s="14"/>
      <c r="AY133" s="14" t="s">
        <v>3058</v>
      </c>
      <c r="AZ133" s="14">
        <v>3</v>
      </c>
      <c r="BA133" s="14" t="s">
        <v>3124</v>
      </c>
      <c r="BB133" s="14" t="s">
        <v>3898</v>
      </c>
      <c r="BC133" s="87" t="s">
        <v>3759</v>
      </c>
      <c r="BD133" s="87" t="s">
        <v>4209</v>
      </c>
      <c r="BE133" s="14"/>
      <c r="BF133" s="21"/>
      <c r="BG133" s="21"/>
      <c r="BH133" s="21" t="s">
        <v>2923</v>
      </c>
      <c r="BI133" s="21"/>
      <c r="BJ133" s="14"/>
      <c r="BK133" s="14" t="s">
        <v>2852</v>
      </c>
      <c r="BL133" s="14">
        <v>3</v>
      </c>
      <c r="BM133" s="14" t="s">
        <v>3887</v>
      </c>
      <c r="BN133" s="14" t="s">
        <v>3854</v>
      </c>
      <c r="BO133" s="87" t="s">
        <v>3361</v>
      </c>
      <c r="BP133" s="87" t="s">
        <v>3859</v>
      </c>
      <c r="BQ133" s="14"/>
      <c r="BR133" s="21"/>
      <c r="BS133" s="233"/>
      <c r="BT133" s="21"/>
      <c r="BU133" s="21"/>
      <c r="BV133" s="14"/>
      <c r="BW133" s="14"/>
      <c r="BX133" s="14"/>
      <c r="BY133" s="110"/>
      <c r="BZ133" s="14"/>
      <c r="CA133" s="14"/>
      <c r="CB133" s="87"/>
      <c r="CC133" s="233"/>
      <c r="CD133" s="233"/>
      <c r="CE133" s="233"/>
      <c r="CF133" s="21" t="s">
        <v>2923</v>
      </c>
      <c r="CG133" s="21"/>
      <c r="CH133" s="14"/>
      <c r="CI133" s="14" t="s">
        <v>2852</v>
      </c>
      <c r="CJ133" s="14">
        <v>3</v>
      </c>
      <c r="CK133" s="14" t="s">
        <v>3887</v>
      </c>
      <c r="CL133" s="14" t="s">
        <v>3854</v>
      </c>
      <c r="CM133" s="87" t="s">
        <v>3361</v>
      </c>
      <c r="CN133" s="87" t="s">
        <v>3859</v>
      </c>
      <c r="CO133" s="233"/>
      <c r="CP133" s="233"/>
      <c r="CQ133" s="233"/>
      <c r="CR133" s="21" t="s">
        <v>3065</v>
      </c>
      <c r="CS133" s="21"/>
      <c r="CT133" s="14"/>
      <c r="CU133" s="14" t="s">
        <v>3066</v>
      </c>
      <c r="CV133" s="14">
        <v>3</v>
      </c>
      <c r="CW133" s="14" t="s">
        <v>3887</v>
      </c>
      <c r="CX133" s="14" t="s">
        <v>3716</v>
      </c>
      <c r="CY133" s="87" t="s">
        <v>3759</v>
      </c>
      <c r="CZ133" s="87" t="s">
        <v>3728</v>
      </c>
      <c r="DA133" s="14"/>
      <c r="DB133" s="21"/>
      <c r="DC133" s="233"/>
      <c r="DD133" s="21" t="s">
        <v>3065</v>
      </c>
      <c r="DE133" s="21"/>
      <c r="DF133" s="14"/>
      <c r="DG133" s="14" t="s">
        <v>3066</v>
      </c>
      <c r="DH133" s="14">
        <v>3</v>
      </c>
      <c r="DI133" s="14" t="s">
        <v>3887</v>
      </c>
      <c r="DJ133" s="14" t="s">
        <v>3716</v>
      </c>
      <c r="DK133" s="87" t="s">
        <v>3759</v>
      </c>
      <c r="DL133" s="87" t="s">
        <v>3728</v>
      </c>
      <c r="DM133" s="14"/>
      <c r="DN133" s="21"/>
      <c r="DO133" s="233"/>
      <c r="DP133" s="21"/>
      <c r="DQ133" s="21"/>
      <c r="DR133" s="14"/>
      <c r="DS133" s="14"/>
      <c r="DT133" s="14"/>
      <c r="DU133" s="110"/>
      <c r="DV133" s="14"/>
      <c r="DW133" s="14"/>
      <c r="DX133" s="87"/>
      <c r="DY133" s="44"/>
      <c r="DZ133" s="233"/>
      <c r="EA133" s="233"/>
      <c r="EB133" s="21" t="s">
        <v>3267</v>
      </c>
      <c r="EC133" s="21"/>
      <c r="ED133" s="14"/>
      <c r="EE133" s="14" t="s">
        <v>3427</v>
      </c>
      <c r="EF133" s="14">
        <v>3</v>
      </c>
      <c r="EG133" s="14" t="s">
        <v>3197</v>
      </c>
      <c r="EH133" s="14" t="s">
        <v>2959</v>
      </c>
      <c r="EI133" s="87" t="s">
        <v>3378</v>
      </c>
      <c r="EJ133" s="87" t="s">
        <v>2922</v>
      </c>
      <c r="EK133" s="44"/>
      <c r="EL133" s="233"/>
      <c r="EM133" s="233"/>
      <c r="EN133" s="21" t="s">
        <v>3065</v>
      </c>
      <c r="EO133" s="21"/>
      <c r="EP133" s="14"/>
      <c r="EQ133" s="14" t="s">
        <v>3066</v>
      </c>
      <c r="ER133" s="14">
        <v>3</v>
      </c>
      <c r="ES133" s="14" t="s">
        <v>3887</v>
      </c>
      <c r="ET133" s="14" t="s">
        <v>3716</v>
      </c>
      <c r="EU133" s="87" t="s">
        <v>3759</v>
      </c>
      <c r="EV133" s="87" t="s">
        <v>3728</v>
      </c>
      <c r="EW133" s="14"/>
      <c r="EX133" s="21"/>
      <c r="EY133" s="233"/>
      <c r="EZ133" s="233"/>
      <c r="FA133" s="233"/>
      <c r="FB133" s="233"/>
      <c r="FC133" s="233"/>
      <c r="FD133" s="233"/>
    </row>
    <row r="134" spans="1:160">
      <c r="A134" s="20" t="s">
        <v>3676</v>
      </c>
      <c r="B134" s="14">
        <v>2</v>
      </c>
      <c r="C134" s="14" t="s">
        <v>3752</v>
      </c>
      <c r="D134" s="14">
        <v>1</v>
      </c>
      <c r="E134" s="110" t="s">
        <v>3569</v>
      </c>
      <c r="F134" s="14" t="s">
        <v>3548</v>
      </c>
      <c r="G134" s="44" t="s">
        <v>3927</v>
      </c>
      <c r="H134" s="44" t="s">
        <v>3677</v>
      </c>
      <c r="I134" s="44">
        <v>6</v>
      </c>
      <c r="J134" s="28" t="s">
        <v>4369</v>
      </c>
      <c r="L134" s="21" t="s">
        <v>2768</v>
      </c>
      <c r="M134" s="14"/>
      <c r="N134" s="21"/>
      <c r="O134" s="14" t="s">
        <v>2769</v>
      </c>
      <c r="P134" s="14">
        <v>3</v>
      </c>
      <c r="Q134" s="110" t="s">
        <v>3305</v>
      </c>
      <c r="R134" s="14" t="s">
        <v>4000</v>
      </c>
      <c r="S134" s="44" t="s">
        <v>3490</v>
      </c>
      <c r="T134" s="44" t="s">
        <v>2770</v>
      </c>
      <c r="U134" s="14"/>
      <c r="V134" s="21"/>
      <c r="W134" s="21"/>
      <c r="X134" s="21" t="s">
        <v>536</v>
      </c>
      <c r="Y134" s="14"/>
      <c r="Z134" s="14"/>
      <c r="AA134" s="14" t="s">
        <v>5749</v>
      </c>
      <c r="AB134" s="14">
        <v>1</v>
      </c>
      <c r="AC134" s="106" t="s">
        <v>2984</v>
      </c>
      <c r="AD134" s="14" t="s">
        <v>3898</v>
      </c>
      <c r="AE134" s="44" t="s">
        <v>3575</v>
      </c>
      <c r="AF134" s="44" t="s">
        <v>335</v>
      </c>
      <c r="AG134" s="14"/>
      <c r="AH134" s="21"/>
      <c r="AI134" s="21"/>
      <c r="AJ134" s="21" t="s">
        <v>3250</v>
      </c>
      <c r="AK134" s="21"/>
      <c r="AL134" s="14"/>
      <c r="AM134" s="14" t="s">
        <v>3427</v>
      </c>
      <c r="AN134" s="14">
        <v>1</v>
      </c>
      <c r="AO134" s="14" t="s">
        <v>3792</v>
      </c>
      <c r="AP134" s="14" t="s">
        <v>3898</v>
      </c>
      <c r="AQ134" s="87" t="s">
        <v>3395</v>
      </c>
      <c r="AR134" s="87" t="s">
        <v>3428</v>
      </c>
      <c r="AS134" s="14"/>
      <c r="AT134" s="21"/>
      <c r="AU134" s="21"/>
      <c r="AV134" s="21" t="s">
        <v>2765</v>
      </c>
      <c r="AW134" s="21"/>
      <c r="AX134" s="14"/>
      <c r="AY134" s="14" t="s">
        <v>2528</v>
      </c>
      <c r="AZ134" s="14">
        <v>1</v>
      </c>
      <c r="BA134" s="14" t="s">
        <v>2850</v>
      </c>
      <c r="BB134" s="14" t="s">
        <v>3716</v>
      </c>
      <c r="BC134" s="87" t="s">
        <v>3736</v>
      </c>
      <c r="BD134" s="87" t="s">
        <v>3047</v>
      </c>
      <c r="BE134" s="14"/>
      <c r="BF134" s="21"/>
      <c r="BG134" s="21"/>
      <c r="BH134" s="21" t="s">
        <v>2766</v>
      </c>
      <c r="BI134" s="21"/>
      <c r="BJ134" s="14"/>
      <c r="BK134" s="14" t="s">
        <v>3494</v>
      </c>
      <c r="BL134" s="14" t="s">
        <v>3068</v>
      </c>
      <c r="BM134" s="110" t="s">
        <v>3190</v>
      </c>
      <c r="BN134" s="14" t="s">
        <v>3898</v>
      </c>
      <c r="BO134" s="111" t="s">
        <v>3432</v>
      </c>
      <c r="BP134" s="111" t="s">
        <v>2767</v>
      </c>
      <c r="BQ134" s="14"/>
      <c r="BR134" s="21"/>
      <c r="BS134" s="233"/>
      <c r="BT134" s="21"/>
      <c r="BU134" s="21"/>
      <c r="BV134" s="14"/>
      <c r="BW134" s="14"/>
      <c r="BX134" s="14"/>
      <c r="BY134" s="14"/>
      <c r="BZ134" s="14"/>
      <c r="CA134" s="14"/>
      <c r="CB134" s="87"/>
      <c r="CC134" s="233"/>
      <c r="CD134" s="233"/>
      <c r="CE134" s="233"/>
      <c r="CF134" s="21" t="s">
        <v>2766</v>
      </c>
      <c r="CG134" s="21"/>
      <c r="CH134" s="14"/>
      <c r="CI134" s="14" t="s">
        <v>3494</v>
      </c>
      <c r="CJ134" s="14" t="s">
        <v>3068</v>
      </c>
      <c r="CK134" s="110" t="s">
        <v>3190</v>
      </c>
      <c r="CL134" s="14" t="s">
        <v>3898</v>
      </c>
      <c r="CM134" s="111" t="s">
        <v>3432</v>
      </c>
      <c r="CN134" s="111" t="s">
        <v>2767</v>
      </c>
      <c r="CO134" s="233"/>
      <c r="CP134" s="233"/>
      <c r="CQ134" s="233"/>
      <c r="CR134" s="21" t="s">
        <v>536</v>
      </c>
      <c r="CS134" s="14"/>
      <c r="CT134" s="14"/>
      <c r="CU134" s="14" t="s">
        <v>5749</v>
      </c>
      <c r="CV134" s="14">
        <v>1</v>
      </c>
      <c r="CW134" s="106" t="s">
        <v>2984</v>
      </c>
      <c r="CX134" s="14" t="s">
        <v>3898</v>
      </c>
      <c r="CY134" s="44" t="s">
        <v>3575</v>
      </c>
      <c r="CZ134" s="44" t="s">
        <v>335</v>
      </c>
      <c r="DA134" s="14"/>
      <c r="DB134" s="21"/>
      <c r="DC134" s="233"/>
      <c r="DD134" s="21" t="s">
        <v>536</v>
      </c>
      <c r="DE134" s="14"/>
      <c r="DF134" s="14"/>
      <c r="DG134" s="14" t="s">
        <v>5749</v>
      </c>
      <c r="DH134" s="14">
        <v>1</v>
      </c>
      <c r="DI134" s="106" t="s">
        <v>2984</v>
      </c>
      <c r="DJ134" s="14" t="s">
        <v>3898</v>
      </c>
      <c r="DK134" s="44" t="s">
        <v>3575</v>
      </c>
      <c r="DL134" s="44" t="s">
        <v>335</v>
      </c>
      <c r="DM134" s="14"/>
      <c r="DN134" s="21"/>
      <c r="DO134" s="233"/>
      <c r="DP134" s="21"/>
      <c r="DQ134" s="21"/>
      <c r="DR134" s="14"/>
      <c r="DS134" s="14"/>
      <c r="DT134" s="14"/>
      <c r="DU134" s="14"/>
      <c r="DV134" s="14"/>
      <c r="DW134" s="14"/>
      <c r="DX134" s="87"/>
      <c r="DY134" s="14"/>
      <c r="DZ134" s="233"/>
      <c r="EA134" s="233"/>
      <c r="EB134" s="21" t="s">
        <v>3250</v>
      </c>
      <c r="EC134" s="21"/>
      <c r="ED134" s="14"/>
      <c r="EE134" s="14" t="s">
        <v>3427</v>
      </c>
      <c r="EF134" s="14">
        <v>1</v>
      </c>
      <c r="EG134" s="14" t="s">
        <v>3792</v>
      </c>
      <c r="EH134" s="14" t="s">
        <v>3898</v>
      </c>
      <c r="EI134" s="87" t="s">
        <v>3395</v>
      </c>
      <c r="EJ134" s="87" t="s">
        <v>3428</v>
      </c>
      <c r="EK134" s="14"/>
      <c r="EL134" s="233"/>
      <c r="EM134" s="233"/>
      <c r="EN134" s="21" t="s">
        <v>536</v>
      </c>
      <c r="EO134" s="14"/>
      <c r="EP134" s="14"/>
      <c r="EQ134" s="14" t="s">
        <v>5749</v>
      </c>
      <c r="ER134" s="14">
        <v>1</v>
      </c>
      <c r="ES134" s="106" t="s">
        <v>2984</v>
      </c>
      <c r="ET134" s="14" t="s">
        <v>3898</v>
      </c>
      <c r="EU134" s="44" t="s">
        <v>3575</v>
      </c>
      <c r="EV134" s="44" t="s">
        <v>335</v>
      </c>
      <c r="EW134" s="14"/>
      <c r="EX134" s="21"/>
      <c r="EY134" s="233"/>
      <c r="EZ134" s="233"/>
      <c r="FA134" s="233"/>
      <c r="FB134" s="233"/>
      <c r="FC134" s="233"/>
      <c r="FD134" s="233"/>
    </row>
    <row r="135" spans="1:160">
      <c r="A135" s="20" t="s">
        <v>3294</v>
      </c>
      <c r="B135" s="14">
        <v>2</v>
      </c>
      <c r="C135" s="14" t="s">
        <v>3295</v>
      </c>
      <c r="D135" s="14">
        <v>1</v>
      </c>
      <c r="E135" s="110" t="s">
        <v>3934</v>
      </c>
      <c r="F135" s="14" t="s">
        <v>3548</v>
      </c>
      <c r="G135" s="111" t="s">
        <v>3843</v>
      </c>
      <c r="H135" s="111" t="s">
        <v>3915</v>
      </c>
      <c r="I135" s="44">
        <v>6</v>
      </c>
      <c r="J135" s="28" t="s">
        <v>4447</v>
      </c>
      <c r="L135" s="21" t="s">
        <v>2765</v>
      </c>
      <c r="M135" s="14"/>
      <c r="N135" s="21"/>
      <c r="O135" s="14" t="s">
        <v>2528</v>
      </c>
      <c r="P135" s="14">
        <v>1</v>
      </c>
      <c r="Q135" s="14" t="s">
        <v>2850</v>
      </c>
      <c r="R135" s="14" t="s">
        <v>3716</v>
      </c>
      <c r="S135" s="44" t="s">
        <v>3736</v>
      </c>
      <c r="T135" s="44" t="s">
        <v>3047</v>
      </c>
      <c r="U135" s="14"/>
      <c r="V135" s="21"/>
      <c r="W135" s="21"/>
      <c r="X135" s="21" t="s">
        <v>2771</v>
      </c>
      <c r="Y135" s="21"/>
      <c r="Z135" s="14"/>
      <c r="AA135" s="14" t="s">
        <v>2772</v>
      </c>
      <c r="AB135" s="14">
        <v>2</v>
      </c>
      <c r="AC135" s="110" t="s">
        <v>2795</v>
      </c>
      <c r="AD135" s="14" t="s">
        <v>3716</v>
      </c>
      <c r="AE135" s="87" t="s">
        <v>3906</v>
      </c>
      <c r="AF135" s="87" t="s">
        <v>3746</v>
      </c>
      <c r="AG135" s="14"/>
      <c r="AH135" s="21"/>
      <c r="AI135" s="21"/>
      <c r="AJ135" s="21"/>
      <c r="AK135" s="21"/>
      <c r="AL135" s="14"/>
      <c r="AM135" s="14"/>
      <c r="AN135" s="14"/>
      <c r="AO135" s="110"/>
      <c r="AP135" s="14"/>
      <c r="AQ135" s="14"/>
      <c r="AR135" s="87"/>
      <c r="AS135" s="14"/>
      <c r="AT135" s="21"/>
      <c r="AU135" s="21"/>
      <c r="AV135" s="21" t="s">
        <v>2773</v>
      </c>
      <c r="AW135" s="21"/>
      <c r="AX135" s="14"/>
      <c r="AY135" s="14" t="s">
        <v>3058</v>
      </c>
      <c r="AZ135" s="14">
        <v>4</v>
      </c>
      <c r="BA135" s="110" t="s">
        <v>2774</v>
      </c>
      <c r="BB135" s="14" t="s">
        <v>3898</v>
      </c>
      <c r="BC135" s="87" t="s">
        <v>3321</v>
      </c>
      <c r="BD135" s="87" t="s">
        <v>3286</v>
      </c>
      <c r="BE135" s="14"/>
      <c r="BF135" s="21"/>
      <c r="BG135" s="21"/>
      <c r="BH135" s="21" t="s">
        <v>2768</v>
      </c>
      <c r="BI135" s="21"/>
      <c r="BJ135" s="14"/>
      <c r="BK135" s="14" t="s">
        <v>2769</v>
      </c>
      <c r="BL135" s="14">
        <v>3</v>
      </c>
      <c r="BM135" s="14" t="s">
        <v>3305</v>
      </c>
      <c r="BN135" s="14" t="s">
        <v>4000</v>
      </c>
      <c r="BO135" s="87" t="s">
        <v>3490</v>
      </c>
      <c r="BP135" s="87" t="s">
        <v>2770</v>
      </c>
      <c r="BQ135" s="14"/>
      <c r="BR135" s="21"/>
      <c r="BS135" s="233"/>
      <c r="BT135" s="21"/>
      <c r="BU135" s="21"/>
      <c r="BV135" s="14"/>
      <c r="BW135" s="14"/>
      <c r="BX135" s="14"/>
      <c r="BY135" s="110"/>
      <c r="BZ135" s="14"/>
      <c r="CA135" s="14"/>
      <c r="CB135" s="87"/>
      <c r="CC135" s="233"/>
      <c r="CD135" s="233"/>
      <c r="CE135" s="233"/>
      <c r="CF135" s="21" t="s">
        <v>2768</v>
      </c>
      <c r="CG135" s="21"/>
      <c r="CH135" s="14"/>
      <c r="CI135" s="14" t="s">
        <v>2769</v>
      </c>
      <c r="CJ135" s="14">
        <v>3</v>
      </c>
      <c r="CK135" s="14" t="s">
        <v>3305</v>
      </c>
      <c r="CL135" s="14" t="s">
        <v>4000</v>
      </c>
      <c r="CM135" s="87" t="s">
        <v>3490</v>
      </c>
      <c r="CN135" s="87" t="s">
        <v>2770</v>
      </c>
      <c r="CO135" s="233"/>
      <c r="CP135" s="233"/>
      <c r="CQ135" s="233"/>
      <c r="CR135" s="21" t="s">
        <v>2771</v>
      </c>
      <c r="CS135" s="21"/>
      <c r="CT135" s="14"/>
      <c r="CU135" s="14" t="s">
        <v>2772</v>
      </c>
      <c r="CV135" s="14">
        <v>2</v>
      </c>
      <c r="CW135" s="110" t="s">
        <v>2795</v>
      </c>
      <c r="CX135" s="14" t="s">
        <v>3716</v>
      </c>
      <c r="CY135" s="87" t="s">
        <v>3906</v>
      </c>
      <c r="CZ135" s="87" t="s">
        <v>3746</v>
      </c>
      <c r="DA135" s="14"/>
      <c r="DB135" s="21"/>
      <c r="DC135" s="233"/>
      <c r="DD135" s="21" t="s">
        <v>2771</v>
      </c>
      <c r="DE135" s="21"/>
      <c r="DF135" s="14"/>
      <c r="DG135" s="14" t="s">
        <v>2772</v>
      </c>
      <c r="DH135" s="14">
        <v>2</v>
      </c>
      <c r="DI135" s="110" t="s">
        <v>2795</v>
      </c>
      <c r="DJ135" s="14" t="s">
        <v>3716</v>
      </c>
      <c r="DK135" s="87" t="s">
        <v>3906</v>
      </c>
      <c r="DL135" s="87" t="s">
        <v>3746</v>
      </c>
      <c r="DM135" s="14"/>
      <c r="DN135" s="21"/>
      <c r="DO135" s="233"/>
      <c r="DP135" s="21"/>
      <c r="DQ135" s="21"/>
      <c r="DR135" s="14"/>
      <c r="DS135" s="14"/>
      <c r="DT135" s="14"/>
      <c r="DU135" s="110"/>
      <c r="DV135" s="14"/>
      <c r="DW135" s="14"/>
      <c r="DX135" s="87"/>
      <c r="DY135" s="14"/>
      <c r="DZ135" s="233"/>
      <c r="EA135" s="233"/>
      <c r="EB135" s="21"/>
      <c r="EC135" s="21"/>
      <c r="ED135" s="14"/>
      <c r="EE135" s="14"/>
      <c r="EF135" s="14"/>
      <c r="EG135" s="110"/>
      <c r="EH135" s="14"/>
      <c r="EI135" s="14"/>
      <c r="EJ135" s="87"/>
      <c r="EK135" s="14"/>
      <c r="EL135" s="233"/>
      <c r="EM135" s="233"/>
      <c r="EN135" s="21" t="s">
        <v>2771</v>
      </c>
      <c r="EO135" s="21"/>
      <c r="EP135" s="14"/>
      <c r="EQ135" s="14" t="s">
        <v>2772</v>
      </c>
      <c r="ER135" s="14">
        <v>2</v>
      </c>
      <c r="ES135" s="110" t="s">
        <v>2795</v>
      </c>
      <c r="ET135" s="14" t="s">
        <v>3716</v>
      </c>
      <c r="EU135" s="87" t="s">
        <v>3906</v>
      </c>
      <c r="EV135" s="87" t="s">
        <v>3746</v>
      </c>
      <c r="EW135" s="14"/>
      <c r="EX135" s="21"/>
      <c r="EY135" s="233"/>
      <c r="EZ135" s="233"/>
      <c r="FA135" s="233"/>
      <c r="FB135" s="233"/>
      <c r="FC135" s="233"/>
      <c r="FD135" s="233"/>
    </row>
    <row r="136" spans="1:160">
      <c r="A136" s="20" t="s">
        <v>3681</v>
      </c>
      <c r="B136" s="14">
        <v>3</v>
      </c>
      <c r="C136" s="14" t="s">
        <v>3320</v>
      </c>
      <c r="D136" s="14">
        <v>1</v>
      </c>
      <c r="E136" s="110" t="s">
        <v>3682</v>
      </c>
      <c r="F136" s="14" t="s">
        <v>3573</v>
      </c>
      <c r="G136" s="44" t="s">
        <v>3927</v>
      </c>
      <c r="H136" s="44" t="s">
        <v>3915</v>
      </c>
      <c r="I136" s="44" t="s">
        <v>3900</v>
      </c>
      <c r="J136" s="28" t="s">
        <v>3908</v>
      </c>
      <c r="L136" s="21" t="s">
        <v>2450</v>
      </c>
      <c r="M136" s="14"/>
      <c r="N136" s="21"/>
      <c r="O136" s="14" t="s">
        <v>2606</v>
      </c>
      <c r="P136" s="14">
        <v>3</v>
      </c>
      <c r="Q136" s="110" t="s">
        <v>2451</v>
      </c>
      <c r="R136" s="14" t="s">
        <v>3548</v>
      </c>
      <c r="S136" s="44" t="s">
        <v>3759</v>
      </c>
      <c r="T136" s="44" t="s">
        <v>2452</v>
      </c>
      <c r="U136" s="21"/>
      <c r="V136" s="21"/>
      <c r="W136" s="21"/>
      <c r="X136" s="21" t="s">
        <v>2603</v>
      </c>
      <c r="Y136" s="21"/>
      <c r="Z136" s="14"/>
      <c r="AA136" s="14" t="s">
        <v>3066</v>
      </c>
      <c r="AB136" s="14">
        <v>3</v>
      </c>
      <c r="AC136" s="14" t="s">
        <v>3792</v>
      </c>
      <c r="AD136" s="14" t="s">
        <v>3716</v>
      </c>
      <c r="AE136" s="87" t="s">
        <v>3736</v>
      </c>
      <c r="AF136" s="87" t="s">
        <v>2604</v>
      </c>
      <c r="AG136" s="21"/>
      <c r="AH136" s="21"/>
      <c r="AI136" s="21"/>
      <c r="AJ136" s="21"/>
      <c r="AK136" s="21"/>
      <c r="AL136" s="21"/>
      <c r="AM136" s="14"/>
      <c r="AN136" s="14"/>
      <c r="AO136" s="14"/>
      <c r="AP136" s="14"/>
      <c r="AQ136" s="14"/>
      <c r="AR136" s="87"/>
      <c r="AS136" s="21"/>
      <c r="AT136" s="21"/>
      <c r="AU136" s="21"/>
      <c r="AV136" s="21" t="s">
        <v>2605</v>
      </c>
      <c r="AW136" s="21"/>
      <c r="AX136" s="14"/>
      <c r="AY136" s="14" t="s">
        <v>2606</v>
      </c>
      <c r="AZ136" s="14">
        <v>3</v>
      </c>
      <c r="BA136" s="14" t="s">
        <v>2850</v>
      </c>
      <c r="BB136" s="14" t="s">
        <v>3898</v>
      </c>
      <c r="BC136" s="87" t="s">
        <v>3901</v>
      </c>
      <c r="BD136" s="87" t="s">
        <v>3915</v>
      </c>
      <c r="BE136" s="14"/>
      <c r="BF136" s="21"/>
      <c r="BG136" s="21"/>
      <c r="BH136" s="21"/>
      <c r="BI136" s="21"/>
      <c r="BJ136" s="14"/>
      <c r="BK136" s="14"/>
      <c r="BL136" s="14"/>
      <c r="BM136" s="14"/>
      <c r="BN136" s="14"/>
      <c r="BO136" s="87"/>
      <c r="BP136" s="87"/>
      <c r="BQ136" s="14"/>
      <c r="BR136" s="21"/>
      <c r="BS136" s="233"/>
      <c r="BT136" s="21"/>
      <c r="BU136" s="21"/>
      <c r="BV136" s="14"/>
      <c r="BW136" s="14"/>
      <c r="BX136" s="14"/>
      <c r="BY136" s="14"/>
      <c r="BZ136" s="14"/>
      <c r="CA136" s="14"/>
      <c r="CB136" s="87"/>
      <c r="CC136" s="233"/>
      <c r="CD136" s="233"/>
      <c r="CE136" s="233"/>
      <c r="CF136" s="21"/>
      <c r="CG136" s="21"/>
      <c r="CH136" s="14"/>
      <c r="CI136" s="14"/>
      <c r="CJ136" s="14"/>
      <c r="CK136" s="14"/>
      <c r="CL136" s="14"/>
      <c r="CM136" s="87"/>
      <c r="CN136" s="87"/>
      <c r="CO136" s="233"/>
      <c r="CP136" s="233"/>
      <c r="CQ136" s="233"/>
      <c r="CR136" s="21" t="s">
        <v>2603</v>
      </c>
      <c r="CS136" s="21"/>
      <c r="CT136" s="14"/>
      <c r="CU136" s="14" t="s">
        <v>3066</v>
      </c>
      <c r="CV136" s="14">
        <v>3</v>
      </c>
      <c r="CW136" s="14" t="s">
        <v>3792</v>
      </c>
      <c r="CX136" s="14" t="s">
        <v>3716</v>
      </c>
      <c r="CY136" s="87" t="s">
        <v>3736</v>
      </c>
      <c r="CZ136" s="87" t="s">
        <v>2604</v>
      </c>
      <c r="DA136" s="21"/>
      <c r="DB136" s="21"/>
      <c r="DC136" s="233"/>
      <c r="DD136" s="21" t="s">
        <v>2603</v>
      </c>
      <c r="DE136" s="21"/>
      <c r="DF136" s="14"/>
      <c r="DG136" s="14" t="s">
        <v>3066</v>
      </c>
      <c r="DH136" s="14">
        <v>3</v>
      </c>
      <c r="DI136" s="14" t="s">
        <v>3792</v>
      </c>
      <c r="DJ136" s="14" t="s">
        <v>3716</v>
      </c>
      <c r="DK136" s="87" t="s">
        <v>3736</v>
      </c>
      <c r="DL136" s="87" t="s">
        <v>2604</v>
      </c>
      <c r="DM136" s="21"/>
      <c r="DN136" s="21"/>
      <c r="DO136" s="233"/>
      <c r="DP136" s="21"/>
      <c r="DQ136" s="21"/>
      <c r="DR136" s="21"/>
      <c r="DS136" s="14"/>
      <c r="DT136" s="14"/>
      <c r="DU136" s="14"/>
      <c r="DV136" s="14"/>
      <c r="DW136" s="14"/>
      <c r="DX136" s="87"/>
      <c r="DY136" s="21"/>
      <c r="DZ136" s="233"/>
      <c r="EA136" s="233"/>
      <c r="EB136" s="21"/>
      <c r="EC136" s="21"/>
      <c r="ED136" s="21"/>
      <c r="EE136" s="14"/>
      <c r="EF136" s="14"/>
      <c r="EG136" s="14"/>
      <c r="EH136" s="14"/>
      <c r="EI136" s="14"/>
      <c r="EJ136" s="87"/>
      <c r="EK136" s="21"/>
      <c r="EL136" s="233"/>
      <c r="EM136" s="233"/>
      <c r="EN136" s="21" t="s">
        <v>2603</v>
      </c>
      <c r="EO136" s="21"/>
      <c r="EP136" s="14"/>
      <c r="EQ136" s="14" t="s">
        <v>3066</v>
      </c>
      <c r="ER136" s="14">
        <v>3</v>
      </c>
      <c r="ES136" s="14" t="s">
        <v>3792</v>
      </c>
      <c r="ET136" s="14" t="s">
        <v>3716</v>
      </c>
      <c r="EU136" s="87" t="s">
        <v>3736</v>
      </c>
      <c r="EV136" s="87" t="s">
        <v>2604</v>
      </c>
      <c r="EW136" s="21"/>
      <c r="EX136" s="21"/>
      <c r="EY136" s="233"/>
      <c r="EZ136" s="233"/>
      <c r="FA136" s="233"/>
      <c r="FB136" s="233"/>
      <c r="FC136" s="233"/>
      <c r="FD136" s="233"/>
    </row>
    <row r="137" spans="1:160">
      <c r="A137" s="20" t="s">
        <v>300</v>
      </c>
      <c r="B137" s="14">
        <v>3</v>
      </c>
      <c r="C137" s="14" t="s">
        <v>3666</v>
      </c>
      <c r="D137" s="14">
        <v>1</v>
      </c>
      <c r="E137" s="110" t="s">
        <v>3667</v>
      </c>
      <c r="F137" s="14" t="s">
        <v>3548</v>
      </c>
      <c r="G137" s="44" t="s">
        <v>3736</v>
      </c>
      <c r="H137" s="44" t="s">
        <v>3888</v>
      </c>
      <c r="I137" s="44" t="s">
        <v>3900</v>
      </c>
      <c r="J137" s="28" t="s">
        <v>4369</v>
      </c>
      <c r="L137" s="21" t="s">
        <v>3267</v>
      </c>
      <c r="M137" s="14"/>
      <c r="N137" s="21"/>
      <c r="O137" s="14" t="s">
        <v>3427</v>
      </c>
      <c r="P137" s="14">
        <v>3</v>
      </c>
      <c r="Q137" s="110" t="s">
        <v>3197</v>
      </c>
      <c r="R137" s="14" t="s">
        <v>2959</v>
      </c>
      <c r="S137" s="44" t="s">
        <v>3378</v>
      </c>
      <c r="T137" s="44" t="s">
        <v>2922</v>
      </c>
      <c r="U137" s="21"/>
      <c r="V137" s="21"/>
      <c r="W137" s="21"/>
      <c r="X137" s="21" t="s">
        <v>4143</v>
      </c>
      <c r="Y137" s="21"/>
      <c r="Z137" s="14"/>
      <c r="AA137" s="14" t="s">
        <v>2772</v>
      </c>
      <c r="AB137" s="14">
        <v>2</v>
      </c>
      <c r="AC137" s="110" t="s">
        <v>2795</v>
      </c>
      <c r="AD137" s="14" t="s">
        <v>3716</v>
      </c>
      <c r="AE137" s="87" t="s">
        <v>3395</v>
      </c>
      <c r="AF137" s="87" t="s">
        <v>3687</v>
      </c>
      <c r="AG137" s="21"/>
      <c r="AH137" s="21"/>
      <c r="AI137" s="21"/>
      <c r="AJ137" s="21"/>
      <c r="AK137" s="21"/>
      <c r="AL137" s="21"/>
      <c r="AM137" s="14"/>
      <c r="AN137" s="14"/>
      <c r="AO137" s="14"/>
      <c r="AP137" s="14"/>
      <c r="AQ137" s="14"/>
      <c r="AR137" s="87"/>
      <c r="AS137" s="21"/>
      <c r="AT137" s="21"/>
      <c r="AU137" s="21"/>
      <c r="AV137" s="21" t="s">
        <v>2450</v>
      </c>
      <c r="AW137" s="21"/>
      <c r="AX137" s="14"/>
      <c r="AY137" s="14" t="s">
        <v>2606</v>
      </c>
      <c r="AZ137" s="14">
        <v>3</v>
      </c>
      <c r="BA137" s="110" t="s">
        <v>2451</v>
      </c>
      <c r="BB137" s="14" t="s">
        <v>3548</v>
      </c>
      <c r="BC137" s="87" t="s">
        <v>3759</v>
      </c>
      <c r="BD137" s="87" t="s">
        <v>2452</v>
      </c>
      <c r="BE137" s="21"/>
      <c r="BF137" s="21"/>
      <c r="BG137" s="21"/>
      <c r="BH137" s="21"/>
      <c r="BI137" s="21"/>
      <c r="BJ137" s="21"/>
      <c r="BK137" s="14"/>
      <c r="BL137" s="14"/>
      <c r="BM137" s="14"/>
      <c r="BN137" s="14"/>
      <c r="BO137" s="14"/>
      <c r="BP137" s="87"/>
      <c r="BQ137" s="21"/>
      <c r="BR137" s="21"/>
      <c r="BS137" s="233"/>
      <c r="BT137" s="21"/>
      <c r="BU137" s="21"/>
      <c r="BV137" s="21"/>
      <c r="BW137" s="14"/>
      <c r="BX137" s="14"/>
      <c r="BY137" s="14"/>
      <c r="BZ137" s="14"/>
      <c r="CA137" s="14"/>
      <c r="CB137" s="87"/>
      <c r="CC137" s="233"/>
      <c r="CD137" s="233"/>
      <c r="CE137" s="233"/>
      <c r="CF137" s="21"/>
      <c r="CG137" s="21"/>
      <c r="CH137" s="21"/>
      <c r="CI137" s="14"/>
      <c r="CJ137" s="14"/>
      <c r="CK137" s="14"/>
      <c r="CL137" s="14"/>
      <c r="CM137" s="14"/>
      <c r="CN137" s="87"/>
      <c r="CO137" s="233"/>
      <c r="CP137" s="233"/>
      <c r="CQ137" s="233"/>
      <c r="CR137" s="21" t="s">
        <v>4143</v>
      </c>
      <c r="CS137" s="21"/>
      <c r="CT137" s="14"/>
      <c r="CU137" s="14" t="s">
        <v>2772</v>
      </c>
      <c r="CV137" s="14">
        <v>2</v>
      </c>
      <c r="CW137" s="110" t="s">
        <v>2795</v>
      </c>
      <c r="CX137" s="14" t="s">
        <v>3716</v>
      </c>
      <c r="CY137" s="87" t="s">
        <v>3395</v>
      </c>
      <c r="CZ137" s="87" t="s">
        <v>3687</v>
      </c>
      <c r="DA137" s="21"/>
      <c r="DB137" s="21"/>
      <c r="DC137" s="233"/>
      <c r="DD137" s="21" t="s">
        <v>4143</v>
      </c>
      <c r="DE137" s="21"/>
      <c r="DF137" s="14"/>
      <c r="DG137" s="14" t="s">
        <v>2772</v>
      </c>
      <c r="DH137" s="14">
        <v>2</v>
      </c>
      <c r="DI137" s="110" t="s">
        <v>2795</v>
      </c>
      <c r="DJ137" s="14" t="s">
        <v>3716</v>
      </c>
      <c r="DK137" s="87" t="s">
        <v>3395</v>
      </c>
      <c r="DL137" s="87" t="s">
        <v>3687</v>
      </c>
      <c r="DM137" s="21"/>
      <c r="DN137" s="21"/>
      <c r="DO137" s="233"/>
      <c r="DP137" s="21"/>
      <c r="DQ137" s="21"/>
      <c r="DR137" s="21"/>
      <c r="DS137" s="14"/>
      <c r="DT137" s="14"/>
      <c r="DU137" s="14"/>
      <c r="DV137" s="14"/>
      <c r="DW137" s="14"/>
      <c r="DX137" s="87"/>
      <c r="DY137" s="21"/>
      <c r="DZ137" s="233"/>
      <c r="EA137" s="233"/>
      <c r="EB137" s="21"/>
      <c r="EC137" s="21"/>
      <c r="ED137" s="21"/>
      <c r="EE137" s="14"/>
      <c r="EF137" s="14"/>
      <c r="EG137" s="14"/>
      <c r="EH137" s="14"/>
      <c r="EI137" s="14"/>
      <c r="EJ137" s="87"/>
      <c r="EK137" s="21"/>
      <c r="EL137" s="233"/>
      <c r="EM137" s="233"/>
      <c r="EN137" s="21" t="s">
        <v>4143</v>
      </c>
      <c r="EO137" s="21"/>
      <c r="EP137" s="14"/>
      <c r="EQ137" s="14" t="s">
        <v>2772</v>
      </c>
      <c r="ER137" s="14">
        <v>2</v>
      </c>
      <c r="ES137" s="110" t="s">
        <v>2795</v>
      </c>
      <c r="ET137" s="14" t="s">
        <v>3716</v>
      </c>
      <c r="EU137" s="87" t="s">
        <v>3395</v>
      </c>
      <c r="EV137" s="87" t="s">
        <v>3687</v>
      </c>
      <c r="EW137" s="21"/>
      <c r="EX137" s="21"/>
      <c r="EY137" s="233"/>
      <c r="EZ137" s="233"/>
      <c r="FA137" s="233"/>
      <c r="FB137" s="233"/>
      <c r="FC137" s="233"/>
      <c r="FD137" s="233"/>
    </row>
    <row r="138" spans="1:160">
      <c r="A138" s="20" t="s">
        <v>3679</v>
      </c>
      <c r="B138" s="14">
        <v>3</v>
      </c>
      <c r="C138" s="14" t="s">
        <v>3737</v>
      </c>
      <c r="D138" s="14">
        <v>1</v>
      </c>
      <c r="E138" s="110" t="s">
        <v>3749</v>
      </c>
      <c r="F138" s="14" t="s">
        <v>3898</v>
      </c>
      <c r="G138" s="44" t="s">
        <v>3736</v>
      </c>
      <c r="H138" s="44" t="s">
        <v>3680</v>
      </c>
      <c r="I138" s="44">
        <v>6</v>
      </c>
      <c r="J138" s="28" t="s">
        <v>4447</v>
      </c>
      <c r="L138" s="21" t="s">
        <v>4143</v>
      </c>
      <c r="M138" s="14"/>
      <c r="N138" s="21"/>
      <c r="O138" s="14" t="s">
        <v>2772</v>
      </c>
      <c r="P138" s="14">
        <v>2</v>
      </c>
      <c r="Q138" s="110" t="s">
        <v>2795</v>
      </c>
      <c r="R138" s="14" t="s">
        <v>3716</v>
      </c>
      <c r="S138" s="44" t="s">
        <v>3395</v>
      </c>
      <c r="T138" s="44" t="s">
        <v>3687</v>
      </c>
      <c r="U138" s="21"/>
      <c r="V138" s="21"/>
      <c r="W138" s="21"/>
      <c r="X138" s="21"/>
      <c r="Y138" s="21"/>
      <c r="Z138" s="21"/>
      <c r="AA138" s="14"/>
      <c r="AB138" s="14"/>
      <c r="AC138" s="14"/>
      <c r="AD138" s="14"/>
      <c r="AE138" s="14"/>
      <c r="AF138" s="87"/>
      <c r="AG138" s="21"/>
      <c r="AH138" s="21"/>
      <c r="AI138" s="21"/>
      <c r="AJ138" s="21"/>
      <c r="AK138" s="21"/>
      <c r="AL138" s="21"/>
      <c r="AM138" s="14"/>
      <c r="AN138" s="14"/>
      <c r="AO138" s="14"/>
      <c r="AP138" s="14"/>
      <c r="AQ138" s="14"/>
      <c r="AR138" s="87"/>
      <c r="AS138" s="21"/>
      <c r="AT138" s="21"/>
      <c r="AU138" s="21"/>
      <c r="AV138" s="21" t="s">
        <v>2453</v>
      </c>
      <c r="AW138" s="21"/>
      <c r="AX138" s="14"/>
      <c r="AY138" s="14" t="s">
        <v>3058</v>
      </c>
      <c r="AZ138" s="14">
        <v>2</v>
      </c>
      <c r="BA138" s="14" t="s">
        <v>3248</v>
      </c>
      <c r="BB138" s="14" t="s">
        <v>3898</v>
      </c>
      <c r="BC138" s="87" t="s">
        <v>3730</v>
      </c>
      <c r="BD138" s="87" t="s">
        <v>3746</v>
      </c>
      <c r="BE138" s="21"/>
      <c r="BF138" s="21"/>
      <c r="BG138" s="21"/>
      <c r="BH138" s="21"/>
      <c r="BI138" s="21"/>
      <c r="BJ138" s="21"/>
      <c r="BK138" s="14"/>
      <c r="BL138" s="14"/>
      <c r="BM138" s="14"/>
      <c r="BN138" s="14"/>
      <c r="BO138" s="14"/>
      <c r="BP138" s="87"/>
      <c r="BQ138" s="21"/>
      <c r="BR138" s="21"/>
      <c r="BS138" s="233"/>
      <c r="BT138" s="21"/>
      <c r="BU138" s="21"/>
      <c r="BV138" s="21"/>
      <c r="BW138" s="14"/>
      <c r="BX138" s="14"/>
      <c r="BY138" s="14"/>
      <c r="BZ138" s="14"/>
      <c r="CA138" s="14"/>
      <c r="CB138" s="87"/>
      <c r="CC138" s="233"/>
      <c r="CD138" s="233"/>
      <c r="CE138" s="233"/>
      <c r="CF138" s="21"/>
      <c r="CG138" s="21"/>
      <c r="CH138" s="21"/>
      <c r="CI138" s="14"/>
      <c r="CJ138" s="14"/>
      <c r="CK138" s="14"/>
      <c r="CL138" s="14"/>
      <c r="CM138" s="14"/>
      <c r="CN138" s="87"/>
      <c r="CO138" s="233"/>
      <c r="CP138" s="233"/>
      <c r="CQ138" s="233"/>
      <c r="CR138" s="21"/>
      <c r="CS138" s="21"/>
      <c r="CT138" s="21"/>
      <c r="CU138" s="14"/>
      <c r="CV138" s="14"/>
      <c r="CW138" s="14"/>
      <c r="CX138" s="14"/>
      <c r="CY138" s="14"/>
      <c r="CZ138" s="87"/>
      <c r="DA138" s="21"/>
      <c r="DB138" s="21"/>
      <c r="DC138" s="233"/>
      <c r="DD138" s="21"/>
      <c r="DE138" s="21"/>
      <c r="DF138" s="21"/>
      <c r="DG138" s="14"/>
      <c r="DH138" s="14"/>
      <c r="DI138" s="14"/>
      <c r="DJ138" s="14"/>
      <c r="DK138" s="14"/>
      <c r="DL138" s="87"/>
      <c r="DM138" s="21"/>
      <c r="DN138" s="21"/>
      <c r="DO138" s="233"/>
      <c r="DP138" s="21"/>
      <c r="DQ138" s="21"/>
      <c r="DR138" s="21"/>
      <c r="DS138" s="14"/>
      <c r="DT138" s="14"/>
      <c r="DU138" s="14"/>
      <c r="DV138" s="14"/>
      <c r="DW138" s="14"/>
      <c r="DX138" s="87"/>
      <c r="DY138" s="21"/>
      <c r="DZ138" s="233"/>
      <c r="EA138" s="233"/>
      <c r="EB138" s="21"/>
      <c r="EC138" s="21"/>
      <c r="ED138" s="21"/>
      <c r="EE138" s="14"/>
      <c r="EF138" s="14"/>
      <c r="EG138" s="14"/>
      <c r="EH138" s="14"/>
      <c r="EI138" s="14"/>
      <c r="EJ138" s="87"/>
      <c r="EK138" s="21"/>
      <c r="EL138" s="233"/>
      <c r="EM138" s="233"/>
      <c r="EN138" s="21"/>
      <c r="EO138" s="21"/>
      <c r="EP138" s="21"/>
      <c r="EQ138" s="14"/>
      <c r="ER138" s="14"/>
      <c r="ES138" s="14"/>
      <c r="ET138" s="14"/>
      <c r="EU138" s="14"/>
      <c r="EV138" s="87"/>
      <c r="EW138" s="21"/>
      <c r="EX138" s="21"/>
      <c r="EY138" s="233"/>
      <c r="EZ138" s="233"/>
      <c r="FA138" s="233"/>
      <c r="FB138" s="233"/>
      <c r="FC138" s="233"/>
      <c r="FD138" s="233"/>
    </row>
    <row r="139" spans="1:160">
      <c r="A139" s="20" t="s">
        <v>301</v>
      </c>
      <c r="B139" s="14">
        <v>3</v>
      </c>
      <c r="C139" s="14" t="s">
        <v>5881</v>
      </c>
      <c r="D139" s="14">
        <v>1</v>
      </c>
      <c r="E139" s="110" t="s">
        <v>3858</v>
      </c>
      <c r="F139" s="14" t="s">
        <v>3898</v>
      </c>
      <c r="G139" s="44" t="s">
        <v>395</v>
      </c>
      <c r="H139" s="44" t="s">
        <v>396</v>
      </c>
      <c r="I139" s="44" t="s">
        <v>3900</v>
      </c>
      <c r="J139" s="28" t="s">
        <v>4447</v>
      </c>
      <c r="L139" s="26" t="s">
        <v>5212</v>
      </c>
      <c r="M139" s="21"/>
      <c r="N139" s="108" t="s">
        <v>5018</v>
      </c>
      <c r="O139" s="108" t="s">
        <v>5701</v>
      </c>
      <c r="P139" s="108" t="s">
        <v>5019</v>
      </c>
      <c r="Q139" s="108" t="s">
        <v>5020</v>
      </c>
      <c r="R139" s="108" t="s">
        <v>5021</v>
      </c>
      <c r="S139" s="108" t="s">
        <v>5022</v>
      </c>
      <c r="T139" s="282" t="s">
        <v>5316</v>
      </c>
      <c r="U139" s="26"/>
      <c r="V139" s="21"/>
      <c r="W139" s="21"/>
      <c r="X139" s="26" t="s">
        <v>5212</v>
      </c>
      <c r="Y139" s="21"/>
      <c r="Z139" s="108" t="s">
        <v>5018</v>
      </c>
      <c r="AA139" s="108" t="s">
        <v>5701</v>
      </c>
      <c r="AB139" s="108" t="s">
        <v>5019</v>
      </c>
      <c r="AC139" s="108" t="s">
        <v>5020</v>
      </c>
      <c r="AD139" s="108" t="s">
        <v>5021</v>
      </c>
      <c r="AE139" s="108" t="s">
        <v>5022</v>
      </c>
      <c r="AF139" s="282" t="s">
        <v>5316</v>
      </c>
      <c r="AG139" s="26"/>
      <c r="AH139" s="21"/>
      <c r="AI139" s="21"/>
      <c r="AJ139" s="26" t="s">
        <v>5212</v>
      </c>
      <c r="AK139" s="21"/>
      <c r="AL139" s="108" t="s">
        <v>5018</v>
      </c>
      <c r="AM139" s="108" t="s">
        <v>5701</v>
      </c>
      <c r="AN139" s="108" t="s">
        <v>5019</v>
      </c>
      <c r="AO139" s="108" t="s">
        <v>5020</v>
      </c>
      <c r="AP139" s="108" t="s">
        <v>5021</v>
      </c>
      <c r="AQ139" s="108" t="s">
        <v>5022</v>
      </c>
      <c r="AR139" s="282" t="s">
        <v>5316</v>
      </c>
      <c r="AS139" s="26"/>
      <c r="AT139" s="21"/>
      <c r="AU139" s="21"/>
      <c r="AV139" s="26" t="s">
        <v>5212</v>
      </c>
      <c r="AW139" s="21"/>
      <c r="AX139" s="108" t="s">
        <v>5018</v>
      </c>
      <c r="AY139" s="108" t="s">
        <v>5701</v>
      </c>
      <c r="AZ139" s="108" t="s">
        <v>5019</v>
      </c>
      <c r="BA139" s="108" t="s">
        <v>5020</v>
      </c>
      <c r="BB139" s="108" t="s">
        <v>5021</v>
      </c>
      <c r="BC139" s="108" t="s">
        <v>5022</v>
      </c>
      <c r="BD139" s="282" t="s">
        <v>5316</v>
      </c>
      <c r="BE139" s="26"/>
      <c r="BF139" s="21"/>
      <c r="BG139" s="21"/>
      <c r="BH139" s="26" t="s">
        <v>5212</v>
      </c>
      <c r="BI139" s="21"/>
      <c r="BJ139" s="108" t="s">
        <v>5018</v>
      </c>
      <c r="BK139" s="108" t="s">
        <v>5701</v>
      </c>
      <c r="BL139" s="108" t="s">
        <v>5019</v>
      </c>
      <c r="BM139" s="108" t="s">
        <v>5020</v>
      </c>
      <c r="BN139" s="108" t="s">
        <v>5021</v>
      </c>
      <c r="BO139" s="108" t="s">
        <v>5022</v>
      </c>
      <c r="BP139" s="282" t="s">
        <v>5316</v>
      </c>
      <c r="BQ139" s="26"/>
      <c r="BR139" s="21"/>
      <c r="BS139" s="233"/>
      <c r="BT139" s="26" t="s">
        <v>5212</v>
      </c>
      <c r="BU139" s="21"/>
      <c r="BV139" s="108" t="s">
        <v>5018</v>
      </c>
      <c r="BW139" s="108" t="s">
        <v>5701</v>
      </c>
      <c r="BX139" s="108" t="s">
        <v>5019</v>
      </c>
      <c r="BY139" s="108" t="s">
        <v>5020</v>
      </c>
      <c r="BZ139" s="108" t="s">
        <v>5021</v>
      </c>
      <c r="CA139" s="108" t="s">
        <v>5022</v>
      </c>
      <c r="CB139" s="282" t="s">
        <v>5316</v>
      </c>
      <c r="CC139" s="233"/>
      <c r="CD139" s="233"/>
      <c r="CE139" s="233"/>
      <c r="CF139" s="26" t="s">
        <v>5212</v>
      </c>
      <c r="CG139" s="21"/>
      <c r="CH139" s="108" t="s">
        <v>5018</v>
      </c>
      <c r="CI139" s="108" t="s">
        <v>5701</v>
      </c>
      <c r="CJ139" s="108" t="s">
        <v>5019</v>
      </c>
      <c r="CK139" s="108" t="s">
        <v>5020</v>
      </c>
      <c r="CL139" s="108" t="s">
        <v>5021</v>
      </c>
      <c r="CM139" s="108" t="s">
        <v>5022</v>
      </c>
      <c r="CN139" s="282" t="s">
        <v>5316</v>
      </c>
      <c r="CO139" s="233"/>
      <c r="CP139" s="233"/>
      <c r="CQ139" s="233"/>
      <c r="CR139" s="26" t="s">
        <v>5212</v>
      </c>
      <c r="CS139" s="21"/>
      <c r="CT139" s="108" t="s">
        <v>5018</v>
      </c>
      <c r="CU139" s="108" t="s">
        <v>5701</v>
      </c>
      <c r="CV139" s="108" t="s">
        <v>5019</v>
      </c>
      <c r="CW139" s="108" t="s">
        <v>5020</v>
      </c>
      <c r="CX139" s="108" t="s">
        <v>5021</v>
      </c>
      <c r="CY139" s="108" t="s">
        <v>5022</v>
      </c>
      <c r="CZ139" s="282" t="s">
        <v>5316</v>
      </c>
      <c r="DA139" s="26"/>
      <c r="DB139" s="21"/>
      <c r="DC139" s="233"/>
      <c r="DD139" s="26" t="s">
        <v>5212</v>
      </c>
      <c r="DE139" s="21"/>
      <c r="DF139" s="108" t="s">
        <v>5018</v>
      </c>
      <c r="DG139" s="108" t="s">
        <v>5701</v>
      </c>
      <c r="DH139" s="108" t="s">
        <v>5019</v>
      </c>
      <c r="DI139" s="108" t="s">
        <v>5020</v>
      </c>
      <c r="DJ139" s="108" t="s">
        <v>5021</v>
      </c>
      <c r="DK139" s="108" t="s">
        <v>5022</v>
      </c>
      <c r="DL139" s="282" t="s">
        <v>5316</v>
      </c>
      <c r="DM139" s="26"/>
      <c r="DN139" s="21"/>
      <c r="DO139" s="233"/>
      <c r="DP139" s="26" t="s">
        <v>5212</v>
      </c>
      <c r="DQ139" s="21"/>
      <c r="DR139" s="108" t="s">
        <v>5018</v>
      </c>
      <c r="DS139" s="108" t="s">
        <v>5701</v>
      </c>
      <c r="DT139" s="108" t="s">
        <v>5019</v>
      </c>
      <c r="DU139" s="108" t="s">
        <v>5020</v>
      </c>
      <c r="DV139" s="108" t="s">
        <v>5021</v>
      </c>
      <c r="DW139" s="108" t="s">
        <v>5022</v>
      </c>
      <c r="DX139" s="282" t="s">
        <v>5316</v>
      </c>
      <c r="DY139" s="26"/>
      <c r="DZ139" s="233"/>
      <c r="EA139" s="233"/>
      <c r="EB139" s="26" t="s">
        <v>5212</v>
      </c>
      <c r="EC139" s="21"/>
      <c r="ED139" s="108" t="s">
        <v>5018</v>
      </c>
      <c r="EE139" s="108" t="s">
        <v>5701</v>
      </c>
      <c r="EF139" s="108" t="s">
        <v>5019</v>
      </c>
      <c r="EG139" s="108" t="s">
        <v>5020</v>
      </c>
      <c r="EH139" s="108" t="s">
        <v>5021</v>
      </c>
      <c r="EI139" s="108" t="s">
        <v>5022</v>
      </c>
      <c r="EJ139" s="282" t="s">
        <v>5316</v>
      </c>
      <c r="EK139" s="26"/>
      <c r="EL139" s="233"/>
      <c r="EM139" s="233"/>
      <c r="EN139" s="26" t="s">
        <v>5212</v>
      </c>
      <c r="EO139" s="21"/>
      <c r="EP139" s="108" t="s">
        <v>5018</v>
      </c>
      <c r="EQ139" s="108" t="s">
        <v>5701</v>
      </c>
      <c r="ER139" s="108" t="s">
        <v>5019</v>
      </c>
      <c r="ES139" s="108" t="s">
        <v>5020</v>
      </c>
      <c r="ET139" s="108" t="s">
        <v>5021</v>
      </c>
      <c r="EU139" s="108" t="s">
        <v>5022</v>
      </c>
      <c r="EV139" s="282" t="s">
        <v>5316</v>
      </c>
      <c r="EW139" s="26"/>
      <c r="EX139" s="21"/>
      <c r="EY139" s="233"/>
      <c r="EZ139" s="233"/>
      <c r="FA139" s="233"/>
      <c r="FB139" s="233"/>
      <c r="FC139" s="233"/>
      <c r="FD139" s="233"/>
    </row>
    <row r="140" spans="1:160">
      <c r="A140" s="20" t="s">
        <v>397</v>
      </c>
      <c r="B140" s="14">
        <v>3</v>
      </c>
      <c r="C140" s="14" t="s">
        <v>5881</v>
      </c>
      <c r="D140" s="14">
        <v>3</v>
      </c>
      <c r="E140" s="110" t="s">
        <v>3858</v>
      </c>
      <c r="F140" s="14" t="s">
        <v>3898</v>
      </c>
      <c r="G140" s="44" t="s">
        <v>3550</v>
      </c>
      <c r="H140" s="44" t="s">
        <v>398</v>
      </c>
      <c r="I140" s="44" t="s">
        <v>3900</v>
      </c>
      <c r="J140" s="28" t="s">
        <v>4447</v>
      </c>
      <c r="L140" s="21" t="s">
        <v>2610</v>
      </c>
      <c r="M140" s="14"/>
      <c r="N140" s="21"/>
      <c r="O140" s="14" t="s">
        <v>3427</v>
      </c>
      <c r="P140" s="14">
        <v>4</v>
      </c>
      <c r="Q140" s="110" t="s">
        <v>2611</v>
      </c>
      <c r="R140" s="14" t="s">
        <v>3914</v>
      </c>
      <c r="S140" s="44" t="s">
        <v>3765</v>
      </c>
      <c r="T140" s="44" t="s">
        <v>3286</v>
      </c>
      <c r="U140" s="14"/>
      <c r="V140" s="21"/>
      <c r="W140" s="21"/>
      <c r="X140" s="21" t="s">
        <v>2612</v>
      </c>
      <c r="Y140" s="21"/>
      <c r="Z140" s="14"/>
      <c r="AA140" s="14" t="s">
        <v>2772</v>
      </c>
      <c r="AB140" s="14">
        <v>2</v>
      </c>
      <c r="AC140" s="14" t="s">
        <v>3887</v>
      </c>
      <c r="AD140" s="14" t="s">
        <v>3898</v>
      </c>
      <c r="AE140" s="87" t="s">
        <v>3759</v>
      </c>
      <c r="AF140" s="87" t="s">
        <v>3286</v>
      </c>
      <c r="AG140" s="14"/>
      <c r="AH140" s="21"/>
      <c r="AI140" s="21"/>
      <c r="AJ140" s="21" t="s">
        <v>2610</v>
      </c>
      <c r="AK140" s="21"/>
      <c r="AL140" s="14"/>
      <c r="AM140" s="14" t="s">
        <v>3427</v>
      </c>
      <c r="AN140" s="14">
        <v>4</v>
      </c>
      <c r="AO140" s="14" t="s">
        <v>2611</v>
      </c>
      <c r="AP140" s="14" t="s">
        <v>3914</v>
      </c>
      <c r="AQ140" s="87" t="s">
        <v>3765</v>
      </c>
      <c r="AR140" s="87" t="s">
        <v>3286</v>
      </c>
      <c r="AS140" s="14"/>
      <c r="AT140" s="21"/>
      <c r="AU140" s="21"/>
      <c r="AV140" s="21" t="s">
        <v>2613</v>
      </c>
      <c r="AW140" s="21"/>
      <c r="AX140" s="21"/>
      <c r="AY140" s="14" t="s">
        <v>3912</v>
      </c>
      <c r="AZ140" s="14">
        <v>3</v>
      </c>
      <c r="BA140" s="110" t="s">
        <v>3341</v>
      </c>
      <c r="BB140" s="14" t="s">
        <v>3548</v>
      </c>
      <c r="BC140" s="111" t="s">
        <v>3843</v>
      </c>
      <c r="BD140" s="111" t="s">
        <v>3687</v>
      </c>
      <c r="BE140" s="14"/>
      <c r="BF140" s="21"/>
      <c r="BG140" s="21"/>
      <c r="BH140" s="21" t="s">
        <v>336</v>
      </c>
      <c r="BI140" s="21"/>
      <c r="BJ140" s="14"/>
      <c r="BK140" s="14" t="s">
        <v>5750</v>
      </c>
      <c r="BL140" s="14">
        <v>2</v>
      </c>
      <c r="BM140" s="110" t="s">
        <v>2609</v>
      </c>
      <c r="BN140" s="14" t="s">
        <v>3979</v>
      </c>
      <c r="BO140" s="44" t="s">
        <v>3736</v>
      </c>
      <c r="BP140" s="44" t="s">
        <v>3746</v>
      </c>
      <c r="BQ140" s="14"/>
      <c r="BR140" s="21"/>
      <c r="BS140" s="233"/>
      <c r="BT140" s="21" t="s">
        <v>2616</v>
      </c>
      <c r="BU140" s="21"/>
      <c r="BV140" s="14"/>
      <c r="BW140" s="14" t="s">
        <v>3199</v>
      </c>
      <c r="BX140" s="14" t="s">
        <v>2617</v>
      </c>
      <c r="BY140" s="110" t="s">
        <v>3526</v>
      </c>
      <c r="BZ140" s="14" t="s">
        <v>3487</v>
      </c>
      <c r="CA140" s="87" t="s">
        <v>2792</v>
      </c>
      <c r="CB140" s="44" t="s">
        <v>2618</v>
      </c>
      <c r="CC140" s="233"/>
      <c r="CD140" s="233"/>
      <c r="CE140" s="233"/>
      <c r="CF140" s="21" t="s">
        <v>336</v>
      </c>
      <c r="CG140" s="21"/>
      <c r="CH140" s="14"/>
      <c r="CI140" s="14" t="s">
        <v>5750</v>
      </c>
      <c r="CJ140" s="14">
        <v>2</v>
      </c>
      <c r="CK140" s="110" t="s">
        <v>2609</v>
      </c>
      <c r="CL140" s="14" t="s">
        <v>3979</v>
      </c>
      <c r="CM140" s="44" t="s">
        <v>3736</v>
      </c>
      <c r="CN140" s="44" t="s">
        <v>3746</v>
      </c>
      <c r="CO140" s="233"/>
      <c r="CP140" s="233"/>
      <c r="CQ140" s="233"/>
      <c r="CR140" s="21" t="s">
        <v>2612</v>
      </c>
      <c r="CS140" s="21"/>
      <c r="CT140" s="14"/>
      <c r="CU140" s="14" t="s">
        <v>2772</v>
      </c>
      <c r="CV140" s="14">
        <v>2</v>
      </c>
      <c r="CW140" s="14" t="s">
        <v>3887</v>
      </c>
      <c r="CX140" s="14" t="s">
        <v>3898</v>
      </c>
      <c r="CY140" s="87" t="s">
        <v>3759</v>
      </c>
      <c r="CZ140" s="87" t="s">
        <v>3286</v>
      </c>
      <c r="DA140" s="14"/>
      <c r="DB140" s="21"/>
      <c r="DC140" s="233"/>
      <c r="DD140" s="21" t="s">
        <v>2612</v>
      </c>
      <c r="DE140" s="21"/>
      <c r="DF140" s="14"/>
      <c r="DG140" s="14" t="s">
        <v>2772</v>
      </c>
      <c r="DH140" s="14">
        <v>2</v>
      </c>
      <c r="DI140" s="14" t="s">
        <v>3887</v>
      </c>
      <c r="DJ140" s="14" t="s">
        <v>3898</v>
      </c>
      <c r="DK140" s="87" t="s">
        <v>3759</v>
      </c>
      <c r="DL140" s="87" t="s">
        <v>3286</v>
      </c>
      <c r="DM140" s="14"/>
      <c r="DN140" s="21"/>
      <c r="DO140" s="233"/>
      <c r="DP140" s="21" t="s">
        <v>3161</v>
      </c>
      <c r="DQ140" s="21"/>
      <c r="DR140" s="14"/>
      <c r="DS140" s="14" t="s">
        <v>2626</v>
      </c>
      <c r="DT140" s="14">
        <v>3</v>
      </c>
      <c r="DU140" s="14" t="s">
        <v>3331</v>
      </c>
      <c r="DV140" s="14" t="s">
        <v>3898</v>
      </c>
      <c r="DW140" s="87" t="s">
        <v>3901</v>
      </c>
      <c r="DX140" s="87" t="s">
        <v>3286</v>
      </c>
      <c r="DY140" s="14"/>
      <c r="DZ140" s="233"/>
      <c r="EA140" s="233"/>
      <c r="EB140" s="21" t="s">
        <v>2610</v>
      </c>
      <c r="EC140" s="21"/>
      <c r="ED140" s="14"/>
      <c r="EE140" s="14" t="s">
        <v>3427</v>
      </c>
      <c r="EF140" s="14">
        <v>4</v>
      </c>
      <c r="EG140" s="14" t="s">
        <v>2611</v>
      </c>
      <c r="EH140" s="14" t="s">
        <v>3914</v>
      </c>
      <c r="EI140" s="87" t="s">
        <v>3765</v>
      </c>
      <c r="EJ140" s="87" t="s">
        <v>3286</v>
      </c>
      <c r="EK140" s="14"/>
      <c r="EL140" s="233"/>
      <c r="EM140" s="233"/>
      <c r="EN140" s="21" t="s">
        <v>2612</v>
      </c>
      <c r="EO140" s="21"/>
      <c r="EP140" s="14"/>
      <c r="EQ140" s="14" t="s">
        <v>2772</v>
      </c>
      <c r="ER140" s="14">
        <v>2</v>
      </c>
      <c r="ES140" s="14" t="s">
        <v>3887</v>
      </c>
      <c r="ET140" s="14" t="s">
        <v>3898</v>
      </c>
      <c r="EU140" s="87" t="s">
        <v>3759</v>
      </c>
      <c r="EV140" s="87" t="s">
        <v>3286</v>
      </c>
      <c r="EW140" s="14"/>
      <c r="EX140" s="21"/>
      <c r="EY140" s="233"/>
      <c r="EZ140" s="233"/>
      <c r="FA140" s="233"/>
      <c r="FB140" s="233"/>
      <c r="FC140" s="233"/>
      <c r="FD140" s="233"/>
    </row>
    <row r="141" spans="1:160">
      <c r="A141" s="20" t="s">
        <v>3909</v>
      </c>
      <c r="B141" s="14">
        <v>3</v>
      </c>
      <c r="C141" s="14" t="s">
        <v>3564</v>
      </c>
      <c r="D141" s="14">
        <v>2</v>
      </c>
      <c r="E141" s="110" t="s">
        <v>3715</v>
      </c>
      <c r="F141" s="14" t="s">
        <v>3716</v>
      </c>
      <c r="G141" s="44" t="s">
        <v>3730</v>
      </c>
      <c r="H141" s="44" t="s">
        <v>3728</v>
      </c>
      <c r="I141" s="44" t="s">
        <v>3419</v>
      </c>
      <c r="J141" s="28" t="s">
        <v>2696</v>
      </c>
      <c r="L141" s="21" t="s">
        <v>2619</v>
      </c>
      <c r="M141" s="14"/>
      <c r="N141" s="21"/>
      <c r="O141" s="14" t="s">
        <v>3058</v>
      </c>
      <c r="P141" s="14">
        <v>3</v>
      </c>
      <c r="Q141" s="14" t="s">
        <v>3262</v>
      </c>
      <c r="R141" s="14" t="s">
        <v>3914</v>
      </c>
      <c r="S141" s="44" t="s">
        <v>3730</v>
      </c>
      <c r="T141" s="44" t="s">
        <v>3728</v>
      </c>
      <c r="U141" s="14"/>
      <c r="V141" s="21"/>
      <c r="W141" s="21"/>
      <c r="X141" s="21" t="s">
        <v>2620</v>
      </c>
      <c r="Y141" s="21"/>
      <c r="Z141" s="14"/>
      <c r="AA141" s="14" t="s">
        <v>2621</v>
      </c>
      <c r="AB141" s="14">
        <v>4</v>
      </c>
      <c r="AC141" s="14" t="s">
        <v>3019</v>
      </c>
      <c r="AD141" s="14" t="s">
        <v>3716</v>
      </c>
      <c r="AE141" s="87" t="s">
        <v>3759</v>
      </c>
      <c r="AF141" s="87" t="s">
        <v>3728</v>
      </c>
      <c r="AG141" s="14"/>
      <c r="AH141" s="21"/>
      <c r="AI141" s="21"/>
      <c r="AJ141" s="21" t="s">
        <v>2622</v>
      </c>
      <c r="AK141" s="21"/>
      <c r="AL141" s="21"/>
      <c r="AM141" s="14" t="s">
        <v>3455</v>
      </c>
      <c r="AN141" s="14">
        <v>4</v>
      </c>
      <c r="AO141" s="110" t="s">
        <v>2623</v>
      </c>
      <c r="AP141" s="14" t="s">
        <v>3914</v>
      </c>
      <c r="AQ141" s="111" t="s">
        <v>3550</v>
      </c>
      <c r="AR141" s="111" t="s">
        <v>2624</v>
      </c>
      <c r="AS141" s="14"/>
      <c r="AT141" s="21"/>
      <c r="AU141" s="21"/>
      <c r="AV141" s="21" t="s">
        <v>2619</v>
      </c>
      <c r="AW141" s="21"/>
      <c r="AX141" s="14"/>
      <c r="AY141" s="14" t="s">
        <v>3058</v>
      </c>
      <c r="AZ141" s="14">
        <v>3</v>
      </c>
      <c r="BA141" s="14" t="s">
        <v>3262</v>
      </c>
      <c r="BB141" s="14" t="s">
        <v>3914</v>
      </c>
      <c r="BC141" s="87" t="s">
        <v>3730</v>
      </c>
      <c r="BD141" s="87" t="s">
        <v>3728</v>
      </c>
      <c r="BE141" s="14"/>
      <c r="BF141" s="21"/>
      <c r="BG141" s="21"/>
      <c r="BH141" s="21" t="s">
        <v>2614</v>
      </c>
      <c r="BI141" s="21"/>
      <c r="BJ141" s="14"/>
      <c r="BK141" s="14" t="s">
        <v>2769</v>
      </c>
      <c r="BL141" s="14">
        <v>4</v>
      </c>
      <c r="BM141" s="14" t="s">
        <v>3516</v>
      </c>
      <c r="BN141" s="14" t="s">
        <v>3914</v>
      </c>
      <c r="BO141" s="87" t="s">
        <v>3550</v>
      </c>
      <c r="BP141" s="87" t="s">
        <v>2615</v>
      </c>
      <c r="BQ141" s="14"/>
      <c r="BR141" s="21"/>
      <c r="BS141" s="233"/>
      <c r="BT141" s="21" t="s">
        <v>2627</v>
      </c>
      <c r="BU141" s="21"/>
      <c r="BV141" s="14"/>
      <c r="BW141" s="14" t="s">
        <v>3427</v>
      </c>
      <c r="BX141" s="14">
        <v>4</v>
      </c>
      <c r="BY141" s="110" t="s">
        <v>2611</v>
      </c>
      <c r="BZ141" s="14" t="s">
        <v>2628</v>
      </c>
      <c r="CA141" s="87" t="s">
        <v>3759</v>
      </c>
      <c r="CB141" s="87" t="s">
        <v>3047</v>
      </c>
      <c r="CC141" s="233"/>
      <c r="CD141" s="233"/>
      <c r="CE141" s="233"/>
      <c r="CF141" s="21" t="s">
        <v>2614</v>
      </c>
      <c r="CG141" s="21"/>
      <c r="CH141" s="14"/>
      <c r="CI141" s="14" t="s">
        <v>2769</v>
      </c>
      <c r="CJ141" s="14">
        <v>4</v>
      </c>
      <c r="CK141" s="14" t="s">
        <v>3516</v>
      </c>
      <c r="CL141" s="14" t="s">
        <v>3914</v>
      </c>
      <c r="CM141" s="87" t="s">
        <v>3550</v>
      </c>
      <c r="CN141" s="87" t="s">
        <v>2615</v>
      </c>
      <c r="CO141" s="233"/>
      <c r="CP141" s="233"/>
      <c r="CQ141" s="233"/>
      <c r="CR141" s="21" t="s">
        <v>2620</v>
      </c>
      <c r="CS141" s="21"/>
      <c r="CT141" s="14"/>
      <c r="CU141" s="14" t="s">
        <v>2621</v>
      </c>
      <c r="CV141" s="14">
        <v>4</v>
      </c>
      <c r="CW141" s="14" t="s">
        <v>3019</v>
      </c>
      <c r="CX141" s="14" t="s">
        <v>3716</v>
      </c>
      <c r="CY141" s="87" t="s">
        <v>3759</v>
      </c>
      <c r="CZ141" s="87" t="s">
        <v>3728</v>
      </c>
      <c r="DA141" s="14"/>
      <c r="DB141" s="21"/>
      <c r="DC141" s="233"/>
      <c r="DD141" s="21" t="s">
        <v>2620</v>
      </c>
      <c r="DE141" s="21"/>
      <c r="DF141" s="14"/>
      <c r="DG141" s="14" t="s">
        <v>2621</v>
      </c>
      <c r="DH141" s="14">
        <v>4</v>
      </c>
      <c r="DI141" s="14" t="s">
        <v>3019</v>
      </c>
      <c r="DJ141" s="14" t="s">
        <v>3716</v>
      </c>
      <c r="DK141" s="87" t="s">
        <v>3759</v>
      </c>
      <c r="DL141" s="87" t="s">
        <v>3728</v>
      </c>
      <c r="DM141" s="14"/>
      <c r="DN141" s="21"/>
      <c r="DO141" s="233"/>
      <c r="DP141" s="21"/>
      <c r="DQ141" s="21"/>
      <c r="DR141" s="21"/>
      <c r="DS141" s="14"/>
      <c r="DT141" s="14"/>
      <c r="DU141" s="110"/>
      <c r="DV141" s="14"/>
      <c r="DW141" s="111"/>
      <c r="DX141" s="111"/>
      <c r="DY141" s="14"/>
      <c r="DZ141" s="233"/>
      <c r="EA141" s="233"/>
      <c r="EB141" s="21" t="s">
        <v>2622</v>
      </c>
      <c r="EC141" s="21"/>
      <c r="ED141" s="21"/>
      <c r="EE141" s="14" t="s">
        <v>3455</v>
      </c>
      <c r="EF141" s="14">
        <v>4</v>
      </c>
      <c r="EG141" s="110" t="s">
        <v>2623</v>
      </c>
      <c r="EH141" s="14" t="s">
        <v>3914</v>
      </c>
      <c r="EI141" s="111" t="s">
        <v>3550</v>
      </c>
      <c r="EJ141" s="111" t="s">
        <v>2624</v>
      </c>
      <c r="EK141" s="14"/>
      <c r="EL141" s="233"/>
      <c r="EM141" s="233"/>
      <c r="EN141" s="21" t="s">
        <v>2620</v>
      </c>
      <c r="EO141" s="21"/>
      <c r="EP141" s="14"/>
      <c r="EQ141" s="14" t="s">
        <v>2621</v>
      </c>
      <c r="ER141" s="14">
        <v>4</v>
      </c>
      <c r="ES141" s="14" t="s">
        <v>3019</v>
      </c>
      <c r="ET141" s="14" t="s">
        <v>3716</v>
      </c>
      <c r="EU141" s="87" t="s">
        <v>3759</v>
      </c>
      <c r="EV141" s="87" t="s">
        <v>3728</v>
      </c>
      <c r="EW141" s="14"/>
      <c r="EX141" s="21"/>
      <c r="EY141" s="233"/>
      <c r="EZ141" s="233"/>
      <c r="FA141" s="233"/>
      <c r="FB141" s="233"/>
      <c r="FC141" s="233"/>
      <c r="FD141" s="233"/>
    </row>
    <row r="142" spans="1:160">
      <c r="A142" s="20" t="s">
        <v>3704</v>
      </c>
      <c r="B142" s="14">
        <v>3</v>
      </c>
      <c r="C142" s="5" t="s">
        <v>3912</v>
      </c>
      <c r="D142" s="14" t="s">
        <v>5036</v>
      </c>
      <c r="E142" s="14" t="s">
        <v>3472</v>
      </c>
      <c r="F142" s="14" t="s">
        <v>3931</v>
      </c>
      <c r="G142" s="44" t="s">
        <v>3843</v>
      </c>
      <c r="H142" s="44" t="s">
        <v>3915</v>
      </c>
      <c r="I142" s="44" t="s">
        <v>3900</v>
      </c>
      <c r="J142" s="28" t="s">
        <v>4773</v>
      </c>
      <c r="L142" s="21" t="s">
        <v>2620</v>
      </c>
      <c r="M142" s="14"/>
      <c r="N142" s="21"/>
      <c r="O142" s="14" t="s">
        <v>2621</v>
      </c>
      <c r="P142" s="14">
        <v>4</v>
      </c>
      <c r="Q142" s="14" t="s">
        <v>3019</v>
      </c>
      <c r="R142" s="14" t="s">
        <v>3716</v>
      </c>
      <c r="S142" s="44" t="s">
        <v>3759</v>
      </c>
      <c r="T142" s="44" t="s">
        <v>3728</v>
      </c>
      <c r="U142" s="14"/>
      <c r="V142" s="21"/>
      <c r="W142" s="21"/>
      <c r="X142" s="21" t="s">
        <v>2629</v>
      </c>
      <c r="Y142" s="21"/>
      <c r="Z142" s="14"/>
      <c r="AA142" s="14" t="s">
        <v>2772</v>
      </c>
      <c r="AB142" s="14">
        <v>3</v>
      </c>
      <c r="AC142" s="110" t="s">
        <v>3516</v>
      </c>
      <c r="AD142" s="14" t="s">
        <v>3573</v>
      </c>
      <c r="AE142" s="87" t="s">
        <v>3612</v>
      </c>
      <c r="AF142" s="87" t="s">
        <v>3047</v>
      </c>
      <c r="AG142" s="14"/>
      <c r="AH142" s="21"/>
      <c r="AI142" s="21"/>
      <c r="AJ142" s="21" t="s">
        <v>2799</v>
      </c>
      <c r="AK142" s="21"/>
      <c r="AL142" s="21"/>
      <c r="AM142" s="14" t="s">
        <v>3929</v>
      </c>
      <c r="AN142" s="14">
        <v>6</v>
      </c>
      <c r="AO142" s="110" t="s">
        <v>2800</v>
      </c>
      <c r="AP142" s="14" t="s">
        <v>3898</v>
      </c>
      <c r="AQ142" s="111" t="s">
        <v>3420</v>
      </c>
      <c r="AR142" s="111" t="s">
        <v>2801</v>
      </c>
      <c r="AS142" s="14"/>
      <c r="AT142" s="21"/>
      <c r="AU142" s="21"/>
      <c r="AV142" s="21" t="s">
        <v>2802</v>
      </c>
      <c r="AW142" s="21"/>
      <c r="AX142" s="14"/>
      <c r="AY142" s="14" t="s">
        <v>2606</v>
      </c>
      <c r="AZ142" s="14">
        <v>3</v>
      </c>
      <c r="BA142" s="14" t="s">
        <v>3262</v>
      </c>
      <c r="BB142" s="14" t="s">
        <v>3854</v>
      </c>
      <c r="BC142" s="87" t="s">
        <v>3361</v>
      </c>
      <c r="BD142" s="87" t="s">
        <v>3859</v>
      </c>
      <c r="BE142" s="14"/>
      <c r="BF142" s="21"/>
      <c r="BG142" s="21"/>
      <c r="BH142" s="21" t="s">
        <v>2625</v>
      </c>
      <c r="BI142" s="21"/>
      <c r="BJ142" s="14"/>
      <c r="BK142" s="14" t="s">
        <v>2626</v>
      </c>
      <c r="BL142" s="14">
        <v>2</v>
      </c>
      <c r="BM142" s="14" t="s">
        <v>3019</v>
      </c>
      <c r="BN142" s="14" t="s">
        <v>3548</v>
      </c>
      <c r="BO142" s="87" t="s">
        <v>3843</v>
      </c>
      <c r="BP142" s="87" t="s">
        <v>3047</v>
      </c>
      <c r="BQ142" s="14"/>
      <c r="BR142" s="21"/>
      <c r="BS142" s="233"/>
      <c r="BT142" s="21" t="s">
        <v>2805</v>
      </c>
      <c r="BU142" s="21"/>
      <c r="BV142" s="14"/>
      <c r="BW142" s="14" t="s">
        <v>3237</v>
      </c>
      <c r="BX142" s="14">
        <v>3</v>
      </c>
      <c r="BY142" s="110" t="s">
        <v>2800</v>
      </c>
      <c r="BZ142" s="14" t="s">
        <v>3548</v>
      </c>
      <c r="CA142" s="87" t="s">
        <v>3937</v>
      </c>
      <c r="CB142" s="44" t="s">
        <v>2806</v>
      </c>
      <c r="CC142" s="233"/>
      <c r="CD142" s="233"/>
      <c r="CE142" s="233"/>
      <c r="CF142" s="21" t="s">
        <v>2625</v>
      </c>
      <c r="CG142" s="21"/>
      <c r="CH142" s="14"/>
      <c r="CI142" s="14" t="s">
        <v>2626</v>
      </c>
      <c r="CJ142" s="14">
        <v>2</v>
      </c>
      <c r="CK142" s="14" t="s">
        <v>3019</v>
      </c>
      <c r="CL142" s="14" t="s">
        <v>3548</v>
      </c>
      <c r="CM142" s="87" t="s">
        <v>3843</v>
      </c>
      <c r="CN142" s="87" t="s">
        <v>3047</v>
      </c>
      <c r="CO142" s="233"/>
      <c r="CP142" s="233"/>
      <c r="CQ142" s="233"/>
      <c r="CR142" s="21" t="s">
        <v>2629</v>
      </c>
      <c r="CS142" s="21"/>
      <c r="CT142" s="14"/>
      <c r="CU142" s="14" t="s">
        <v>2772</v>
      </c>
      <c r="CV142" s="14">
        <v>3</v>
      </c>
      <c r="CW142" s="110" t="s">
        <v>3516</v>
      </c>
      <c r="CX142" s="14" t="s">
        <v>3573</v>
      </c>
      <c r="CY142" s="87" t="s">
        <v>3612</v>
      </c>
      <c r="CZ142" s="87" t="s">
        <v>3047</v>
      </c>
      <c r="DA142" s="14"/>
      <c r="DB142" s="21"/>
      <c r="DC142" s="233"/>
      <c r="DD142" s="21" t="s">
        <v>2629</v>
      </c>
      <c r="DE142" s="21"/>
      <c r="DF142" s="14"/>
      <c r="DG142" s="14" t="s">
        <v>2772</v>
      </c>
      <c r="DH142" s="14">
        <v>3</v>
      </c>
      <c r="DI142" s="110" t="s">
        <v>3516</v>
      </c>
      <c r="DJ142" s="14" t="s">
        <v>3573</v>
      </c>
      <c r="DK142" s="87" t="s">
        <v>3612</v>
      </c>
      <c r="DL142" s="87" t="s">
        <v>3047</v>
      </c>
      <c r="DM142" s="14"/>
      <c r="DN142" s="21"/>
      <c r="DO142" s="233"/>
      <c r="DP142" s="21"/>
      <c r="DQ142" s="21"/>
      <c r="DR142" s="14"/>
      <c r="DS142" s="14"/>
      <c r="DT142" s="14"/>
      <c r="DU142" s="14"/>
      <c r="DV142" s="14"/>
      <c r="DW142" s="87"/>
      <c r="DX142" s="87"/>
      <c r="DY142" s="14"/>
      <c r="DZ142" s="233"/>
      <c r="EA142" s="233"/>
      <c r="EB142" s="21" t="s">
        <v>2799</v>
      </c>
      <c r="EC142" s="21"/>
      <c r="ED142" s="21"/>
      <c r="EE142" s="14" t="s">
        <v>3929</v>
      </c>
      <c r="EF142" s="14">
        <v>6</v>
      </c>
      <c r="EG142" s="110" t="s">
        <v>2800</v>
      </c>
      <c r="EH142" s="14" t="s">
        <v>3898</v>
      </c>
      <c r="EI142" s="111" t="s">
        <v>3420</v>
      </c>
      <c r="EJ142" s="111" t="s">
        <v>2801</v>
      </c>
      <c r="EK142" s="14"/>
      <c r="EL142" s="233"/>
      <c r="EM142" s="233"/>
      <c r="EN142" s="21" t="s">
        <v>2629</v>
      </c>
      <c r="EO142" s="21"/>
      <c r="EP142" s="14"/>
      <c r="EQ142" s="14" t="s">
        <v>2772</v>
      </c>
      <c r="ER142" s="14">
        <v>3</v>
      </c>
      <c r="ES142" s="110" t="s">
        <v>3516</v>
      </c>
      <c r="ET142" s="14" t="s">
        <v>3573</v>
      </c>
      <c r="EU142" s="87" t="s">
        <v>3612</v>
      </c>
      <c r="EV142" s="87" t="s">
        <v>3047</v>
      </c>
      <c r="EW142" s="14"/>
      <c r="EX142" s="21"/>
      <c r="EY142" s="233"/>
      <c r="EZ142" s="233"/>
      <c r="FA142" s="233"/>
      <c r="FB142" s="233"/>
      <c r="FC142" s="233"/>
      <c r="FD142" s="233"/>
    </row>
    <row r="143" spans="1:160">
      <c r="A143" s="20" t="s">
        <v>391</v>
      </c>
      <c r="B143" s="14">
        <v>3</v>
      </c>
      <c r="C143" s="5" t="s">
        <v>5880</v>
      </c>
      <c r="D143" s="14" t="s">
        <v>5036</v>
      </c>
      <c r="E143" s="106" t="s">
        <v>3858</v>
      </c>
      <c r="F143" s="14" t="s">
        <v>3548</v>
      </c>
      <c r="G143" s="44" t="s">
        <v>3843</v>
      </c>
      <c r="H143" s="107" t="s">
        <v>299</v>
      </c>
      <c r="I143" s="44" t="s">
        <v>3900</v>
      </c>
      <c r="J143" s="28" t="s">
        <v>4555</v>
      </c>
      <c r="L143" s="21" t="s">
        <v>2629</v>
      </c>
      <c r="M143" s="14"/>
      <c r="N143" s="21"/>
      <c r="O143" s="14" t="s">
        <v>2772</v>
      </c>
      <c r="P143" s="14">
        <v>3</v>
      </c>
      <c r="Q143" s="110" t="s">
        <v>3516</v>
      </c>
      <c r="R143" s="14" t="s">
        <v>3573</v>
      </c>
      <c r="S143" s="44" t="s">
        <v>3612</v>
      </c>
      <c r="T143" s="44" t="s">
        <v>3047</v>
      </c>
      <c r="U143" s="14"/>
      <c r="V143" s="21"/>
      <c r="W143" s="21"/>
      <c r="X143" s="21" t="s">
        <v>2807</v>
      </c>
      <c r="Y143" s="21"/>
      <c r="Z143" s="14"/>
      <c r="AA143" s="14" t="s">
        <v>2865</v>
      </c>
      <c r="AB143" s="110" t="s">
        <v>2808</v>
      </c>
      <c r="AC143" s="14" t="s">
        <v>2809</v>
      </c>
      <c r="AD143" s="14" t="s">
        <v>3376</v>
      </c>
      <c r="AE143" s="87" t="s">
        <v>3651</v>
      </c>
      <c r="AF143" s="87" t="s">
        <v>2968</v>
      </c>
      <c r="AG143" s="14"/>
      <c r="AH143" s="21"/>
      <c r="AI143" s="21"/>
      <c r="AJ143" s="21" t="s">
        <v>2969</v>
      </c>
      <c r="AK143" s="21"/>
      <c r="AL143" s="14"/>
      <c r="AM143" s="14" t="s">
        <v>2970</v>
      </c>
      <c r="AN143" s="14">
        <v>3</v>
      </c>
      <c r="AO143" s="14" t="s">
        <v>2971</v>
      </c>
      <c r="AP143" s="14" t="s">
        <v>3376</v>
      </c>
      <c r="AQ143" s="87" t="s">
        <v>3901</v>
      </c>
      <c r="AR143" s="87" t="s">
        <v>3728</v>
      </c>
      <c r="AS143" s="14"/>
      <c r="AT143" s="21"/>
      <c r="AU143" s="21"/>
      <c r="AV143" s="21" t="s">
        <v>2815</v>
      </c>
      <c r="AW143" s="21"/>
      <c r="AX143" s="14"/>
      <c r="AY143" s="14" t="s">
        <v>2865</v>
      </c>
      <c r="AZ143" s="14" t="s">
        <v>2808</v>
      </c>
      <c r="BA143" s="110" t="s">
        <v>2809</v>
      </c>
      <c r="BB143" s="14" t="s">
        <v>3376</v>
      </c>
      <c r="BC143" s="87" t="s">
        <v>3651</v>
      </c>
      <c r="BD143" s="87" t="s">
        <v>2968</v>
      </c>
      <c r="BE143" s="14"/>
      <c r="BF143" s="21"/>
      <c r="BG143" s="21"/>
      <c r="BH143" s="21" t="s">
        <v>2960</v>
      </c>
      <c r="BI143" s="21"/>
      <c r="BJ143" s="14"/>
      <c r="BK143" s="14" t="s">
        <v>2769</v>
      </c>
      <c r="BL143" s="14">
        <v>3</v>
      </c>
      <c r="BM143" s="110" t="s">
        <v>3353</v>
      </c>
      <c r="BN143" s="14" t="s">
        <v>2959</v>
      </c>
      <c r="BO143" s="87" t="s">
        <v>3378</v>
      </c>
      <c r="BP143" s="87" t="s">
        <v>3286</v>
      </c>
      <c r="BQ143" s="14"/>
      <c r="BR143" s="21"/>
      <c r="BS143" s="233"/>
      <c r="BT143" s="21" t="s">
        <v>2977</v>
      </c>
      <c r="BU143" s="21"/>
      <c r="BV143" s="14"/>
      <c r="BW143" s="14" t="s">
        <v>3237</v>
      </c>
      <c r="BX143" s="14">
        <v>3</v>
      </c>
      <c r="BY143" s="110" t="s">
        <v>3331</v>
      </c>
      <c r="BZ143" s="14" t="s">
        <v>3898</v>
      </c>
      <c r="CA143" s="87" t="s">
        <v>3651</v>
      </c>
      <c r="CB143" s="44" t="s">
        <v>2978</v>
      </c>
      <c r="CC143" s="233"/>
      <c r="CD143" s="233"/>
      <c r="CE143" s="233"/>
      <c r="CF143" s="21" t="s">
        <v>2960</v>
      </c>
      <c r="CG143" s="21"/>
      <c r="CH143" s="14"/>
      <c r="CI143" s="14" t="s">
        <v>2769</v>
      </c>
      <c r="CJ143" s="14">
        <v>3</v>
      </c>
      <c r="CK143" s="110" t="s">
        <v>3353</v>
      </c>
      <c r="CL143" s="14" t="s">
        <v>2959</v>
      </c>
      <c r="CM143" s="87" t="s">
        <v>3378</v>
      </c>
      <c r="CN143" s="87" t="s">
        <v>3286</v>
      </c>
      <c r="CO143" s="233"/>
      <c r="CP143" s="233"/>
      <c r="CQ143" s="233"/>
      <c r="CR143" s="21" t="s">
        <v>2807</v>
      </c>
      <c r="CS143" s="21"/>
      <c r="CT143" s="14"/>
      <c r="CU143" s="14" t="s">
        <v>2865</v>
      </c>
      <c r="CV143" s="110" t="s">
        <v>2808</v>
      </c>
      <c r="CW143" s="14" t="s">
        <v>2809</v>
      </c>
      <c r="CX143" s="14" t="s">
        <v>3376</v>
      </c>
      <c r="CY143" s="87" t="s">
        <v>3651</v>
      </c>
      <c r="CZ143" s="87" t="s">
        <v>2968</v>
      </c>
      <c r="DA143" s="14"/>
      <c r="DB143" s="21"/>
      <c r="DC143" s="233"/>
      <c r="DD143" s="21" t="s">
        <v>2807</v>
      </c>
      <c r="DE143" s="21"/>
      <c r="DF143" s="14"/>
      <c r="DG143" s="14" t="s">
        <v>2865</v>
      </c>
      <c r="DH143" s="110" t="s">
        <v>2808</v>
      </c>
      <c r="DI143" s="14" t="s">
        <v>2809</v>
      </c>
      <c r="DJ143" s="14" t="s">
        <v>3376</v>
      </c>
      <c r="DK143" s="87" t="s">
        <v>3651</v>
      </c>
      <c r="DL143" s="87" t="s">
        <v>2968</v>
      </c>
      <c r="DM143" s="14"/>
      <c r="DN143" s="21"/>
      <c r="DO143" s="233"/>
      <c r="DP143" s="21"/>
      <c r="DQ143" s="21"/>
      <c r="DR143" s="14"/>
      <c r="DS143" s="14"/>
      <c r="DT143" s="14"/>
      <c r="DU143" s="110"/>
      <c r="DV143" s="14"/>
      <c r="DW143" s="87"/>
      <c r="DX143" s="87"/>
      <c r="DY143" s="14"/>
      <c r="DZ143" s="233"/>
      <c r="EA143" s="233"/>
      <c r="EB143" s="21" t="s">
        <v>2969</v>
      </c>
      <c r="EC143" s="21"/>
      <c r="ED143" s="14"/>
      <c r="EE143" s="14" t="s">
        <v>2970</v>
      </c>
      <c r="EF143" s="14">
        <v>3</v>
      </c>
      <c r="EG143" s="14" t="s">
        <v>2971</v>
      </c>
      <c r="EH143" s="14" t="s">
        <v>3376</v>
      </c>
      <c r="EI143" s="87" t="s">
        <v>3901</v>
      </c>
      <c r="EJ143" s="87" t="s">
        <v>3728</v>
      </c>
      <c r="EK143" s="14"/>
      <c r="EL143" s="233"/>
      <c r="EM143" s="233"/>
      <c r="EN143" s="21" t="s">
        <v>2807</v>
      </c>
      <c r="EO143" s="21"/>
      <c r="EP143" s="14"/>
      <c r="EQ143" s="14" t="s">
        <v>2865</v>
      </c>
      <c r="ER143" s="110" t="s">
        <v>2808</v>
      </c>
      <c r="ES143" s="14" t="s">
        <v>2809</v>
      </c>
      <c r="ET143" s="14" t="s">
        <v>3376</v>
      </c>
      <c r="EU143" s="87" t="s">
        <v>3651</v>
      </c>
      <c r="EV143" s="87" t="s">
        <v>2968</v>
      </c>
      <c r="EW143" s="14"/>
      <c r="EX143" s="21"/>
      <c r="EY143" s="233"/>
      <c r="EZ143" s="233"/>
      <c r="FA143" s="233"/>
      <c r="FB143" s="233"/>
      <c r="FC143" s="233"/>
      <c r="FD143" s="233"/>
    </row>
    <row r="144" spans="1:160">
      <c r="A144" s="20" t="s">
        <v>3857</v>
      </c>
      <c r="B144" s="14">
        <v>3</v>
      </c>
      <c r="C144" s="14" t="s">
        <v>3551</v>
      </c>
      <c r="D144" s="14">
        <v>1</v>
      </c>
      <c r="E144" s="110" t="s">
        <v>3858</v>
      </c>
      <c r="F144" s="14" t="s">
        <v>3854</v>
      </c>
      <c r="G144" s="44" t="s">
        <v>3736</v>
      </c>
      <c r="H144" s="44" t="s">
        <v>3859</v>
      </c>
      <c r="I144" s="44" t="s">
        <v>3900</v>
      </c>
      <c r="J144" s="28" t="s">
        <v>4946</v>
      </c>
      <c r="L144" s="21" t="s">
        <v>2979</v>
      </c>
      <c r="M144" s="14"/>
      <c r="N144" s="21"/>
      <c r="O144" s="14" t="s">
        <v>3058</v>
      </c>
      <c r="P144" s="14">
        <v>6</v>
      </c>
      <c r="Q144" s="14" t="s">
        <v>2980</v>
      </c>
      <c r="R144" s="14" t="s">
        <v>3947</v>
      </c>
      <c r="S144" s="44" t="s">
        <v>3651</v>
      </c>
      <c r="T144" s="44" t="s">
        <v>2981</v>
      </c>
      <c r="U144" s="14"/>
      <c r="V144" s="21"/>
      <c r="W144" s="21"/>
      <c r="X144" s="21" t="s">
        <v>2982</v>
      </c>
      <c r="Y144" s="21"/>
      <c r="Z144" s="14"/>
      <c r="AA144" s="14" t="s">
        <v>2983</v>
      </c>
      <c r="AB144" s="14">
        <v>4</v>
      </c>
      <c r="AC144" s="110" t="s">
        <v>2984</v>
      </c>
      <c r="AD144" s="14" t="s">
        <v>3898</v>
      </c>
      <c r="AE144" s="87" t="s">
        <v>3550</v>
      </c>
      <c r="AF144" s="87" t="s">
        <v>5483</v>
      </c>
      <c r="AG144" s="14"/>
      <c r="AH144" s="21"/>
      <c r="AI144" s="21"/>
      <c r="AJ144" s="21" t="s">
        <v>2985</v>
      </c>
      <c r="AK144" s="21"/>
      <c r="AL144" s="14"/>
      <c r="AM144" s="14" t="s">
        <v>3142</v>
      </c>
      <c r="AN144" s="14" t="s">
        <v>2808</v>
      </c>
      <c r="AO144" s="110" t="s">
        <v>2986</v>
      </c>
      <c r="AP144" s="14" t="s">
        <v>3979</v>
      </c>
      <c r="AQ144" s="87" t="s">
        <v>3843</v>
      </c>
      <c r="AR144" s="87" t="s">
        <v>3488</v>
      </c>
      <c r="AS144" s="14"/>
      <c r="AT144" s="21"/>
      <c r="AU144" s="21"/>
      <c r="AV144" s="21" t="s">
        <v>2979</v>
      </c>
      <c r="AW144" s="21"/>
      <c r="AX144" s="14"/>
      <c r="AY144" s="14" t="s">
        <v>3058</v>
      </c>
      <c r="AZ144" s="110" t="s">
        <v>2980</v>
      </c>
      <c r="BA144" s="14" t="s">
        <v>2980</v>
      </c>
      <c r="BB144" s="14" t="s">
        <v>3947</v>
      </c>
      <c r="BC144" s="87" t="s">
        <v>3651</v>
      </c>
      <c r="BD144" s="87" t="s">
        <v>2981</v>
      </c>
      <c r="BE144" s="14"/>
      <c r="BF144" s="21"/>
      <c r="BG144" s="21"/>
      <c r="BH144" s="21" t="s">
        <v>2816</v>
      </c>
      <c r="BI144" s="21"/>
      <c r="BJ144" s="14"/>
      <c r="BK144" s="14" t="s">
        <v>2769</v>
      </c>
      <c r="BL144" s="110">
        <v>2</v>
      </c>
      <c r="BM144" s="14" t="s">
        <v>3262</v>
      </c>
      <c r="BN144" s="14" t="s">
        <v>3898</v>
      </c>
      <c r="BO144" s="87" t="s">
        <v>2817</v>
      </c>
      <c r="BP144" s="87" t="s">
        <v>3351</v>
      </c>
      <c r="BQ144" s="14"/>
      <c r="BR144" s="21"/>
      <c r="BS144" s="233"/>
      <c r="BT144" s="21" t="s">
        <v>2987</v>
      </c>
      <c r="BU144" s="21"/>
      <c r="BV144" s="14"/>
      <c r="BW144" s="14" t="s">
        <v>2772</v>
      </c>
      <c r="BX144" s="14">
        <v>3</v>
      </c>
      <c r="BY144" s="14" t="s">
        <v>3887</v>
      </c>
      <c r="BZ144" s="14" t="s">
        <v>3898</v>
      </c>
      <c r="CA144" s="87" t="s">
        <v>3612</v>
      </c>
      <c r="CB144" s="87" t="s">
        <v>4209</v>
      </c>
      <c r="CC144" s="233"/>
      <c r="CD144" s="233"/>
      <c r="CE144" s="233"/>
      <c r="CF144" s="21" t="s">
        <v>2816</v>
      </c>
      <c r="CG144" s="21"/>
      <c r="CH144" s="14"/>
      <c r="CI144" s="14" t="s">
        <v>2769</v>
      </c>
      <c r="CJ144" s="110">
        <v>2</v>
      </c>
      <c r="CK144" s="14" t="s">
        <v>3262</v>
      </c>
      <c r="CL144" s="14" t="s">
        <v>3898</v>
      </c>
      <c r="CM144" s="87" t="s">
        <v>2817</v>
      </c>
      <c r="CN144" s="87" t="s">
        <v>3351</v>
      </c>
      <c r="CO144" s="233"/>
      <c r="CP144" s="233"/>
      <c r="CQ144" s="233"/>
      <c r="CR144" s="21" t="s">
        <v>2982</v>
      </c>
      <c r="CS144" s="21"/>
      <c r="CT144" s="14"/>
      <c r="CU144" s="14" t="s">
        <v>2983</v>
      </c>
      <c r="CV144" s="14">
        <v>4</v>
      </c>
      <c r="CW144" s="110" t="s">
        <v>2984</v>
      </c>
      <c r="CX144" s="14" t="s">
        <v>3898</v>
      </c>
      <c r="CY144" s="87" t="s">
        <v>3550</v>
      </c>
      <c r="CZ144" s="87" t="s">
        <v>5483</v>
      </c>
      <c r="DA144" s="14"/>
      <c r="DB144" s="21"/>
      <c r="DC144" s="233"/>
      <c r="DD144" s="21" t="s">
        <v>2982</v>
      </c>
      <c r="DE144" s="21"/>
      <c r="DF144" s="14"/>
      <c r="DG144" s="14" t="s">
        <v>2983</v>
      </c>
      <c r="DH144" s="14">
        <v>4</v>
      </c>
      <c r="DI144" s="110" t="s">
        <v>2984</v>
      </c>
      <c r="DJ144" s="14" t="s">
        <v>3898</v>
      </c>
      <c r="DK144" s="87" t="s">
        <v>3550</v>
      </c>
      <c r="DL144" s="87" t="s">
        <v>5483</v>
      </c>
      <c r="DM144" s="14"/>
      <c r="DN144" s="21"/>
      <c r="DO144" s="233"/>
      <c r="DP144" s="21"/>
      <c r="DQ144" s="21"/>
      <c r="DR144" s="14"/>
      <c r="DS144" s="14"/>
      <c r="DT144" s="110"/>
      <c r="DU144" s="14"/>
      <c r="DV144" s="14"/>
      <c r="DW144" s="87"/>
      <c r="DX144" s="87"/>
      <c r="DY144" s="14"/>
      <c r="DZ144" s="233"/>
      <c r="EA144" s="233"/>
      <c r="EB144" s="21" t="s">
        <v>2985</v>
      </c>
      <c r="EC144" s="21"/>
      <c r="ED144" s="14"/>
      <c r="EE144" s="14" t="s">
        <v>3142</v>
      </c>
      <c r="EF144" s="14" t="s">
        <v>2808</v>
      </c>
      <c r="EG144" s="110" t="s">
        <v>2986</v>
      </c>
      <c r="EH144" s="14" t="s">
        <v>3979</v>
      </c>
      <c r="EI144" s="87" t="s">
        <v>3843</v>
      </c>
      <c r="EJ144" s="87" t="s">
        <v>3488</v>
      </c>
      <c r="EK144" s="14"/>
      <c r="EL144" s="233"/>
      <c r="EM144" s="233"/>
      <c r="EN144" s="21" t="s">
        <v>2982</v>
      </c>
      <c r="EO144" s="21"/>
      <c r="EP144" s="14"/>
      <c r="EQ144" s="14" t="s">
        <v>2983</v>
      </c>
      <c r="ER144" s="14">
        <v>4</v>
      </c>
      <c r="ES144" s="110" t="s">
        <v>2984</v>
      </c>
      <c r="ET144" s="14" t="s">
        <v>3898</v>
      </c>
      <c r="EU144" s="87" t="s">
        <v>3550</v>
      </c>
      <c r="EV144" s="87" t="s">
        <v>5483</v>
      </c>
      <c r="EW144" s="14"/>
      <c r="EX144" s="21"/>
      <c r="EY144" s="233"/>
      <c r="EZ144" s="233"/>
      <c r="FA144" s="233"/>
      <c r="FB144" s="233"/>
      <c r="FC144" s="233"/>
      <c r="FD144" s="233"/>
    </row>
    <row r="145" spans="1:160">
      <c r="A145" s="20" t="s">
        <v>3662</v>
      </c>
      <c r="B145" s="14">
        <v>3</v>
      </c>
      <c r="C145" s="14" t="s">
        <v>3803</v>
      </c>
      <c r="D145" s="14">
        <v>2</v>
      </c>
      <c r="E145" s="110" t="s">
        <v>3663</v>
      </c>
      <c r="F145" s="14" t="s">
        <v>3898</v>
      </c>
      <c r="G145" s="44" t="s">
        <v>3664</v>
      </c>
      <c r="H145" s="44" t="s">
        <v>3665</v>
      </c>
      <c r="I145" s="44" t="s">
        <v>3916</v>
      </c>
      <c r="J145" s="28" t="s">
        <v>5232</v>
      </c>
      <c r="L145" s="21" t="s">
        <v>2988</v>
      </c>
      <c r="M145" s="14"/>
      <c r="N145" s="21"/>
      <c r="O145" s="14" t="s">
        <v>2772</v>
      </c>
      <c r="P145" s="14">
        <v>3</v>
      </c>
      <c r="Q145" s="110" t="s">
        <v>3526</v>
      </c>
      <c r="R145" s="14" t="s">
        <v>2989</v>
      </c>
      <c r="S145" s="44" t="s">
        <v>3460</v>
      </c>
      <c r="T145" s="44" t="s">
        <v>3047</v>
      </c>
      <c r="U145" s="14"/>
      <c r="V145" s="21"/>
      <c r="W145" s="21"/>
      <c r="X145" s="21" t="s">
        <v>337</v>
      </c>
      <c r="Y145" s="14"/>
      <c r="Z145" s="14"/>
      <c r="AA145" s="14" t="s">
        <v>5751</v>
      </c>
      <c r="AB145" s="14">
        <v>3</v>
      </c>
      <c r="AC145" s="110" t="s">
        <v>2609</v>
      </c>
      <c r="AD145" s="14" t="s">
        <v>3898</v>
      </c>
      <c r="AE145" s="44" t="s">
        <v>3321</v>
      </c>
      <c r="AF145" s="44" t="s">
        <v>338</v>
      </c>
      <c r="AG145" s="87"/>
      <c r="AH145" s="21"/>
      <c r="AI145" s="21"/>
      <c r="AJ145" s="21" t="s">
        <v>2991</v>
      </c>
      <c r="AK145" s="21"/>
      <c r="AL145" s="14"/>
      <c r="AM145" s="14" t="s">
        <v>3427</v>
      </c>
      <c r="AN145" s="110">
        <v>4</v>
      </c>
      <c r="AO145" s="14" t="s">
        <v>3331</v>
      </c>
      <c r="AP145" s="14" t="s">
        <v>3914</v>
      </c>
      <c r="AQ145" s="87" t="s">
        <v>3021</v>
      </c>
      <c r="AR145" s="87" t="s">
        <v>3286</v>
      </c>
      <c r="AS145" s="14"/>
      <c r="AT145" s="21"/>
      <c r="AU145" s="21"/>
      <c r="AV145" s="21" t="s">
        <v>2992</v>
      </c>
      <c r="AW145" s="21"/>
      <c r="AX145" s="14"/>
      <c r="AY145" s="14" t="s">
        <v>2606</v>
      </c>
      <c r="AZ145" s="14">
        <v>2</v>
      </c>
      <c r="BA145" s="110" t="s">
        <v>3160</v>
      </c>
      <c r="BB145" s="14" t="s">
        <v>3898</v>
      </c>
      <c r="BC145" s="87" t="s">
        <v>3395</v>
      </c>
      <c r="BD145" s="87" t="s">
        <v>3859</v>
      </c>
      <c r="BE145" s="14"/>
      <c r="BF145" s="21"/>
      <c r="BG145" s="21"/>
      <c r="BH145" s="21" t="s">
        <v>2985</v>
      </c>
      <c r="BI145" s="21"/>
      <c r="BJ145" s="14"/>
      <c r="BK145" s="14" t="s">
        <v>3142</v>
      </c>
      <c r="BL145" s="14" t="s">
        <v>2808</v>
      </c>
      <c r="BM145" s="110" t="s">
        <v>2986</v>
      </c>
      <c r="BN145" s="14" t="s">
        <v>3979</v>
      </c>
      <c r="BO145" s="87" t="s">
        <v>3843</v>
      </c>
      <c r="BP145" s="87" t="s">
        <v>3488</v>
      </c>
      <c r="BQ145" s="14"/>
      <c r="BR145" s="21"/>
      <c r="BS145" s="233"/>
      <c r="BT145" s="21" t="s">
        <v>3162</v>
      </c>
      <c r="BU145" s="21"/>
      <c r="BV145" s="14"/>
      <c r="BW145" s="14" t="s">
        <v>3708</v>
      </c>
      <c r="BX145" s="14">
        <v>2</v>
      </c>
      <c r="BY145" s="106" t="s">
        <v>3749</v>
      </c>
      <c r="BZ145" s="14" t="s">
        <v>3898</v>
      </c>
      <c r="CA145" s="87" t="s">
        <v>3163</v>
      </c>
      <c r="CB145" s="44" t="s">
        <v>3343</v>
      </c>
      <c r="CC145" s="233"/>
      <c r="CD145" s="233"/>
      <c r="CE145" s="233"/>
      <c r="CF145" s="21" t="s">
        <v>2985</v>
      </c>
      <c r="CG145" s="21"/>
      <c r="CH145" s="14"/>
      <c r="CI145" s="14" t="s">
        <v>3142</v>
      </c>
      <c r="CJ145" s="14" t="s">
        <v>2808</v>
      </c>
      <c r="CK145" s="110" t="s">
        <v>2986</v>
      </c>
      <c r="CL145" s="14" t="s">
        <v>3979</v>
      </c>
      <c r="CM145" s="87" t="s">
        <v>3843</v>
      </c>
      <c r="CN145" s="87" t="s">
        <v>3488</v>
      </c>
      <c r="CO145" s="233"/>
      <c r="CP145" s="233"/>
      <c r="CQ145" s="233"/>
      <c r="CR145" s="21" t="s">
        <v>337</v>
      </c>
      <c r="CS145" s="14"/>
      <c r="CT145" s="14"/>
      <c r="CU145" s="14" t="s">
        <v>5751</v>
      </c>
      <c r="CV145" s="14">
        <v>3</v>
      </c>
      <c r="CW145" s="110" t="s">
        <v>2609</v>
      </c>
      <c r="CX145" s="14" t="s">
        <v>3898</v>
      </c>
      <c r="CY145" s="44" t="s">
        <v>3321</v>
      </c>
      <c r="CZ145" s="44" t="s">
        <v>338</v>
      </c>
      <c r="DA145" s="14"/>
      <c r="DB145" s="21"/>
      <c r="DC145" s="233"/>
      <c r="DD145" s="21" t="s">
        <v>337</v>
      </c>
      <c r="DE145" s="14"/>
      <c r="DF145" s="14"/>
      <c r="DG145" s="14" t="s">
        <v>5751</v>
      </c>
      <c r="DH145" s="14">
        <v>3</v>
      </c>
      <c r="DI145" s="110" t="s">
        <v>2609</v>
      </c>
      <c r="DJ145" s="14" t="s">
        <v>3898</v>
      </c>
      <c r="DK145" s="44" t="s">
        <v>3321</v>
      </c>
      <c r="DL145" s="44" t="s">
        <v>338</v>
      </c>
      <c r="DM145" s="14"/>
      <c r="DN145" s="21"/>
      <c r="DO145" s="233"/>
      <c r="DP145" s="21"/>
      <c r="DQ145" s="21"/>
      <c r="DR145" s="14"/>
      <c r="DS145" s="14"/>
      <c r="DT145" s="14"/>
      <c r="DU145" s="110"/>
      <c r="DV145" s="14"/>
      <c r="DW145" s="87"/>
      <c r="DX145" s="87"/>
      <c r="DY145" s="14"/>
      <c r="DZ145" s="233"/>
      <c r="EA145" s="233"/>
      <c r="EB145" s="21" t="s">
        <v>2991</v>
      </c>
      <c r="EC145" s="21"/>
      <c r="ED145" s="14"/>
      <c r="EE145" s="14" t="s">
        <v>3427</v>
      </c>
      <c r="EF145" s="110">
        <v>4</v>
      </c>
      <c r="EG145" s="14" t="s">
        <v>3331</v>
      </c>
      <c r="EH145" s="14" t="s">
        <v>3914</v>
      </c>
      <c r="EI145" s="87" t="s">
        <v>3021</v>
      </c>
      <c r="EJ145" s="87" t="s">
        <v>3286</v>
      </c>
      <c r="EK145" s="14"/>
      <c r="EL145" s="233"/>
      <c r="EM145" s="233"/>
      <c r="EN145" s="21" t="s">
        <v>337</v>
      </c>
      <c r="EO145" s="14"/>
      <c r="EP145" s="14"/>
      <c r="EQ145" s="14" t="s">
        <v>5751</v>
      </c>
      <c r="ER145" s="14">
        <v>3</v>
      </c>
      <c r="ES145" s="110" t="s">
        <v>2609</v>
      </c>
      <c r="ET145" s="14" t="s">
        <v>3898</v>
      </c>
      <c r="EU145" s="44" t="s">
        <v>3321</v>
      </c>
      <c r="EV145" s="44" t="s">
        <v>338</v>
      </c>
      <c r="EW145" s="14"/>
      <c r="EX145" s="21"/>
      <c r="EY145" s="233"/>
      <c r="EZ145" s="233"/>
      <c r="FA145" s="233"/>
      <c r="FB145" s="233"/>
      <c r="FC145" s="233"/>
      <c r="FD145" s="233"/>
    </row>
    <row r="146" spans="1:160">
      <c r="A146" s="20" t="s">
        <v>3525</v>
      </c>
      <c r="B146" s="14">
        <v>3</v>
      </c>
      <c r="C146" s="14" t="s">
        <v>3666</v>
      </c>
      <c r="D146" s="14">
        <v>1</v>
      </c>
      <c r="E146" s="110" t="s">
        <v>3526</v>
      </c>
      <c r="F146" s="14" t="s">
        <v>3979</v>
      </c>
      <c r="G146" s="44" t="s">
        <v>3736</v>
      </c>
      <c r="H146" s="44" t="s">
        <v>3728</v>
      </c>
      <c r="I146" s="44" t="s">
        <v>3900</v>
      </c>
      <c r="J146" s="28" t="s">
        <v>4369</v>
      </c>
      <c r="L146" s="21" t="s">
        <v>3344</v>
      </c>
      <c r="M146" s="14"/>
      <c r="N146" s="21"/>
      <c r="O146" s="14" t="s">
        <v>3058</v>
      </c>
      <c r="P146" s="14">
        <v>1</v>
      </c>
      <c r="Q146" s="14" t="s">
        <v>3345</v>
      </c>
      <c r="R146" s="14" t="s">
        <v>3914</v>
      </c>
      <c r="S146" s="44" t="s">
        <v>3843</v>
      </c>
      <c r="T146" s="44" t="s">
        <v>2981</v>
      </c>
      <c r="U146" s="14"/>
      <c r="V146" s="21"/>
      <c r="W146" s="21"/>
      <c r="X146" s="21" t="s">
        <v>2988</v>
      </c>
      <c r="Y146" s="21"/>
      <c r="Z146" s="14"/>
      <c r="AA146" s="14" t="s">
        <v>2772</v>
      </c>
      <c r="AB146" s="14">
        <v>3</v>
      </c>
      <c r="AC146" s="110" t="s">
        <v>3526</v>
      </c>
      <c r="AD146" s="14" t="s">
        <v>2989</v>
      </c>
      <c r="AE146" s="87" t="s">
        <v>3460</v>
      </c>
      <c r="AF146" s="87" t="s">
        <v>3047</v>
      </c>
      <c r="AG146" s="14"/>
      <c r="AH146" s="21"/>
      <c r="AI146" s="21"/>
      <c r="AJ146" s="21" t="s">
        <v>3346</v>
      </c>
      <c r="AK146" s="21"/>
      <c r="AL146" s="14"/>
      <c r="AM146" s="14" t="s">
        <v>2970</v>
      </c>
      <c r="AN146" s="14" t="s">
        <v>3068</v>
      </c>
      <c r="AO146" s="110" t="s">
        <v>3347</v>
      </c>
      <c r="AP146" s="14" t="s">
        <v>3735</v>
      </c>
      <c r="AQ146" s="87" t="s">
        <v>3736</v>
      </c>
      <c r="AR146" s="87" t="s">
        <v>3047</v>
      </c>
      <c r="AS146" s="14"/>
      <c r="AT146" s="21"/>
      <c r="AU146" s="21"/>
      <c r="AV146" s="21" t="s">
        <v>3344</v>
      </c>
      <c r="AW146" s="21"/>
      <c r="AX146" s="14"/>
      <c r="AY146" s="14" t="s">
        <v>3058</v>
      </c>
      <c r="AZ146" s="14">
        <v>1</v>
      </c>
      <c r="BA146" s="14" t="s">
        <v>3345</v>
      </c>
      <c r="BB146" s="14" t="s">
        <v>3914</v>
      </c>
      <c r="BC146" s="87" t="s">
        <v>3843</v>
      </c>
      <c r="BD146" s="87" t="s">
        <v>2981</v>
      </c>
      <c r="BE146" s="14"/>
      <c r="BF146" s="21"/>
      <c r="BG146" s="21"/>
      <c r="BH146" s="21" t="s">
        <v>3161</v>
      </c>
      <c r="BI146" s="21"/>
      <c r="BJ146" s="14"/>
      <c r="BK146" s="14" t="s">
        <v>2626</v>
      </c>
      <c r="BL146" s="14">
        <v>3</v>
      </c>
      <c r="BM146" s="14" t="s">
        <v>3331</v>
      </c>
      <c r="BN146" s="14" t="s">
        <v>3898</v>
      </c>
      <c r="BO146" s="87" t="s">
        <v>3901</v>
      </c>
      <c r="BP146" s="87" t="s">
        <v>3286</v>
      </c>
      <c r="BQ146" s="14"/>
      <c r="BR146" s="21"/>
      <c r="BS146" s="233"/>
      <c r="BT146" s="21" t="s">
        <v>3349</v>
      </c>
      <c r="BU146" s="21"/>
      <c r="BV146" s="14"/>
      <c r="BW146" s="14" t="s">
        <v>2621</v>
      </c>
      <c r="BX146" s="14">
        <v>2</v>
      </c>
      <c r="BY146" s="14" t="s">
        <v>3019</v>
      </c>
      <c r="BZ146" s="14" t="s">
        <v>3376</v>
      </c>
      <c r="CA146" s="87" t="s">
        <v>3736</v>
      </c>
      <c r="CB146" s="87" t="s">
        <v>3351</v>
      </c>
      <c r="CC146" s="233"/>
      <c r="CD146" s="233"/>
      <c r="CE146" s="233"/>
      <c r="CF146" s="21" t="s">
        <v>3161</v>
      </c>
      <c r="CG146" s="21"/>
      <c r="CH146" s="14"/>
      <c r="CI146" s="14" t="s">
        <v>2626</v>
      </c>
      <c r="CJ146" s="14">
        <v>3</v>
      </c>
      <c r="CK146" s="14" t="s">
        <v>3331</v>
      </c>
      <c r="CL146" s="14" t="s">
        <v>3898</v>
      </c>
      <c r="CM146" s="87" t="s">
        <v>3901</v>
      </c>
      <c r="CN146" s="87" t="s">
        <v>3286</v>
      </c>
      <c r="CO146" s="233"/>
      <c r="CP146" s="233"/>
      <c r="CQ146" s="233"/>
      <c r="CR146" s="21" t="s">
        <v>2988</v>
      </c>
      <c r="CS146" s="21"/>
      <c r="CT146" s="14"/>
      <c r="CU146" s="14" t="s">
        <v>2772</v>
      </c>
      <c r="CV146" s="14">
        <v>3</v>
      </c>
      <c r="CW146" s="110" t="s">
        <v>3526</v>
      </c>
      <c r="CX146" s="14" t="s">
        <v>2989</v>
      </c>
      <c r="CY146" s="87" t="s">
        <v>3460</v>
      </c>
      <c r="CZ146" s="87" t="s">
        <v>3047</v>
      </c>
      <c r="DA146" s="14"/>
      <c r="DB146" s="21"/>
      <c r="DC146" s="233"/>
      <c r="DD146" s="21" t="s">
        <v>2988</v>
      </c>
      <c r="DE146" s="21"/>
      <c r="DF146" s="14"/>
      <c r="DG146" s="14" t="s">
        <v>2772</v>
      </c>
      <c r="DH146" s="14">
        <v>3</v>
      </c>
      <c r="DI146" s="110" t="s">
        <v>3526</v>
      </c>
      <c r="DJ146" s="14" t="s">
        <v>2989</v>
      </c>
      <c r="DK146" s="87" t="s">
        <v>3460</v>
      </c>
      <c r="DL146" s="87" t="s">
        <v>3047</v>
      </c>
      <c r="DM146" s="14"/>
      <c r="DN146" s="21"/>
      <c r="DO146" s="233"/>
      <c r="DP146" s="21"/>
      <c r="DQ146" s="21"/>
      <c r="DR146" s="14"/>
      <c r="DS146" s="14"/>
      <c r="DT146" s="14"/>
      <c r="DU146" s="14"/>
      <c r="DV146" s="14"/>
      <c r="DW146" s="87"/>
      <c r="DX146" s="87"/>
      <c r="DY146" s="14"/>
      <c r="DZ146" s="233"/>
      <c r="EA146" s="233"/>
      <c r="EB146" s="21" t="s">
        <v>3346</v>
      </c>
      <c r="EC146" s="21"/>
      <c r="ED146" s="14"/>
      <c r="EE146" s="14" t="s">
        <v>2970</v>
      </c>
      <c r="EF146" s="14" t="s">
        <v>3068</v>
      </c>
      <c r="EG146" s="110" t="s">
        <v>3347</v>
      </c>
      <c r="EH146" s="14" t="s">
        <v>3735</v>
      </c>
      <c r="EI146" s="87" t="s">
        <v>3736</v>
      </c>
      <c r="EJ146" s="87" t="s">
        <v>3047</v>
      </c>
      <c r="EK146" s="14"/>
      <c r="EL146" s="233"/>
      <c r="EM146" s="233"/>
      <c r="EN146" s="21" t="s">
        <v>2988</v>
      </c>
      <c r="EO146" s="21"/>
      <c r="EP146" s="14"/>
      <c r="EQ146" s="14" t="s">
        <v>2772</v>
      </c>
      <c r="ER146" s="14">
        <v>3</v>
      </c>
      <c r="ES146" s="110" t="s">
        <v>3526</v>
      </c>
      <c r="ET146" s="14" t="s">
        <v>2989</v>
      </c>
      <c r="EU146" s="87" t="s">
        <v>3460</v>
      </c>
      <c r="EV146" s="87" t="s">
        <v>3047</v>
      </c>
      <c r="EW146" s="14"/>
      <c r="EX146" s="21"/>
      <c r="EY146" s="233"/>
      <c r="EZ146" s="233"/>
      <c r="FA146" s="233"/>
      <c r="FB146" s="233"/>
      <c r="FC146" s="233"/>
      <c r="FD146" s="233"/>
    </row>
    <row r="147" spans="1:160">
      <c r="A147" s="20" t="s">
        <v>3204</v>
      </c>
      <c r="B147" s="14">
        <v>3</v>
      </c>
      <c r="C147" s="14" t="s">
        <v>3649</v>
      </c>
      <c r="D147" s="14">
        <v>2</v>
      </c>
      <c r="E147" s="110" t="s">
        <v>3205</v>
      </c>
      <c r="F147" s="14" t="s">
        <v>3947</v>
      </c>
      <c r="G147" s="44" t="s">
        <v>3550</v>
      </c>
      <c r="H147" s="44" t="s">
        <v>3206</v>
      </c>
      <c r="I147" s="44" t="s">
        <v>3900</v>
      </c>
      <c r="J147" s="28" t="s">
        <v>4369</v>
      </c>
      <c r="L147" s="21" t="s">
        <v>3350</v>
      </c>
      <c r="M147" s="14"/>
      <c r="N147" s="21"/>
      <c r="O147" s="14" t="s">
        <v>3058</v>
      </c>
      <c r="P147" s="14">
        <v>2</v>
      </c>
      <c r="Q147" s="14" t="s">
        <v>3171</v>
      </c>
      <c r="R147" s="14" t="s">
        <v>3573</v>
      </c>
      <c r="S147" s="44" t="s">
        <v>3730</v>
      </c>
      <c r="T147" s="44" t="s">
        <v>4209</v>
      </c>
      <c r="U147" s="14"/>
      <c r="V147" s="21"/>
      <c r="W147" s="21"/>
      <c r="X147" s="21" t="s">
        <v>2987</v>
      </c>
      <c r="Y147" s="21"/>
      <c r="Z147" s="14"/>
      <c r="AA147" s="14" t="s">
        <v>2772</v>
      </c>
      <c r="AB147" s="14">
        <v>3</v>
      </c>
      <c r="AC147" s="14" t="s">
        <v>3887</v>
      </c>
      <c r="AD147" s="14" t="s">
        <v>3898</v>
      </c>
      <c r="AE147" s="87" t="s">
        <v>3612</v>
      </c>
      <c r="AF147" s="87" t="s">
        <v>4209</v>
      </c>
      <c r="AG147" s="14"/>
      <c r="AH147" s="21"/>
      <c r="AI147" s="21"/>
      <c r="AJ147" s="21" t="s">
        <v>3173</v>
      </c>
      <c r="AK147" s="21"/>
      <c r="AL147" s="14"/>
      <c r="AM147" s="14" t="s">
        <v>3427</v>
      </c>
      <c r="AN147" s="14">
        <v>3</v>
      </c>
      <c r="AO147" s="14" t="s">
        <v>3174</v>
      </c>
      <c r="AP147" s="14" t="s">
        <v>3175</v>
      </c>
      <c r="AQ147" s="87" t="s">
        <v>3550</v>
      </c>
      <c r="AR147" s="87" t="s">
        <v>4209</v>
      </c>
      <c r="AS147" s="14"/>
      <c r="AT147" s="21"/>
      <c r="AU147" s="21"/>
      <c r="AV147" s="21" t="s">
        <v>3350</v>
      </c>
      <c r="AW147" s="21"/>
      <c r="AX147" s="14"/>
      <c r="AY147" s="14" t="s">
        <v>3058</v>
      </c>
      <c r="AZ147" s="14">
        <v>2</v>
      </c>
      <c r="BA147" s="110" t="s">
        <v>3171</v>
      </c>
      <c r="BB147" s="14" t="s">
        <v>3573</v>
      </c>
      <c r="BC147" s="87" t="s">
        <v>3730</v>
      </c>
      <c r="BD147" s="87" t="s">
        <v>4209</v>
      </c>
      <c r="BE147" s="14"/>
      <c r="BF147" s="21"/>
      <c r="BG147" s="21"/>
      <c r="BH147" s="21" t="s">
        <v>3348</v>
      </c>
      <c r="BI147" s="21"/>
      <c r="BJ147" s="14"/>
      <c r="BK147" s="14" t="s">
        <v>2769</v>
      </c>
      <c r="BL147" s="14">
        <v>2</v>
      </c>
      <c r="BM147" s="110" t="s">
        <v>2957</v>
      </c>
      <c r="BN147" s="14" t="s">
        <v>3473</v>
      </c>
      <c r="BO147" s="87" t="s">
        <v>3753</v>
      </c>
      <c r="BP147" s="87" t="s">
        <v>3859</v>
      </c>
      <c r="BQ147" s="14"/>
      <c r="BR147" s="21"/>
      <c r="BS147" s="233"/>
      <c r="BT147" s="21"/>
      <c r="BU147" s="21"/>
      <c r="BV147" s="14"/>
      <c r="BW147" s="14"/>
      <c r="BX147" s="14"/>
      <c r="BY147" s="14"/>
      <c r="BZ147" s="14"/>
      <c r="CA147" s="14"/>
      <c r="CB147" s="87"/>
      <c r="CC147" s="233"/>
      <c r="CD147" s="233"/>
      <c r="CE147" s="233"/>
      <c r="CF147" s="21" t="s">
        <v>3348</v>
      </c>
      <c r="CG147" s="21"/>
      <c r="CH147" s="14"/>
      <c r="CI147" s="14" t="s">
        <v>2769</v>
      </c>
      <c r="CJ147" s="14">
        <v>2</v>
      </c>
      <c r="CK147" s="110" t="s">
        <v>2957</v>
      </c>
      <c r="CL147" s="14" t="s">
        <v>3473</v>
      </c>
      <c r="CM147" s="87" t="s">
        <v>3753</v>
      </c>
      <c r="CN147" s="87" t="s">
        <v>3859</v>
      </c>
      <c r="CO147" s="233"/>
      <c r="CP147" s="233"/>
      <c r="CQ147" s="233"/>
      <c r="CR147" s="21" t="s">
        <v>2987</v>
      </c>
      <c r="CS147" s="21"/>
      <c r="CT147" s="14"/>
      <c r="CU147" s="14" t="s">
        <v>2772</v>
      </c>
      <c r="CV147" s="14">
        <v>3</v>
      </c>
      <c r="CW147" s="14" t="s">
        <v>3887</v>
      </c>
      <c r="CX147" s="14" t="s">
        <v>3898</v>
      </c>
      <c r="CY147" s="87" t="s">
        <v>3612</v>
      </c>
      <c r="CZ147" s="87" t="s">
        <v>4209</v>
      </c>
      <c r="DA147" s="14"/>
      <c r="DB147" s="21"/>
      <c r="DC147" s="233"/>
      <c r="DD147" s="21" t="s">
        <v>2987</v>
      </c>
      <c r="DE147" s="21"/>
      <c r="DF147" s="14"/>
      <c r="DG147" s="14" t="s">
        <v>2772</v>
      </c>
      <c r="DH147" s="14">
        <v>3</v>
      </c>
      <c r="DI147" s="14" t="s">
        <v>3887</v>
      </c>
      <c r="DJ147" s="14" t="s">
        <v>3898</v>
      </c>
      <c r="DK147" s="87" t="s">
        <v>3612</v>
      </c>
      <c r="DL147" s="87" t="s">
        <v>4209</v>
      </c>
      <c r="DM147" s="14"/>
      <c r="DN147" s="21"/>
      <c r="DO147" s="233"/>
      <c r="DP147" s="21"/>
      <c r="DQ147" s="21"/>
      <c r="DR147" s="14"/>
      <c r="DS147" s="14"/>
      <c r="DT147" s="14"/>
      <c r="DU147" s="110"/>
      <c r="DV147" s="14"/>
      <c r="DW147" s="87"/>
      <c r="DX147" s="87"/>
      <c r="DY147" s="14"/>
      <c r="DZ147" s="233"/>
      <c r="EA147" s="233"/>
      <c r="EB147" s="21" t="s">
        <v>3173</v>
      </c>
      <c r="EC147" s="21"/>
      <c r="ED147" s="14"/>
      <c r="EE147" s="14" t="s">
        <v>3427</v>
      </c>
      <c r="EF147" s="14">
        <v>3</v>
      </c>
      <c r="EG147" s="14" t="s">
        <v>3174</v>
      </c>
      <c r="EH147" s="14" t="s">
        <v>3175</v>
      </c>
      <c r="EI147" s="87" t="s">
        <v>3550</v>
      </c>
      <c r="EJ147" s="87" t="s">
        <v>4209</v>
      </c>
      <c r="EK147" s="14"/>
      <c r="EL147" s="233"/>
      <c r="EM147" s="233"/>
      <c r="EN147" s="21" t="s">
        <v>2987</v>
      </c>
      <c r="EO147" s="21"/>
      <c r="EP147" s="14"/>
      <c r="EQ147" s="14" t="s">
        <v>2772</v>
      </c>
      <c r="ER147" s="14">
        <v>3</v>
      </c>
      <c r="ES147" s="14" t="s">
        <v>3887</v>
      </c>
      <c r="ET147" s="14" t="s">
        <v>3898</v>
      </c>
      <c r="EU147" s="87" t="s">
        <v>3612</v>
      </c>
      <c r="EV147" s="87" t="s">
        <v>4209</v>
      </c>
      <c r="EW147" s="14"/>
      <c r="EX147" s="21"/>
      <c r="EY147" s="233"/>
      <c r="EZ147" s="233"/>
      <c r="FA147" s="233"/>
      <c r="FB147" s="233"/>
      <c r="FC147" s="233"/>
      <c r="FD147" s="233"/>
    </row>
    <row r="148" spans="1:160">
      <c r="A148" s="20" t="s">
        <v>3889</v>
      </c>
      <c r="B148" s="14">
        <v>3</v>
      </c>
      <c r="C148" s="14" t="s">
        <v>3551</v>
      </c>
      <c r="D148" s="14">
        <v>1</v>
      </c>
      <c r="E148" s="110" t="s">
        <v>3858</v>
      </c>
      <c r="F148" s="14" t="s">
        <v>3898</v>
      </c>
      <c r="G148" s="44" t="s">
        <v>3490</v>
      </c>
      <c r="H148" s="107" t="s">
        <v>3703</v>
      </c>
      <c r="I148" s="44" t="s">
        <v>3900</v>
      </c>
      <c r="J148" s="28" t="s">
        <v>4555</v>
      </c>
      <c r="L148" s="21" t="s">
        <v>3172</v>
      </c>
      <c r="M148" s="14"/>
      <c r="N148" s="21"/>
      <c r="O148" s="14" t="s">
        <v>2772</v>
      </c>
      <c r="P148" s="14">
        <v>3</v>
      </c>
      <c r="Q148" s="110" t="s">
        <v>2957</v>
      </c>
      <c r="R148" s="14" t="s">
        <v>4000</v>
      </c>
      <c r="S148" s="44" t="s">
        <v>3612</v>
      </c>
      <c r="T148" s="44" t="s">
        <v>3488</v>
      </c>
      <c r="U148" s="21"/>
      <c r="V148" s="21"/>
      <c r="W148" s="21"/>
      <c r="X148" s="21" t="s">
        <v>3172</v>
      </c>
      <c r="Y148" s="21"/>
      <c r="Z148" s="14"/>
      <c r="AA148" s="14" t="s">
        <v>2772</v>
      </c>
      <c r="AB148" s="14">
        <v>3</v>
      </c>
      <c r="AC148" s="110" t="s">
        <v>2957</v>
      </c>
      <c r="AD148" s="14" t="s">
        <v>4000</v>
      </c>
      <c r="AE148" s="87" t="s">
        <v>3612</v>
      </c>
      <c r="AF148" s="87" t="s">
        <v>3488</v>
      </c>
      <c r="AG148" s="21"/>
      <c r="AH148" s="21"/>
      <c r="AI148" s="21"/>
      <c r="AJ148" s="21" t="s">
        <v>2627</v>
      </c>
      <c r="AK148" s="21"/>
      <c r="AL148" s="14"/>
      <c r="AM148" s="14" t="s">
        <v>3427</v>
      </c>
      <c r="AN148" s="14">
        <v>4</v>
      </c>
      <c r="AO148" s="110" t="s">
        <v>2611</v>
      </c>
      <c r="AP148" s="14" t="s">
        <v>2628</v>
      </c>
      <c r="AQ148" s="87" t="s">
        <v>3759</v>
      </c>
      <c r="AR148" s="87" t="s">
        <v>3047</v>
      </c>
      <c r="AS148" s="14"/>
      <c r="AT148" s="21"/>
      <c r="AU148" s="21"/>
      <c r="AV148" s="21" t="s">
        <v>3178</v>
      </c>
      <c r="AW148" s="21"/>
      <c r="AX148" s="14"/>
      <c r="AY148" s="14" t="s">
        <v>3058</v>
      </c>
      <c r="AZ148" s="14">
        <v>4</v>
      </c>
      <c r="BA148" s="14" t="s">
        <v>3305</v>
      </c>
      <c r="BB148" s="14" t="s">
        <v>3947</v>
      </c>
      <c r="BC148" s="87" t="s">
        <v>3321</v>
      </c>
      <c r="BD148" s="87" t="s">
        <v>3746</v>
      </c>
      <c r="BE148" s="14"/>
      <c r="BF148" s="21"/>
      <c r="BG148" s="21"/>
      <c r="BH148" s="21" t="s">
        <v>3176</v>
      </c>
      <c r="BI148" s="21"/>
      <c r="BJ148" s="14"/>
      <c r="BK148" s="14" t="s">
        <v>2626</v>
      </c>
      <c r="BL148" s="14">
        <v>2</v>
      </c>
      <c r="BM148" s="14" t="s">
        <v>3431</v>
      </c>
      <c r="BN148" s="14" t="s">
        <v>3716</v>
      </c>
      <c r="BO148" s="87" t="s">
        <v>3177</v>
      </c>
      <c r="BP148" s="87" t="s">
        <v>3286</v>
      </c>
      <c r="BQ148" s="14"/>
      <c r="BR148" s="21"/>
      <c r="BS148" s="233"/>
      <c r="BT148" s="21"/>
      <c r="BU148" s="21"/>
      <c r="BV148" s="14"/>
      <c r="BW148" s="14"/>
      <c r="BX148" s="14"/>
      <c r="BY148" s="110"/>
      <c r="BZ148" s="14"/>
      <c r="CA148" s="14"/>
      <c r="CB148" s="87"/>
      <c r="CC148" s="233"/>
      <c r="CD148" s="233"/>
      <c r="CE148" s="233"/>
      <c r="CF148" s="21" t="s">
        <v>3176</v>
      </c>
      <c r="CG148" s="21"/>
      <c r="CH148" s="14"/>
      <c r="CI148" s="14" t="s">
        <v>2626</v>
      </c>
      <c r="CJ148" s="14">
        <v>2</v>
      </c>
      <c r="CK148" s="14" t="s">
        <v>3431</v>
      </c>
      <c r="CL148" s="14" t="s">
        <v>3716</v>
      </c>
      <c r="CM148" s="87" t="s">
        <v>3177</v>
      </c>
      <c r="CN148" s="87" t="s">
        <v>3286</v>
      </c>
      <c r="CO148" s="233"/>
      <c r="CP148" s="233"/>
      <c r="CQ148" s="233"/>
      <c r="CR148" s="21" t="s">
        <v>3172</v>
      </c>
      <c r="CS148" s="21"/>
      <c r="CT148" s="14"/>
      <c r="CU148" s="14" t="s">
        <v>2772</v>
      </c>
      <c r="CV148" s="14">
        <v>3</v>
      </c>
      <c r="CW148" s="110" t="s">
        <v>2957</v>
      </c>
      <c r="CX148" s="14" t="s">
        <v>4000</v>
      </c>
      <c r="CY148" s="87" t="s">
        <v>3612</v>
      </c>
      <c r="CZ148" s="87" t="s">
        <v>3488</v>
      </c>
      <c r="DA148" s="21"/>
      <c r="DB148" s="21"/>
      <c r="DC148" s="233"/>
      <c r="DD148" s="21" t="s">
        <v>3172</v>
      </c>
      <c r="DE148" s="21"/>
      <c r="DF148" s="14"/>
      <c r="DG148" s="14" t="s">
        <v>2772</v>
      </c>
      <c r="DH148" s="14">
        <v>3</v>
      </c>
      <c r="DI148" s="110" t="s">
        <v>2957</v>
      </c>
      <c r="DJ148" s="14" t="s">
        <v>4000</v>
      </c>
      <c r="DK148" s="87" t="s">
        <v>3612</v>
      </c>
      <c r="DL148" s="87" t="s">
        <v>3488</v>
      </c>
      <c r="DM148" s="21"/>
      <c r="DN148" s="21"/>
      <c r="DO148" s="233"/>
      <c r="DP148" s="21"/>
      <c r="DQ148" s="21"/>
      <c r="DR148" s="21"/>
      <c r="DS148" s="112"/>
      <c r="DT148" s="14"/>
      <c r="DU148" s="110"/>
      <c r="DV148" s="14"/>
      <c r="DW148" s="111"/>
      <c r="DX148" s="111"/>
      <c r="DY148" s="14"/>
      <c r="DZ148" s="233"/>
      <c r="EA148" s="233"/>
      <c r="EB148" s="21" t="s">
        <v>2627</v>
      </c>
      <c r="EC148" s="21"/>
      <c r="ED148" s="14"/>
      <c r="EE148" s="14" t="s">
        <v>3427</v>
      </c>
      <c r="EF148" s="14">
        <v>4</v>
      </c>
      <c r="EG148" s="110" t="s">
        <v>2611</v>
      </c>
      <c r="EH148" s="14" t="s">
        <v>2628</v>
      </c>
      <c r="EI148" s="87" t="s">
        <v>3759</v>
      </c>
      <c r="EJ148" s="87" t="s">
        <v>3047</v>
      </c>
      <c r="EK148" s="14"/>
      <c r="EL148" s="233"/>
      <c r="EM148" s="233"/>
      <c r="EN148" s="21" t="s">
        <v>3172</v>
      </c>
      <c r="EO148" s="21"/>
      <c r="EP148" s="14"/>
      <c r="EQ148" s="14" t="s">
        <v>2772</v>
      </c>
      <c r="ER148" s="14">
        <v>3</v>
      </c>
      <c r="ES148" s="110" t="s">
        <v>2957</v>
      </c>
      <c r="ET148" s="14" t="s">
        <v>4000</v>
      </c>
      <c r="EU148" s="87" t="s">
        <v>3612</v>
      </c>
      <c r="EV148" s="87" t="s">
        <v>3488</v>
      </c>
      <c r="EW148" s="21"/>
      <c r="EX148" s="21"/>
      <c r="EY148" s="233"/>
      <c r="EZ148" s="233"/>
      <c r="FA148" s="233"/>
      <c r="FB148" s="233"/>
      <c r="FC148" s="233"/>
      <c r="FD148" s="233"/>
    </row>
    <row r="149" spans="1:160">
      <c r="A149" s="20" t="s">
        <v>3529</v>
      </c>
      <c r="B149" s="14">
        <v>3</v>
      </c>
      <c r="C149" s="14" t="s">
        <v>3546</v>
      </c>
      <c r="D149" s="14">
        <v>1</v>
      </c>
      <c r="E149" s="110" t="s">
        <v>3530</v>
      </c>
      <c r="F149" s="14" t="s">
        <v>3898</v>
      </c>
      <c r="G149" s="44" t="s">
        <v>3378</v>
      </c>
      <c r="H149" s="107" t="s">
        <v>3265</v>
      </c>
      <c r="I149" s="44" t="s">
        <v>3916</v>
      </c>
      <c r="J149" s="28" t="s">
        <v>3890</v>
      </c>
      <c r="L149" s="21" t="s">
        <v>2683</v>
      </c>
      <c r="M149" s="14"/>
      <c r="N149" s="21"/>
      <c r="O149" s="14" t="s">
        <v>2606</v>
      </c>
      <c r="P149" s="14">
        <v>4</v>
      </c>
      <c r="Q149" s="110" t="s">
        <v>2971</v>
      </c>
      <c r="R149" s="14" t="s">
        <v>3898</v>
      </c>
      <c r="S149" s="44" t="s">
        <v>3945</v>
      </c>
      <c r="T149" s="44" t="s">
        <v>2700</v>
      </c>
      <c r="U149" s="21"/>
      <c r="V149" s="21"/>
      <c r="W149" s="21"/>
      <c r="X149" s="21" t="s">
        <v>339</v>
      </c>
      <c r="Y149" s="21"/>
      <c r="Z149" s="14"/>
      <c r="AA149" s="14" t="s">
        <v>5752</v>
      </c>
      <c r="AB149" s="14">
        <v>1</v>
      </c>
      <c r="AC149" s="110" t="s">
        <v>2609</v>
      </c>
      <c r="AD149" s="14" t="s">
        <v>3898</v>
      </c>
      <c r="AE149" s="44" t="s">
        <v>3736</v>
      </c>
      <c r="AF149" s="44" t="s">
        <v>340</v>
      </c>
      <c r="AG149" s="21"/>
      <c r="AH149" s="21"/>
      <c r="AI149" s="21"/>
      <c r="AJ149" s="21" t="s">
        <v>2685</v>
      </c>
      <c r="AK149" s="21"/>
      <c r="AL149" s="21"/>
      <c r="AM149" s="112" t="s">
        <v>3404</v>
      </c>
      <c r="AN149" s="14">
        <v>3</v>
      </c>
      <c r="AO149" s="110" t="s">
        <v>3328</v>
      </c>
      <c r="AP149" s="14" t="s">
        <v>3898</v>
      </c>
      <c r="AQ149" s="111" t="s">
        <v>3550</v>
      </c>
      <c r="AR149" s="111" t="s">
        <v>2686</v>
      </c>
      <c r="AS149" s="21"/>
      <c r="AT149" s="21"/>
      <c r="AU149" s="21"/>
      <c r="AV149" s="21" t="s">
        <v>2683</v>
      </c>
      <c r="AW149" s="21"/>
      <c r="AX149" s="14"/>
      <c r="AY149" s="14" t="s">
        <v>2606</v>
      </c>
      <c r="AZ149" s="14">
        <v>4</v>
      </c>
      <c r="BA149" s="14" t="s">
        <v>2971</v>
      </c>
      <c r="BB149" s="14" t="s">
        <v>3898</v>
      </c>
      <c r="BC149" s="87" t="s">
        <v>3945</v>
      </c>
      <c r="BD149" s="87" t="s">
        <v>2700</v>
      </c>
      <c r="BE149" s="14"/>
      <c r="BF149" s="21"/>
      <c r="BG149" s="21"/>
      <c r="BH149" s="21" t="s">
        <v>2839</v>
      </c>
      <c r="BI149" s="21"/>
      <c r="BJ149" s="14"/>
      <c r="BK149" s="14" t="s">
        <v>3505</v>
      </c>
      <c r="BL149" s="14">
        <v>2</v>
      </c>
      <c r="BM149" s="110" t="s">
        <v>3233</v>
      </c>
      <c r="BN149" s="14" t="s">
        <v>3898</v>
      </c>
      <c r="BO149" s="111" t="s">
        <v>2840</v>
      </c>
      <c r="BP149" s="111" t="s">
        <v>2682</v>
      </c>
      <c r="BQ149" s="14"/>
      <c r="BR149" s="21"/>
      <c r="BS149" s="233"/>
      <c r="BT149" s="21"/>
      <c r="BU149" s="21"/>
      <c r="BV149" s="14"/>
      <c r="BW149" s="14"/>
      <c r="BX149" s="14"/>
      <c r="BY149" s="14"/>
      <c r="BZ149" s="14"/>
      <c r="CA149" s="14"/>
      <c r="CB149" s="87"/>
      <c r="CC149" s="233"/>
      <c r="CD149" s="233"/>
      <c r="CE149" s="233"/>
      <c r="CF149" s="21" t="s">
        <v>2839</v>
      </c>
      <c r="CG149" s="21"/>
      <c r="CH149" s="14"/>
      <c r="CI149" s="14" t="s">
        <v>3505</v>
      </c>
      <c r="CJ149" s="14">
        <v>2</v>
      </c>
      <c r="CK149" s="110" t="s">
        <v>3233</v>
      </c>
      <c r="CL149" s="14" t="s">
        <v>3898</v>
      </c>
      <c r="CM149" s="111" t="s">
        <v>2840</v>
      </c>
      <c r="CN149" s="111" t="s">
        <v>2682</v>
      </c>
      <c r="CO149" s="233"/>
      <c r="CP149" s="233"/>
      <c r="CQ149" s="233"/>
      <c r="CR149" s="21" t="s">
        <v>339</v>
      </c>
      <c r="CS149" s="21"/>
      <c r="CT149" s="14"/>
      <c r="CU149" s="14" t="s">
        <v>5752</v>
      </c>
      <c r="CV149" s="14">
        <v>1</v>
      </c>
      <c r="CW149" s="110" t="s">
        <v>2609</v>
      </c>
      <c r="CX149" s="14" t="s">
        <v>3898</v>
      </c>
      <c r="CY149" s="44" t="s">
        <v>3736</v>
      </c>
      <c r="CZ149" s="44" t="s">
        <v>340</v>
      </c>
      <c r="DA149" s="21"/>
      <c r="DB149" s="21"/>
      <c r="DC149" s="233"/>
      <c r="DD149" s="21" t="s">
        <v>339</v>
      </c>
      <c r="DE149" s="21"/>
      <c r="DF149" s="14"/>
      <c r="DG149" s="14" t="s">
        <v>5752</v>
      </c>
      <c r="DH149" s="14">
        <v>1</v>
      </c>
      <c r="DI149" s="110" t="s">
        <v>2609</v>
      </c>
      <c r="DJ149" s="14" t="s">
        <v>3898</v>
      </c>
      <c r="DK149" s="44" t="s">
        <v>3736</v>
      </c>
      <c r="DL149" s="44" t="s">
        <v>340</v>
      </c>
      <c r="DM149" s="21"/>
      <c r="DN149" s="21"/>
      <c r="DO149" s="233"/>
      <c r="DP149" s="21"/>
      <c r="DQ149" s="21"/>
      <c r="DR149" s="14"/>
      <c r="DS149" s="14"/>
      <c r="DT149" s="14"/>
      <c r="DU149" s="14"/>
      <c r="DV149" s="14"/>
      <c r="DW149" s="87"/>
      <c r="DX149" s="87"/>
      <c r="DY149" s="21"/>
      <c r="DZ149" s="233"/>
      <c r="EA149" s="233"/>
      <c r="EB149" s="21" t="s">
        <v>2685</v>
      </c>
      <c r="EC149" s="21"/>
      <c r="ED149" s="21"/>
      <c r="EE149" s="112" t="s">
        <v>3404</v>
      </c>
      <c r="EF149" s="14">
        <v>3</v>
      </c>
      <c r="EG149" s="110" t="s">
        <v>3328</v>
      </c>
      <c r="EH149" s="14" t="s">
        <v>3898</v>
      </c>
      <c r="EI149" s="111" t="s">
        <v>3550</v>
      </c>
      <c r="EJ149" s="111" t="s">
        <v>2686</v>
      </c>
      <c r="EK149" s="21"/>
      <c r="EL149" s="233"/>
      <c r="EM149" s="233"/>
      <c r="EN149" s="21" t="s">
        <v>339</v>
      </c>
      <c r="EO149" s="21"/>
      <c r="EP149" s="14"/>
      <c r="EQ149" s="14" t="s">
        <v>5752</v>
      </c>
      <c r="ER149" s="14">
        <v>1</v>
      </c>
      <c r="ES149" s="110" t="s">
        <v>2609</v>
      </c>
      <c r="ET149" s="14" t="s">
        <v>3898</v>
      </c>
      <c r="EU149" s="44" t="s">
        <v>3736</v>
      </c>
      <c r="EV149" s="44" t="s">
        <v>340</v>
      </c>
      <c r="EW149" s="21"/>
      <c r="EX149" s="21"/>
      <c r="EY149" s="233"/>
      <c r="EZ149" s="233"/>
      <c r="FA149" s="233"/>
      <c r="FB149" s="233"/>
      <c r="FC149" s="233"/>
      <c r="FD149" s="233"/>
    </row>
    <row r="150" spans="1:160">
      <c r="A150" s="20" t="s">
        <v>3540</v>
      </c>
      <c r="B150" s="14">
        <v>3</v>
      </c>
      <c r="C150" s="14" t="s">
        <v>3929</v>
      </c>
      <c r="D150" s="14" t="s">
        <v>5036</v>
      </c>
      <c r="E150" s="197" t="s">
        <v>3897</v>
      </c>
      <c r="F150" s="14" t="s">
        <v>3898</v>
      </c>
      <c r="G150" s="111" t="s">
        <v>3575</v>
      </c>
      <c r="H150" s="198" t="s">
        <v>3541</v>
      </c>
      <c r="I150" s="44" t="s">
        <v>3900</v>
      </c>
      <c r="J150" s="28" t="s">
        <v>4555</v>
      </c>
      <c r="L150" s="21" t="s">
        <v>2689</v>
      </c>
      <c r="M150" s="14"/>
      <c r="N150" s="21"/>
      <c r="O150" s="14" t="s">
        <v>2690</v>
      </c>
      <c r="P150" s="14">
        <v>4</v>
      </c>
      <c r="Q150" s="14" t="s">
        <v>3019</v>
      </c>
      <c r="R150" s="14" t="s">
        <v>3931</v>
      </c>
      <c r="S150" s="44" t="s">
        <v>3765</v>
      </c>
      <c r="T150" s="44" t="s">
        <v>2391</v>
      </c>
      <c r="U150" s="21"/>
      <c r="V150" s="21"/>
      <c r="W150" s="21"/>
      <c r="X150" s="21" t="s">
        <v>3349</v>
      </c>
      <c r="Y150" s="21"/>
      <c r="Z150" s="14"/>
      <c r="AA150" s="14" t="s">
        <v>2621</v>
      </c>
      <c r="AB150" s="14">
        <v>2</v>
      </c>
      <c r="AC150" s="14" t="s">
        <v>3019</v>
      </c>
      <c r="AD150" s="14" t="s">
        <v>3376</v>
      </c>
      <c r="AE150" s="87" t="s">
        <v>3736</v>
      </c>
      <c r="AF150" s="87" t="s">
        <v>3351</v>
      </c>
      <c r="AG150" s="21"/>
      <c r="AH150" s="21"/>
      <c r="AI150" s="21"/>
      <c r="AJ150" s="21" t="s">
        <v>2392</v>
      </c>
      <c r="AK150" s="21"/>
      <c r="AL150" s="14"/>
      <c r="AM150" s="14" t="s">
        <v>3427</v>
      </c>
      <c r="AN150" s="14">
        <v>3</v>
      </c>
      <c r="AO150" s="14" t="s">
        <v>3174</v>
      </c>
      <c r="AP150" s="14" t="s">
        <v>2530</v>
      </c>
      <c r="AQ150" s="87" t="s">
        <v>3538</v>
      </c>
      <c r="AR150" s="87" t="s">
        <v>2531</v>
      </c>
      <c r="AS150" s="21"/>
      <c r="AT150" s="21"/>
      <c r="AU150" s="21"/>
      <c r="AV150" s="21" t="s">
        <v>2689</v>
      </c>
      <c r="AW150" s="21"/>
      <c r="AX150" s="14"/>
      <c r="AY150" s="14" t="s">
        <v>2690</v>
      </c>
      <c r="AZ150" s="14">
        <v>4</v>
      </c>
      <c r="BA150" s="14" t="s">
        <v>3019</v>
      </c>
      <c r="BB150" s="14" t="s">
        <v>3931</v>
      </c>
      <c r="BC150" s="87" t="s">
        <v>3765</v>
      </c>
      <c r="BD150" s="87" t="s">
        <v>2391</v>
      </c>
      <c r="BE150" s="14"/>
      <c r="BF150" s="21"/>
      <c r="BG150" s="21"/>
      <c r="BH150" s="21" t="s">
        <v>2687</v>
      </c>
      <c r="BI150" s="21"/>
      <c r="BJ150" s="14"/>
      <c r="BK150" s="14" t="s">
        <v>2769</v>
      </c>
      <c r="BL150" s="14">
        <v>3</v>
      </c>
      <c r="BM150" s="14" t="s">
        <v>2688</v>
      </c>
      <c r="BN150" s="14" t="s">
        <v>3898</v>
      </c>
      <c r="BO150" s="87" t="s">
        <v>3753</v>
      </c>
      <c r="BP150" s="87" t="s">
        <v>3286</v>
      </c>
      <c r="BQ150" s="14"/>
      <c r="BR150" s="21"/>
      <c r="BS150" s="233"/>
      <c r="BT150" s="21"/>
      <c r="BU150" s="21"/>
      <c r="BV150" s="14"/>
      <c r="BW150" s="14"/>
      <c r="BX150" s="14"/>
      <c r="BY150" s="14"/>
      <c r="BZ150" s="14"/>
      <c r="CA150" s="14"/>
      <c r="CB150" s="87"/>
      <c r="CC150" s="233"/>
      <c r="CD150" s="233"/>
      <c r="CE150" s="233"/>
      <c r="CF150" s="21" t="s">
        <v>2687</v>
      </c>
      <c r="CG150" s="21"/>
      <c r="CH150" s="14"/>
      <c r="CI150" s="14" t="s">
        <v>2769</v>
      </c>
      <c r="CJ150" s="14">
        <v>3</v>
      </c>
      <c r="CK150" s="14" t="s">
        <v>2688</v>
      </c>
      <c r="CL150" s="14" t="s">
        <v>3898</v>
      </c>
      <c r="CM150" s="87" t="s">
        <v>3753</v>
      </c>
      <c r="CN150" s="87" t="s">
        <v>3286</v>
      </c>
      <c r="CO150" s="233"/>
      <c r="CP150" s="233"/>
      <c r="CQ150" s="233"/>
      <c r="CR150" s="21" t="s">
        <v>3349</v>
      </c>
      <c r="CS150" s="21"/>
      <c r="CT150" s="14"/>
      <c r="CU150" s="14" t="s">
        <v>2621</v>
      </c>
      <c r="CV150" s="14">
        <v>2</v>
      </c>
      <c r="CW150" s="14" t="s">
        <v>3019</v>
      </c>
      <c r="CX150" s="14" t="s">
        <v>3376</v>
      </c>
      <c r="CY150" s="87" t="s">
        <v>3736</v>
      </c>
      <c r="CZ150" s="87" t="s">
        <v>3351</v>
      </c>
      <c r="DA150" s="21"/>
      <c r="DB150" s="21"/>
      <c r="DC150" s="233"/>
      <c r="DD150" s="21" t="s">
        <v>3349</v>
      </c>
      <c r="DE150" s="21"/>
      <c r="DF150" s="14"/>
      <c r="DG150" s="14" t="s">
        <v>2621</v>
      </c>
      <c r="DH150" s="14">
        <v>2</v>
      </c>
      <c r="DI150" s="14" t="s">
        <v>3019</v>
      </c>
      <c r="DJ150" s="14" t="s">
        <v>3376</v>
      </c>
      <c r="DK150" s="87" t="s">
        <v>3736</v>
      </c>
      <c r="DL150" s="87" t="s">
        <v>3351</v>
      </c>
      <c r="DM150" s="21"/>
      <c r="DN150" s="21"/>
      <c r="DO150" s="233"/>
      <c r="DP150" s="21"/>
      <c r="DQ150" s="21"/>
      <c r="DR150" s="14"/>
      <c r="DS150" s="14"/>
      <c r="DT150" s="14"/>
      <c r="DU150" s="14"/>
      <c r="DV150" s="14"/>
      <c r="DW150" s="87"/>
      <c r="DX150" s="87"/>
      <c r="DY150" s="21"/>
      <c r="DZ150" s="233"/>
      <c r="EA150" s="233"/>
      <c r="EB150" s="21" t="s">
        <v>2392</v>
      </c>
      <c r="EC150" s="21"/>
      <c r="ED150" s="14"/>
      <c r="EE150" s="14" t="s">
        <v>3427</v>
      </c>
      <c r="EF150" s="14">
        <v>3</v>
      </c>
      <c r="EG150" s="14" t="s">
        <v>3174</v>
      </c>
      <c r="EH150" s="14" t="s">
        <v>2530</v>
      </c>
      <c r="EI150" s="87" t="s">
        <v>3538</v>
      </c>
      <c r="EJ150" s="87" t="s">
        <v>2531</v>
      </c>
      <c r="EK150" s="21"/>
      <c r="EL150" s="233"/>
      <c r="EM150" s="233"/>
      <c r="EN150" s="21" t="s">
        <v>3349</v>
      </c>
      <c r="EO150" s="21"/>
      <c r="EP150" s="14"/>
      <c r="EQ150" s="14" t="s">
        <v>2621</v>
      </c>
      <c r="ER150" s="14">
        <v>2</v>
      </c>
      <c r="ES150" s="14" t="s">
        <v>3019</v>
      </c>
      <c r="ET150" s="14" t="s">
        <v>3376</v>
      </c>
      <c r="EU150" s="87" t="s">
        <v>3736</v>
      </c>
      <c r="EV150" s="87" t="s">
        <v>3351</v>
      </c>
      <c r="EW150" s="21"/>
      <c r="EX150" s="21"/>
      <c r="EY150" s="233"/>
      <c r="EZ150" s="233"/>
      <c r="FA150" s="233"/>
      <c r="FB150" s="233"/>
      <c r="FC150" s="233"/>
      <c r="FD150" s="233"/>
    </row>
    <row r="151" spans="1:160">
      <c r="A151" s="20" t="s">
        <v>3399</v>
      </c>
      <c r="B151" s="14">
        <v>3</v>
      </c>
      <c r="C151" s="14" t="s">
        <v>3320</v>
      </c>
      <c r="D151" s="14">
        <v>1</v>
      </c>
      <c r="E151" s="110" t="s">
        <v>3682</v>
      </c>
      <c r="F151" s="14" t="s">
        <v>3716</v>
      </c>
      <c r="G151" s="44" t="s">
        <v>3395</v>
      </c>
      <c r="H151" s="44" t="s">
        <v>3568</v>
      </c>
      <c r="I151" s="44" t="s">
        <v>3900</v>
      </c>
      <c r="J151" s="28" t="s">
        <v>4369</v>
      </c>
      <c r="L151" s="21" t="s">
        <v>2532</v>
      </c>
      <c r="M151" s="14"/>
      <c r="N151" s="21"/>
      <c r="O151" s="14" t="s">
        <v>2690</v>
      </c>
      <c r="P151" s="14">
        <v>5</v>
      </c>
      <c r="Q151" s="110" t="s">
        <v>3331</v>
      </c>
      <c r="R151" s="14" t="s">
        <v>3898</v>
      </c>
      <c r="S151" s="44" t="s">
        <v>2874</v>
      </c>
      <c r="T151" s="44" t="s">
        <v>5483</v>
      </c>
      <c r="U151" s="21"/>
      <c r="V151" s="21"/>
      <c r="W151" s="21"/>
      <c r="X151" s="21" t="s">
        <v>2684</v>
      </c>
      <c r="Y151" s="21"/>
      <c r="Z151" s="21"/>
      <c r="AA151" s="14" t="s">
        <v>3295</v>
      </c>
      <c r="AB151" s="14">
        <v>2</v>
      </c>
      <c r="AC151" s="106" t="s">
        <v>2800</v>
      </c>
      <c r="AD151" s="14" t="s">
        <v>3548</v>
      </c>
      <c r="AE151" s="87" t="s">
        <v>3911</v>
      </c>
      <c r="AF151" s="44" t="s">
        <v>4209</v>
      </c>
      <c r="AG151" s="21"/>
      <c r="AH151" s="21"/>
      <c r="AI151" s="21"/>
      <c r="AJ151" s="21" t="s">
        <v>2533</v>
      </c>
      <c r="AK151" s="21"/>
      <c r="AL151" s="14"/>
      <c r="AM151" s="14" t="s">
        <v>2970</v>
      </c>
      <c r="AN151" s="14">
        <v>2</v>
      </c>
      <c r="AO151" s="14" t="s">
        <v>3019</v>
      </c>
      <c r="AP151" s="14" t="s">
        <v>3716</v>
      </c>
      <c r="AQ151" s="87" t="s">
        <v>3013</v>
      </c>
      <c r="AR151" s="87" t="s">
        <v>3047</v>
      </c>
      <c r="AS151" s="21"/>
      <c r="AT151" s="21"/>
      <c r="AU151" s="21"/>
      <c r="AV151" s="21" t="s">
        <v>2532</v>
      </c>
      <c r="AW151" s="21"/>
      <c r="AX151" s="14"/>
      <c r="AY151" s="14" t="s">
        <v>2690</v>
      </c>
      <c r="AZ151" s="14">
        <v>5</v>
      </c>
      <c r="BA151" s="14" t="s">
        <v>3331</v>
      </c>
      <c r="BB151" s="14" t="s">
        <v>3898</v>
      </c>
      <c r="BC151" s="87" t="s">
        <v>2874</v>
      </c>
      <c r="BD151" s="87" t="s">
        <v>5483</v>
      </c>
      <c r="BE151" s="21"/>
      <c r="BF151" s="21"/>
      <c r="BG151" s="21"/>
      <c r="BH151" s="21"/>
      <c r="BI151" s="21"/>
      <c r="BJ151" s="21"/>
      <c r="BK151" s="14"/>
      <c r="BL151" s="14"/>
      <c r="BM151" s="14"/>
      <c r="BN151" s="14"/>
      <c r="BO151" s="14"/>
      <c r="BP151" s="87"/>
      <c r="BQ151" s="21"/>
      <c r="BR151" s="21"/>
      <c r="BS151" s="233"/>
      <c r="BT151" s="21"/>
      <c r="BU151" s="21"/>
      <c r="BV151" s="21"/>
      <c r="BW151" s="14"/>
      <c r="BX151" s="14"/>
      <c r="BY151" s="14"/>
      <c r="BZ151" s="14"/>
      <c r="CA151" s="14"/>
      <c r="CB151" s="87"/>
      <c r="CC151" s="233"/>
      <c r="CD151" s="233"/>
      <c r="CE151" s="233"/>
      <c r="CF151" s="21"/>
      <c r="CG151" s="21"/>
      <c r="CH151" s="21"/>
      <c r="CI151" s="14"/>
      <c r="CJ151" s="14"/>
      <c r="CK151" s="14"/>
      <c r="CL151" s="14"/>
      <c r="CM151" s="14"/>
      <c r="CN151" s="87"/>
      <c r="CO151" s="233"/>
      <c r="CP151" s="233"/>
      <c r="CQ151" s="233"/>
      <c r="CR151" s="21" t="s">
        <v>2684</v>
      </c>
      <c r="CS151" s="21"/>
      <c r="CT151" s="21"/>
      <c r="CU151" s="14" t="s">
        <v>3295</v>
      </c>
      <c r="CV151" s="14">
        <v>2</v>
      </c>
      <c r="CW151" s="106" t="s">
        <v>2800</v>
      </c>
      <c r="CX151" s="14" t="s">
        <v>3548</v>
      </c>
      <c r="CY151" s="87" t="s">
        <v>3911</v>
      </c>
      <c r="CZ151" s="44" t="s">
        <v>4209</v>
      </c>
      <c r="DA151" s="21"/>
      <c r="DB151" s="21"/>
      <c r="DC151" s="233"/>
      <c r="DD151" s="21" t="s">
        <v>2684</v>
      </c>
      <c r="DE151" s="21"/>
      <c r="DF151" s="21"/>
      <c r="DG151" s="14" t="s">
        <v>3295</v>
      </c>
      <c r="DH151" s="14">
        <v>2</v>
      </c>
      <c r="DI151" s="106" t="s">
        <v>2800</v>
      </c>
      <c r="DJ151" s="14" t="s">
        <v>3548</v>
      </c>
      <c r="DK151" s="87" t="s">
        <v>3911</v>
      </c>
      <c r="DL151" s="44" t="s">
        <v>4209</v>
      </c>
      <c r="DM151" s="21"/>
      <c r="DN151" s="21"/>
      <c r="DO151" s="233"/>
      <c r="DP151" s="21"/>
      <c r="DQ151" s="21"/>
      <c r="DR151" s="21"/>
      <c r="DS151" s="14"/>
      <c r="DT151" s="14"/>
      <c r="DU151" s="14"/>
      <c r="DV151" s="14"/>
      <c r="DW151" s="14"/>
      <c r="DX151" s="87"/>
      <c r="DY151" s="21"/>
      <c r="DZ151" s="233"/>
      <c r="EA151" s="233"/>
      <c r="EB151" s="21" t="s">
        <v>2533</v>
      </c>
      <c r="EC151" s="21"/>
      <c r="ED151" s="14"/>
      <c r="EE151" s="14" t="s">
        <v>2970</v>
      </c>
      <c r="EF151" s="14">
        <v>2</v>
      </c>
      <c r="EG151" s="14" t="s">
        <v>3019</v>
      </c>
      <c r="EH151" s="14" t="s">
        <v>3716</v>
      </c>
      <c r="EI151" s="87" t="s">
        <v>3013</v>
      </c>
      <c r="EJ151" s="87" t="s">
        <v>3047</v>
      </c>
      <c r="EK151" s="21"/>
      <c r="EL151" s="233"/>
      <c r="EM151" s="233"/>
      <c r="EN151" s="21" t="s">
        <v>2684</v>
      </c>
      <c r="EO151" s="21"/>
      <c r="EP151" s="21"/>
      <c r="EQ151" s="14" t="s">
        <v>3295</v>
      </c>
      <c r="ER151" s="14">
        <v>2</v>
      </c>
      <c r="ES151" s="106" t="s">
        <v>2800</v>
      </c>
      <c r="ET151" s="14" t="s">
        <v>3548</v>
      </c>
      <c r="EU151" s="87" t="s">
        <v>3911</v>
      </c>
      <c r="EV151" s="44" t="s">
        <v>4209</v>
      </c>
      <c r="EW151" s="21"/>
      <c r="EX151" s="21"/>
      <c r="EY151" s="233"/>
      <c r="EZ151" s="233"/>
      <c r="FA151" s="233"/>
      <c r="FB151" s="233"/>
      <c r="FC151" s="233"/>
      <c r="FD151" s="233"/>
    </row>
    <row r="152" spans="1:160">
      <c r="A152" s="20" t="s">
        <v>3527</v>
      </c>
      <c r="B152" s="14">
        <v>3</v>
      </c>
      <c r="C152" s="14" t="s">
        <v>3737</v>
      </c>
      <c r="D152" s="14">
        <v>1</v>
      </c>
      <c r="E152" s="110" t="s">
        <v>3749</v>
      </c>
      <c r="F152" s="14" t="s">
        <v>3898</v>
      </c>
      <c r="G152" s="44" t="s">
        <v>3651</v>
      </c>
      <c r="H152" s="44" t="s">
        <v>3528</v>
      </c>
      <c r="I152" s="44" t="s">
        <v>3900</v>
      </c>
      <c r="J152" s="28" t="s">
        <v>4447</v>
      </c>
      <c r="L152" s="26" t="s">
        <v>5213</v>
      </c>
      <c r="M152" s="21"/>
      <c r="N152" s="108" t="s">
        <v>5018</v>
      </c>
      <c r="O152" s="108" t="s">
        <v>5701</v>
      </c>
      <c r="P152" s="108" t="s">
        <v>5019</v>
      </c>
      <c r="Q152" s="108" t="s">
        <v>5020</v>
      </c>
      <c r="R152" s="108" t="s">
        <v>5021</v>
      </c>
      <c r="S152" s="108" t="s">
        <v>5022</v>
      </c>
      <c r="T152" s="282" t="s">
        <v>5316</v>
      </c>
      <c r="U152" s="26"/>
      <c r="V152" s="21"/>
      <c r="W152" s="21"/>
      <c r="X152" s="26" t="s">
        <v>5213</v>
      </c>
      <c r="Y152" s="21"/>
      <c r="Z152" s="108" t="s">
        <v>5018</v>
      </c>
      <c r="AA152" s="108" t="s">
        <v>5701</v>
      </c>
      <c r="AB152" s="108" t="s">
        <v>5019</v>
      </c>
      <c r="AC152" s="108" t="s">
        <v>5020</v>
      </c>
      <c r="AD152" s="108" t="s">
        <v>5021</v>
      </c>
      <c r="AE152" s="108" t="s">
        <v>5022</v>
      </c>
      <c r="AF152" s="282" t="s">
        <v>5316</v>
      </c>
      <c r="AG152" s="26"/>
      <c r="AH152" s="21"/>
      <c r="AI152" s="21"/>
      <c r="AJ152" s="26" t="s">
        <v>5213</v>
      </c>
      <c r="AK152" s="21"/>
      <c r="AL152" s="108" t="s">
        <v>5018</v>
      </c>
      <c r="AM152" s="108" t="s">
        <v>5701</v>
      </c>
      <c r="AN152" s="108" t="s">
        <v>5019</v>
      </c>
      <c r="AO152" s="108" t="s">
        <v>5020</v>
      </c>
      <c r="AP152" s="108" t="s">
        <v>5021</v>
      </c>
      <c r="AQ152" s="108" t="s">
        <v>5022</v>
      </c>
      <c r="AR152" s="282" t="s">
        <v>5316</v>
      </c>
      <c r="AS152" s="26"/>
      <c r="AT152" s="21"/>
      <c r="AU152" s="21"/>
      <c r="AV152" s="26" t="s">
        <v>5213</v>
      </c>
      <c r="AW152" s="21"/>
      <c r="AX152" s="108" t="s">
        <v>5018</v>
      </c>
      <c r="AY152" s="108" t="s">
        <v>5701</v>
      </c>
      <c r="AZ152" s="108" t="s">
        <v>5019</v>
      </c>
      <c r="BA152" s="108" t="s">
        <v>5020</v>
      </c>
      <c r="BB152" s="108" t="s">
        <v>5021</v>
      </c>
      <c r="BC152" s="108" t="s">
        <v>5022</v>
      </c>
      <c r="BD152" s="282" t="s">
        <v>5316</v>
      </c>
      <c r="BE152" s="26"/>
      <c r="BF152" s="21"/>
      <c r="BG152" s="21"/>
      <c r="BH152" s="26" t="s">
        <v>5213</v>
      </c>
      <c r="BI152" s="21"/>
      <c r="BJ152" s="108" t="s">
        <v>5018</v>
      </c>
      <c r="BK152" s="108" t="s">
        <v>5701</v>
      </c>
      <c r="BL152" s="108" t="s">
        <v>5019</v>
      </c>
      <c r="BM152" s="108" t="s">
        <v>5020</v>
      </c>
      <c r="BN152" s="108" t="s">
        <v>5021</v>
      </c>
      <c r="BO152" s="108" t="s">
        <v>5022</v>
      </c>
      <c r="BP152" s="282" t="s">
        <v>5316</v>
      </c>
      <c r="BQ152" s="26"/>
      <c r="BR152" s="21"/>
      <c r="BS152" s="233"/>
      <c r="BT152" s="26" t="s">
        <v>5213</v>
      </c>
      <c r="BU152" s="21"/>
      <c r="BV152" s="108" t="s">
        <v>5018</v>
      </c>
      <c r="BW152" s="108" t="s">
        <v>5701</v>
      </c>
      <c r="BX152" s="108" t="s">
        <v>5019</v>
      </c>
      <c r="BY152" s="108" t="s">
        <v>5020</v>
      </c>
      <c r="BZ152" s="108" t="s">
        <v>5021</v>
      </c>
      <c r="CA152" s="108" t="s">
        <v>5022</v>
      </c>
      <c r="CB152" s="282" t="s">
        <v>5316</v>
      </c>
      <c r="CC152" s="233"/>
      <c r="CD152" s="233"/>
      <c r="CE152" s="233"/>
      <c r="CF152" s="26" t="s">
        <v>5213</v>
      </c>
      <c r="CG152" s="21"/>
      <c r="CH152" s="108" t="s">
        <v>5018</v>
      </c>
      <c r="CI152" s="108" t="s">
        <v>5701</v>
      </c>
      <c r="CJ152" s="108" t="s">
        <v>5019</v>
      </c>
      <c r="CK152" s="108" t="s">
        <v>5020</v>
      </c>
      <c r="CL152" s="108" t="s">
        <v>5021</v>
      </c>
      <c r="CM152" s="108" t="s">
        <v>5022</v>
      </c>
      <c r="CN152" s="282" t="s">
        <v>5316</v>
      </c>
      <c r="CO152" s="233"/>
      <c r="CP152" s="233"/>
      <c r="CQ152" s="233"/>
      <c r="CR152" s="26" t="s">
        <v>5213</v>
      </c>
      <c r="CS152" s="21"/>
      <c r="CT152" s="108" t="s">
        <v>5018</v>
      </c>
      <c r="CU152" s="108" t="s">
        <v>5701</v>
      </c>
      <c r="CV152" s="108" t="s">
        <v>5019</v>
      </c>
      <c r="CW152" s="108" t="s">
        <v>5020</v>
      </c>
      <c r="CX152" s="108" t="s">
        <v>5021</v>
      </c>
      <c r="CY152" s="108" t="s">
        <v>5022</v>
      </c>
      <c r="CZ152" s="282" t="s">
        <v>5316</v>
      </c>
      <c r="DA152" s="26"/>
      <c r="DB152" s="21"/>
      <c r="DC152" s="233"/>
      <c r="DD152" s="26" t="s">
        <v>5213</v>
      </c>
      <c r="DE152" s="21"/>
      <c r="DF152" s="108" t="s">
        <v>5018</v>
      </c>
      <c r="DG152" s="108" t="s">
        <v>5701</v>
      </c>
      <c r="DH152" s="108" t="s">
        <v>5019</v>
      </c>
      <c r="DI152" s="108" t="s">
        <v>5020</v>
      </c>
      <c r="DJ152" s="108" t="s">
        <v>5021</v>
      </c>
      <c r="DK152" s="108" t="s">
        <v>5022</v>
      </c>
      <c r="DL152" s="282" t="s">
        <v>5316</v>
      </c>
      <c r="DM152" s="26"/>
      <c r="DN152" s="21"/>
      <c r="DO152" s="233"/>
      <c r="DP152" s="26" t="s">
        <v>5213</v>
      </c>
      <c r="DQ152" s="21"/>
      <c r="DR152" s="108" t="s">
        <v>5018</v>
      </c>
      <c r="DS152" s="108" t="s">
        <v>5701</v>
      </c>
      <c r="DT152" s="108" t="s">
        <v>5019</v>
      </c>
      <c r="DU152" s="108" t="s">
        <v>5020</v>
      </c>
      <c r="DV152" s="108" t="s">
        <v>5021</v>
      </c>
      <c r="DW152" s="108" t="s">
        <v>5022</v>
      </c>
      <c r="DX152" s="282" t="s">
        <v>5316</v>
      </c>
      <c r="DY152" s="26"/>
      <c r="DZ152" s="233"/>
      <c r="EA152" s="233"/>
      <c r="EB152" s="26" t="s">
        <v>5213</v>
      </c>
      <c r="EC152" s="21"/>
      <c r="ED152" s="108" t="s">
        <v>5018</v>
      </c>
      <c r="EE152" s="108" t="s">
        <v>5701</v>
      </c>
      <c r="EF152" s="108" t="s">
        <v>5019</v>
      </c>
      <c r="EG152" s="108" t="s">
        <v>5020</v>
      </c>
      <c r="EH152" s="108" t="s">
        <v>5021</v>
      </c>
      <c r="EI152" s="108" t="s">
        <v>5022</v>
      </c>
      <c r="EJ152" s="282" t="s">
        <v>5316</v>
      </c>
      <c r="EK152" s="26"/>
      <c r="EL152" s="233"/>
      <c r="EM152" s="233"/>
      <c r="EN152" s="26" t="s">
        <v>5213</v>
      </c>
      <c r="EO152" s="21"/>
      <c r="EP152" s="108" t="s">
        <v>5018</v>
      </c>
      <c r="EQ152" s="108" t="s">
        <v>5701</v>
      </c>
      <c r="ER152" s="108" t="s">
        <v>5019</v>
      </c>
      <c r="ES152" s="108" t="s">
        <v>5020</v>
      </c>
      <c r="ET152" s="108" t="s">
        <v>5021</v>
      </c>
      <c r="EU152" s="108" t="s">
        <v>5022</v>
      </c>
      <c r="EV152" s="282" t="s">
        <v>5316</v>
      </c>
      <c r="EW152" s="26"/>
      <c r="EX152" s="21"/>
      <c r="EY152" s="233"/>
      <c r="EZ152" s="233"/>
      <c r="FA152" s="233"/>
      <c r="FB152" s="233"/>
      <c r="FC152" s="233"/>
      <c r="FD152" s="233"/>
    </row>
    <row r="153" spans="1:160">
      <c r="A153" s="20" t="s">
        <v>3370</v>
      </c>
      <c r="B153" s="14">
        <v>3</v>
      </c>
      <c r="C153" s="14" t="s">
        <v>3371</v>
      </c>
      <c r="D153" s="14">
        <v>2</v>
      </c>
      <c r="E153" s="110" t="s">
        <v>3858</v>
      </c>
      <c r="F153" s="14" t="s">
        <v>3898</v>
      </c>
      <c r="G153" s="44" t="s">
        <v>3538</v>
      </c>
      <c r="H153" s="44" t="s">
        <v>3539</v>
      </c>
      <c r="I153" s="44" t="s">
        <v>3900</v>
      </c>
      <c r="J153" s="28" t="s">
        <v>4447</v>
      </c>
      <c r="L153" s="21" t="s">
        <v>2534</v>
      </c>
      <c r="M153" s="14"/>
      <c r="N153" s="21"/>
      <c r="O153" s="14" t="s">
        <v>2535</v>
      </c>
      <c r="P153" s="14">
        <v>3</v>
      </c>
      <c r="Q153" s="14" t="s">
        <v>3345</v>
      </c>
      <c r="R153" s="14" t="s">
        <v>3716</v>
      </c>
      <c r="S153" s="44" t="s">
        <v>3906</v>
      </c>
      <c r="T153" s="44" t="s">
        <v>3859</v>
      </c>
      <c r="U153" s="14"/>
      <c r="V153" s="21"/>
      <c r="W153" s="21"/>
      <c r="X153" s="21" t="s">
        <v>2536</v>
      </c>
      <c r="Y153" s="21"/>
      <c r="Z153" s="14"/>
      <c r="AA153" s="14" t="s">
        <v>2537</v>
      </c>
      <c r="AB153" s="14">
        <v>5</v>
      </c>
      <c r="AC153" s="14" t="s">
        <v>2538</v>
      </c>
      <c r="AD153" s="14" t="s">
        <v>3931</v>
      </c>
      <c r="AE153" s="87" t="s">
        <v>3550</v>
      </c>
      <c r="AF153" s="87" t="s">
        <v>2539</v>
      </c>
      <c r="AG153" s="14"/>
      <c r="AH153" s="21"/>
      <c r="AI153" s="21"/>
      <c r="AJ153" s="21" t="s">
        <v>2540</v>
      </c>
      <c r="AK153" s="21"/>
      <c r="AL153" s="14"/>
      <c r="AM153" s="14" t="s">
        <v>2970</v>
      </c>
      <c r="AN153" s="14">
        <v>3</v>
      </c>
      <c r="AO153" s="14" t="s">
        <v>3262</v>
      </c>
      <c r="AP153" s="14" t="s">
        <v>3618</v>
      </c>
      <c r="AQ153" s="87" t="s">
        <v>3843</v>
      </c>
      <c r="AR153" s="87" t="s">
        <v>3706</v>
      </c>
      <c r="AS153" s="14"/>
      <c r="AT153" s="21"/>
      <c r="AU153" s="21"/>
      <c r="AV153" s="21" t="s">
        <v>2541</v>
      </c>
      <c r="AW153" s="21"/>
      <c r="AX153" s="14"/>
      <c r="AY153" s="14" t="s">
        <v>2542</v>
      </c>
      <c r="AZ153" s="14" t="s">
        <v>3884</v>
      </c>
      <c r="BA153" s="106" t="s">
        <v>2543</v>
      </c>
      <c r="BB153" s="14" t="s">
        <v>2544</v>
      </c>
      <c r="BC153" s="87" t="s">
        <v>2545</v>
      </c>
      <c r="BD153" s="87" t="s">
        <v>2546</v>
      </c>
      <c r="BE153" s="14"/>
      <c r="BF153" s="21"/>
      <c r="BG153" s="21"/>
      <c r="BH153" s="21" t="s">
        <v>2534</v>
      </c>
      <c r="BI153" s="21"/>
      <c r="BJ153" s="14"/>
      <c r="BK153" s="14" t="s">
        <v>2535</v>
      </c>
      <c r="BL153" s="14">
        <v>3</v>
      </c>
      <c r="BM153" s="14" t="s">
        <v>3345</v>
      </c>
      <c r="BN153" s="14" t="s">
        <v>3716</v>
      </c>
      <c r="BO153" s="87" t="s">
        <v>3906</v>
      </c>
      <c r="BP153" s="87" t="s">
        <v>3859</v>
      </c>
      <c r="BQ153" s="14"/>
      <c r="BR153" s="21"/>
      <c r="BS153" s="233"/>
      <c r="BT153" s="21" t="s">
        <v>2547</v>
      </c>
      <c r="BU153" s="21"/>
      <c r="BV153" s="14"/>
      <c r="BW153" s="112" t="s">
        <v>3912</v>
      </c>
      <c r="BX153" s="14">
        <v>3</v>
      </c>
      <c r="BY153" s="106" t="s">
        <v>2800</v>
      </c>
      <c r="BZ153" s="14" t="s">
        <v>3898</v>
      </c>
      <c r="CA153" s="87" t="s">
        <v>2548</v>
      </c>
      <c r="CB153" s="44" t="s">
        <v>2549</v>
      </c>
      <c r="CC153" s="233"/>
      <c r="CD153" s="233"/>
      <c r="CE153" s="233"/>
      <c r="CF153" s="21" t="s">
        <v>2534</v>
      </c>
      <c r="CG153" s="21"/>
      <c r="CH153" s="14"/>
      <c r="CI153" s="14" t="s">
        <v>2535</v>
      </c>
      <c r="CJ153" s="14">
        <v>3</v>
      </c>
      <c r="CK153" s="14" t="s">
        <v>3345</v>
      </c>
      <c r="CL153" s="14" t="s">
        <v>3716</v>
      </c>
      <c r="CM153" s="87" t="s">
        <v>3906</v>
      </c>
      <c r="CN153" s="87" t="s">
        <v>3859</v>
      </c>
      <c r="CO153" s="233"/>
      <c r="CP153" s="233"/>
      <c r="CQ153" s="233"/>
      <c r="CR153" s="21" t="s">
        <v>2536</v>
      </c>
      <c r="CS153" s="21"/>
      <c r="CT153" s="14"/>
      <c r="CU153" s="14" t="s">
        <v>2537</v>
      </c>
      <c r="CV153" s="14">
        <v>5</v>
      </c>
      <c r="CW153" s="14" t="s">
        <v>2538</v>
      </c>
      <c r="CX153" s="14" t="s">
        <v>3931</v>
      </c>
      <c r="CY153" s="87" t="s">
        <v>3550</v>
      </c>
      <c r="CZ153" s="87" t="s">
        <v>2539</v>
      </c>
      <c r="DA153" s="14"/>
      <c r="DB153" s="21"/>
      <c r="DC153" s="233"/>
      <c r="DD153" s="21" t="s">
        <v>2536</v>
      </c>
      <c r="DE153" s="21"/>
      <c r="DF153" s="14"/>
      <c r="DG153" s="14" t="s">
        <v>2537</v>
      </c>
      <c r="DH153" s="14">
        <v>5</v>
      </c>
      <c r="DI153" s="14" t="s">
        <v>2538</v>
      </c>
      <c r="DJ153" s="14" t="s">
        <v>3931</v>
      </c>
      <c r="DK153" s="87" t="s">
        <v>3550</v>
      </c>
      <c r="DL153" s="87" t="s">
        <v>2539</v>
      </c>
      <c r="DM153" s="14"/>
      <c r="DN153" s="21"/>
      <c r="DO153" s="233"/>
      <c r="DP153" s="21" t="s">
        <v>2903</v>
      </c>
      <c r="DQ153" s="21"/>
      <c r="DR153" s="14"/>
      <c r="DS153" s="14" t="s">
        <v>2904</v>
      </c>
      <c r="DT153" s="14">
        <v>6</v>
      </c>
      <c r="DU153" s="14" t="s">
        <v>2905</v>
      </c>
      <c r="DV153" s="14" t="s">
        <v>3898</v>
      </c>
      <c r="DW153" s="87" t="s">
        <v>3736</v>
      </c>
      <c r="DX153" s="87" t="s">
        <v>5483</v>
      </c>
      <c r="DY153" s="14"/>
      <c r="DZ153" s="233"/>
      <c r="EA153" s="233"/>
      <c r="EB153" s="21" t="s">
        <v>2540</v>
      </c>
      <c r="EC153" s="21"/>
      <c r="ED153" s="14"/>
      <c r="EE153" s="14" t="s">
        <v>2970</v>
      </c>
      <c r="EF153" s="14">
        <v>3</v>
      </c>
      <c r="EG153" s="14" t="s">
        <v>3262</v>
      </c>
      <c r="EH153" s="14" t="s">
        <v>3618</v>
      </c>
      <c r="EI153" s="87" t="s">
        <v>3843</v>
      </c>
      <c r="EJ153" s="87" t="s">
        <v>3706</v>
      </c>
      <c r="EK153" s="14"/>
      <c r="EL153" s="233"/>
      <c r="EM153" s="233"/>
      <c r="EN153" s="21" t="s">
        <v>2536</v>
      </c>
      <c r="EO153" s="21"/>
      <c r="EP153" s="14"/>
      <c r="EQ153" s="14" t="s">
        <v>2537</v>
      </c>
      <c r="ER153" s="14">
        <v>5</v>
      </c>
      <c r="ES153" s="14" t="s">
        <v>2538</v>
      </c>
      <c r="ET153" s="14" t="s">
        <v>3931</v>
      </c>
      <c r="EU153" s="87" t="s">
        <v>3550</v>
      </c>
      <c r="EV153" s="87" t="s">
        <v>2539</v>
      </c>
      <c r="EW153" s="14"/>
      <c r="EX153" s="21"/>
      <c r="EY153" s="233"/>
      <c r="EZ153" s="233"/>
      <c r="FA153" s="233"/>
      <c r="FB153" s="233"/>
      <c r="FC153" s="233"/>
      <c r="FD153" s="233"/>
    </row>
    <row r="154" spans="1:160">
      <c r="A154" s="20" t="s">
        <v>3202</v>
      </c>
      <c r="B154" s="14">
        <v>3</v>
      </c>
      <c r="C154" s="14" t="s">
        <v>3785</v>
      </c>
      <c r="D154" s="14" t="s">
        <v>5036</v>
      </c>
      <c r="E154" s="14" t="s">
        <v>3841</v>
      </c>
      <c r="F154" s="14" t="s">
        <v>3548</v>
      </c>
      <c r="G154" s="44" t="s">
        <v>3753</v>
      </c>
      <c r="H154" s="44" t="s">
        <v>3746</v>
      </c>
      <c r="I154" s="44" t="s">
        <v>3916</v>
      </c>
      <c r="J154" s="28" t="s">
        <v>4037</v>
      </c>
      <c r="L154" s="21" t="s">
        <v>2550</v>
      </c>
      <c r="M154" s="14"/>
      <c r="N154" s="21"/>
      <c r="O154" s="14" t="s">
        <v>2551</v>
      </c>
      <c r="P154" s="14">
        <v>3</v>
      </c>
      <c r="Q154" s="14" t="s">
        <v>2552</v>
      </c>
      <c r="R154" s="14" t="s">
        <v>3376</v>
      </c>
      <c r="S154" s="44" t="s">
        <v>3612</v>
      </c>
      <c r="T154" s="44" t="s">
        <v>3859</v>
      </c>
      <c r="U154" s="14"/>
      <c r="V154" s="21"/>
      <c r="W154" s="21"/>
      <c r="X154" s="21" t="s">
        <v>2550</v>
      </c>
      <c r="Y154" s="21"/>
      <c r="Z154" s="14"/>
      <c r="AA154" s="14" t="s">
        <v>2553</v>
      </c>
      <c r="AB154" s="14">
        <v>3</v>
      </c>
      <c r="AC154" s="14" t="s">
        <v>2552</v>
      </c>
      <c r="AD154" s="14" t="s">
        <v>3376</v>
      </c>
      <c r="AE154" s="87" t="s">
        <v>3612</v>
      </c>
      <c r="AF154" s="87" t="s">
        <v>3859</v>
      </c>
      <c r="AG154" s="14"/>
      <c r="AH154" s="21"/>
      <c r="AI154" s="21"/>
      <c r="AJ154" s="21" t="s">
        <v>2715</v>
      </c>
      <c r="AK154" s="21"/>
      <c r="AL154" s="14"/>
      <c r="AM154" s="14" t="s">
        <v>3142</v>
      </c>
      <c r="AN154" s="14" t="s">
        <v>2716</v>
      </c>
      <c r="AO154" s="14" t="s">
        <v>2717</v>
      </c>
      <c r="AP154" s="14" t="s">
        <v>3376</v>
      </c>
      <c r="AQ154" s="87" t="s">
        <v>3901</v>
      </c>
      <c r="AR154" s="87" t="s">
        <v>4212</v>
      </c>
      <c r="AS154" s="14"/>
      <c r="AT154" s="21"/>
      <c r="AU154" s="21"/>
      <c r="AV154" s="21" t="s">
        <v>2718</v>
      </c>
      <c r="AW154" s="21"/>
      <c r="AX154" s="14"/>
      <c r="AY154" s="14" t="s">
        <v>2719</v>
      </c>
      <c r="AZ154" s="14">
        <v>6</v>
      </c>
      <c r="BA154" s="14" t="s">
        <v>2720</v>
      </c>
      <c r="BB154" s="14" t="s">
        <v>3898</v>
      </c>
      <c r="BC154" s="87" t="s">
        <v>3420</v>
      </c>
      <c r="BD154" s="87" t="s">
        <v>3859</v>
      </c>
      <c r="BE154" s="14"/>
      <c r="BF154" s="21"/>
      <c r="BG154" s="21"/>
      <c r="BH154" s="21" t="s">
        <v>2721</v>
      </c>
      <c r="BI154" s="21"/>
      <c r="BJ154" s="14"/>
      <c r="BK154" s="14" t="s">
        <v>2722</v>
      </c>
      <c r="BL154" s="14">
        <v>2</v>
      </c>
      <c r="BM154" s="14" t="s">
        <v>2723</v>
      </c>
      <c r="BN154" s="14" t="s">
        <v>3914</v>
      </c>
      <c r="BO154" s="87" t="s">
        <v>2878</v>
      </c>
      <c r="BP154" s="87" t="s">
        <v>2725</v>
      </c>
      <c r="BQ154" s="14"/>
      <c r="BR154" s="21"/>
      <c r="BS154" s="233"/>
      <c r="BT154" s="21" t="s">
        <v>2550</v>
      </c>
      <c r="BU154" s="14"/>
      <c r="BV154" s="21"/>
      <c r="BW154" s="14" t="s">
        <v>2551</v>
      </c>
      <c r="BX154" s="14">
        <v>3</v>
      </c>
      <c r="BY154" s="14" t="s">
        <v>2552</v>
      </c>
      <c r="BZ154" s="14" t="s">
        <v>3376</v>
      </c>
      <c r="CA154" s="87" t="s">
        <v>3612</v>
      </c>
      <c r="CB154" s="44" t="s">
        <v>3859</v>
      </c>
      <c r="CC154" s="233"/>
      <c r="CD154" s="233"/>
      <c r="CE154" s="233"/>
      <c r="CF154" s="21" t="s">
        <v>2721</v>
      </c>
      <c r="CG154" s="21"/>
      <c r="CH154" s="14"/>
      <c r="CI154" s="14" t="s">
        <v>2722</v>
      </c>
      <c r="CJ154" s="14">
        <v>2</v>
      </c>
      <c r="CK154" s="14" t="s">
        <v>2723</v>
      </c>
      <c r="CL154" s="14" t="s">
        <v>3914</v>
      </c>
      <c r="CM154" s="87" t="s">
        <v>2878</v>
      </c>
      <c r="CN154" s="87" t="s">
        <v>2725</v>
      </c>
      <c r="CO154" s="233"/>
      <c r="CP154" s="233"/>
      <c r="CQ154" s="233"/>
      <c r="CR154" s="21" t="s">
        <v>2550</v>
      </c>
      <c r="CS154" s="21"/>
      <c r="CT154" s="14"/>
      <c r="CU154" s="14" t="s">
        <v>2553</v>
      </c>
      <c r="CV154" s="14">
        <v>3</v>
      </c>
      <c r="CW154" s="14" t="s">
        <v>2552</v>
      </c>
      <c r="CX154" s="14" t="s">
        <v>3376</v>
      </c>
      <c r="CY154" s="87" t="s">
        <v>3612</v>
      </c>
      <c r="CZ154" s="87" t="s">
        <v>3859</v>
      </c>
      <c r="DA154" s="14"/>
      <c r="DB154" s="21"/>
      <c r="DC154" s="233"/>
      <c r="DD154" s="21" t="s">
        <v>2550</v>
      </c>
      <c r="DE154" s="21"/>
      <c r="DF154" s="14"/>
      <c r="DG154" s="14" t="s">
        <v>2553</v>
      </c>
      <c r="DH154" s="14">
        <v>3</v>
      </c>
      <c r="DI154" s="14" t="s">
        <v>2552</v>
      </c>
      <c r="DJ154" s="14" t="s">
        <v>3376</v>
      </c>
      <c r="DK154" s="87" t="s">
        <v>3612</v>
      </c>
      <c r="DL154" s="87" t="s">
        <v>3859</v>
      </c>
      <c r="DM154" s="14"/>
      <c r="DN154" s="21"/>
      <c r="DO154" s="233"/>
      <c r="DP154" s="21"/>
      <c r="DQ154" s="21"/>
      <c r="DR154" s="14"/>
      <c r="DS154" s="14"/>
      <c r="DT154" s="14"/>
      <c r="DU154" s="14"/>
      <c r="DV154" s="14"/>
      <c r="DW154" s="87"/>
      <c r="DX154" s="87"/>
      <c r="DY154" s="14"/>
      <c r="DZ154" s="233"/>
      <c r="EA154" s="233"/>
      <c r="EB154" s="21" t="s">
        <v>2715</v>
      </c>
      <c r="EC154" s="21"/>
      <c r="ED154" s="14"/>
      <c r="EE154" s="14" t="s">
        <v>3142</v>
      </c>
      <c r="EF154" s="14" t="s">
        <v>2716</v>
      </c>
      <c r="EG154" s="14" t="s">
        <v>2717</v>
      </c>
      <c r="EH154" s="14" t="s">
        <v>3376</v>
      </c>
      <c r="EI154" s="87" t="s">
        <v>3901</v>
      </c>
      <c r="EJ154" s="87" t="s">
        <v>4212</v>
      </c>
      <c r="EK154" s="14"/>
      <c r="EL154" s="233"/>
      <c r="EM154" s="233"/>
      <c r="EN154" s="21" t="s">
        <v>2550</v>
      </c>
      <c r="EO154" s="21"/>
      <c r="EP154" s="14"/>
      <c r="EQ154" s="14" t="s">
        <v>2553</v>
      </c>
      <c r="ER154" s="14">
        <v>3</v>
      </c>
      <c r="ES154" s="14" t="s">
        <v>2552</v>
      </c>
      <c r="ET154" s="14" t="s">
        <v>3376</v>
      </c>
      <c r="EU154" s="87" t="s">
        <v>3612</v>
      </c>
      <c r="EV154" s="87" t="s">
        <v>3859</v>
      </c>
      <c r="EW154" s="14"/>
      <c r="EX154" s="21"/>
      <c r="EY154" s="233"/>
      <c r="EZ154" s="233"/>
      <c r="FA154" s="233"/>
      <c r="FB154" s="233"/>
      <c r="FC154" s="233"/>
      <c r="FD154" s="233"/>
    </row>
    <row r="155" spans="1:160">
      <c r="A155" s="20" t="s">
        <v>519</v>
      </c>
      <c r="B155" s="14">
        <v>3</v>
      </c>
      <c r="C155" s="14" t="s">
        <v>3564</v>
      </c>
      <c r="D155" s="14">
        <v>2</v>
      </c>
      <c r="E155" s="110" t="s">
        <v>3715</v>
      </c>
      <c r="F155" s="14" t="s">
        <v>3716</v>
      </c>
      <c r="G155" s="44" t="s">
        <v>3730</v>
      </c>
      <c r="H155" s="44" t="s">
        <v>3728</v>
      </c>
      <c r="I155" s="44" t="s">
        <v>3419</v>
      </c>
      <c r="J155" s="28" t="s">
        <v>4369</v>
      </c>
      <c r="L155" s="21" t="s">
        <v>2718</v>
      </c>
      <c r="M155" s="14"/>
      <c r="N155" s="21"/>
      <c r="O155" s="14" t="s">
        <v>2719</v>
      </c>
      <c r="P155" s="14">
        <v>6</v>
      </c>
      <c r="Q155" s="14" t="s">
        <v>2720</v>
      </c>
      <c r="R155" s="14" t="s">
        <v>3898</v>
      </c>
      <c r="S155" s="44" t="s">
        <v>3420</v>
      </c>
      <c r="T155" s="44" t="s">
        <v>3859</v>
      </c>
      <c r="U155" s="14"/>
      <c r="V155" s="21"/>
      <c r="W155" s="21"/>
      <c r="X155" s="21" t="s">
        <v>2726</v>
      </c>
      <c r="Y155" s="21"/>
      <c r="Z155" s="14"/>
      <c r="AA155" s="14" t="s">
        <v>2537</v>
      </c>
      <c r="AB155" s="14">
        <v>4</v>
      </c>
      <c r="AC155" s="14" t="s">
        <v>2727</v>
      </c>
      <c r="AD155" s="14" t="s">
        <v>3716</v>
      </c>
      <c r="AE155" s="87" t="s">
        <v>3736</v>
      </c>
      <c r="AF155" s="87" t="s">
        <v>2728</v>
      </c>
      <c r="AG155" s="14"/>
      <c r="AH155" s="21"/>
      <c r="AI155" s="21"/>
      <c r="AJ155" s="21" t="s">
        <v>2886</v>
      </c>
      <c r="AK155" s="21"/>
      <c r="AL155" s="14"/>
      <c r="AM155" s="14" t="s">
        <v>2887</v>
      </c>
      <c r="AN155" s="14">
        <v>5</v>
      </c>
      <c r="AO155" s="14" t="s">
        <v>3221</v>
      </c>
      <c r="AP155" s="14" t="s">
        <v>3898</v>
      </c>
      <c r="AQ155" s="87" t="s">
        <v>3321</v>
      </c>
      <c r="AR155" s="87" t="s">
        <v>2888</v>
      </c>
      <c r="AS155" s="14"/>
      <c r="AT155" s="21"/>
      <c r="AU155" s="21"/>
      <c r="AV155" s="21" t="s">
        <v>2889</v>
      </c>
      <c r="AW155" s="21"/>
      <c r="AX155" s="14"/>
      <c r="AY155" s="14" t="s">
        <v>2690</v>
      </c>
      <c r="AZ155" s="14">
        <v>2</v>
      </c>
      <c r="BA155" s="14" t="s">
        <v>2957</v>
      </c>
      <c r="BB155" s="14" t="s">
        <v>3716</v>
      </c>
      <c r="BC155" s="87" t="s">
        <v>3736</v>
      </c>
      <c r="BD155" s="87" t="s">
        <v>5483</v>
      </c>
      <c r="BE155" s="14"/>
      <c r="BF155" s="21"/>
      <c r="BG155" s="21"/>
      <c r="BH155" s="21" t="s">
        <v>2890</v>
      </c>
      <c r="BI155" s="21"/>
      <c r="BJ155" s="14"/>
      <c r="BK155" s="14" t="s">
        <v>2535</v>
      </c>
      <c r="BL155" s="14">
        <v>4</v>
      </c>
      <c r="BM155" s="14" t="s">
        <v>2891</v>
      </c>
      <c r="BN155" s="14" t="s">
        <v>3716</v>
      </c>
      <c r="BO155" s="87" t="s">
        <v>3550</v>
      </c>
      <c r="BP155" s="87" t="s">
        <v>3286</v>
      </c>
      <c r="BQ155" s="14"/>
      <c r="BR155" s="21"/>
      <c r="BS155" s="233"/>
      <c r="BT155" s="21" t="s">
        <v>2736</v>
      </c>
      <c r="BU155" s="21"/>
      <c r="BV155" s="14"/>
      <c r="BW155" s="14" t="s">
        <v>3199</v>
      </c>
      <c r="BX155" s="14">
        <v>3</v>
      </c>
      <c r="BY155" s="106" t="s">
        <v>2737</v>
      </c>
      <c r="BZ155" s="14" t="s">
        <v>3898</v>
      </c>
      <c r="CA155" s="87" t="s">
        <v>3736</v>
      </c>
      <c r="CB155" s="44" t="s">
        <v>2738</v>
      </c>
      <c r="CC155" s="233"/>
      <c r="CD155" s="233"/>
      <c r="CE155" s="233"/>
      <c r="CF155" s="21" t="s">
        <v>2890</v>
      </c>
      <c r="CG155" s="21"/>
      <c r="CH155" s="14"/>
      <c r="CI155" s="14" t="s">
        <v>2535</v>
      </c>
      <c r="CJ155" s="14">
        <v>4</v>
      </c>
      <c r="CK155" s="14" t="s">
        <v>2891</v>
      </c>
      <c r="CL155" s="14" t="s">
        <v>3716</v>
      </c>
      <c r="CM155" s="87" t="s">
        <v>3550</v>
      </c>
      <c r="CN155" s="87" t="s">
        <v>3286</v>
      </c>
      <c r="CO155" s="233"/>
      <c r="CP155" s="233"/>
      <c r="CQ155" s="233"/>
      <c r="CR155" s="21" t="s">
        <v>2726</v>
      </c>
      <c r="CS155" s="21"/>
      <c r="CT155" s="14"/>
      <c r="CU155" s="14" t="s">
        <v>2537</v>
      </c>
      <c r="CV155" s="14">
        <v>4</v>
      </c>
      <c r="CW155" s="14" t="s">
        <v>2727</v>
      </c>
      <c r="CX155" s="14" t="s">
        <v>3716</v>
      </c>
      <c r="CY155" s="87" t="s">
        <v>3736</v>
      </c>
      <c r="CZ155" s="87" t="s">
        <v>2728</v>
      </c>
      <c r="DA155" s="14"/>
      <c r="DB155" s="21"/>
      <c r="DC155" s="233"/>
      <c r="DD155" s="21" t="s">
        <v>2726</v>
      </c>
      <c r="DE155" s="21"/>
      <c r="DF155" s="14"/>
      <c r="DG155" s="14" t="s">
        <v>2537</v>
      </c>
      <c r="DH155" s="14">
        <v>4</v>
      </c>
      <c r="DI155" s="14" t="s">
        <v>2727</v>
      </c>
      <c r="DJ155" s="14" t="s">
        <v>3716</v>
      </c>
      <c r="DK155" s="87" t="s">
        <v>3736</v>
      </c>
      <c r="DL155" s="87" t="s">
        <v>2728</v>
      </c>
      <c r="DM155" s="14"/>
      <c r="DN155" s="21"/>
      <c r="DO155" s="233"/>
      <c r="DP155" s="21"/>
      <c r="DQ155" s="21"/>
      <c r="DR155" s="14"/>
      <c r="DS155" s="14"/>
      <c r="DT155" s="14"/>
      <c r="DU155" s="14"/>
      <c r="DV155" s="14"/>
      <c r="DW155" s="87"/>
      <c r="DX155" s="87"/>
      <c r="DY155" s="14"/>
      <c r="DZ155" s="233"/>
      <c r="EA155" s="233"/>
      <c r="EB155" s="21" t="s">
        <v>2886</v>
      </c>
      <c r="EC155" s="21"/>
      <c r="ED155" s="14"/>
      <c r="EE155" s="14" t="s">
        <v>2887</v>
      </c>
      <c r="EF155" s="14">
        <v>5</v>
      </c>
      <c r="EG155" s="14" t="s">
        <v>3221</v>
      </c>
      <c r="EH155" s="14" t="s">
        <v>3898</v>
      </c>
      <c r="EI155" s="87" t="s">
        <v>3321</v>
      </c>
      <c r="EJ155" s="87" t="s">
        <v>2888</v>
      </c>
      <c r="EK155" s="14"/>
      <c r="EL155" s="233"/>
      <c r="EM155" s="233"/>
      <c r="EN155" s="21" t="s">
        <v>2726</v>
      </c>
      <c r="EO155" s="21"/>
      <c r="EP155" s="14"/>
      <c r="EQ155" s="14" t="s">
        <v>2537</v>
      </c>
      <c r="ER155" s="14">
        <v>4</v>
      </c>
      <c r="ES155" s="14" t="s">
        <v>2727</v>
      </c>
      <c r="ET155" s="14" t="s">
        <v>3716</v>
      </c>
      <c r="EU155" s="87" t="s">
        <v>3736</v>
      </c>
      <c r="EV155" s="87" t="s">
        <v>2728</v>
      </c>
      <c r="EW155" s="14"/>
      <c r="EX155" s="21"/>
      <c r="EY155" s="233"/>
      <c r="EZ155" s="233"/>
      <c r="FA155" s="233"/>
      <c r="FB155" s="233"/>
      <c r="FC155" s="233"/>
      <c r="FD155" s="233"/>
    </row>
    <row r="156" spans="1:160">
      <c r="A156" s="20" t="s">
        <v>517</v>
      </c>
      <c r="B156" s="14">
        <v>3</v>
      </c>
      <c r="C156" s="14" t="s">
        <v>3564</v>
      </c>
      <c r="D156" s="14">
        <v>1</v>
      </c>
      <c r="E156" s="110" t="s">
        <v>3807</v>
      </c>
      <c r="F156" s="14" t="s">
        <v>3716</v>
      </c>
      <c r="G156" s="44" t="s">
        <v>3736</v>
      </c>
      <c r="H156" s="44" t="s">
        <v>5483</v>
      </c>
      <c r="I156" s="44">
        <v>2</v>
      </c>
      <c r="J156" s="28" t="s">
        <v>2696</v>
      </c>
      <c r="L156" s="21" t="s">
        <v>2896</v>
      </c>
      <c r="M156" s="14"/>
      <c r="N156" s="21"/>
      <c r="O156" s="14" t="s">
        <v>2551</v>
      </c>
      <c r="P156" s="14">
        <v>3</v>
      </c>
      <c r="Q156" s="14" t="s">
        <v>2552</v>
      </c>
      <c r="R156" s="14" t="s">
        <v>3573</v>
      </c>
      <c r="S156" s="44" t="s">
        <v>3736</v>
      </c>
      <c r="T156" s="44" t="s">
        <v>3047</v>
      </c>
      <c r="U156" s="14"/>
      <c r="V156" s="21"/>
      <c r="W156" s="21"/>
      <c r="X156" s="21" t="s">
        <v>2896</v>
      </c>
      <c r="Y156" s="21"/>
      <c r="Z156" s="14"/>
      <c r="AA156" s="14" t="s">
        <v>2553</v>
      </c>
      <c r="AB156" s="14">
        <v>3</v>
      </c>
      <c r="AC156" s="14" t="s">
        <v>2552</v>
      </c>
      <c r="AD156" s="14" t="s">
        <v>3573</v>
      </c>
      <c r="AE156" s="87" t="s">
        <v>3736</v>
      </c>
      <c r="AF156" s="87" t="s">
        <v>3047</v>
      </c>
      <c r="AG156" s="14"/>
      <c r="AH156" s="21"/>
      <c r="AI156" s="21"/>
      <c r="AJ156" s="21" t="s">
        <v>2897</v>
      </c>
      <c r="AK156" s="21"/>
      <c r="AL156" s="14"/>
      <c r="AM156" s="14" t="s">
        <v>2983</v>
      </c>
      <c r="AN156" s="14">
        <v>7</v>
      </c>
      <c r="AO156" s="106" t="s">
        <v>2898</v>
      </c>
      <c r="AP156" s="14" t="s">
        <v>3898</v>
      </c>
      <c r="AQ156" s="87" t="s">
        <v>2899</v>
      </c>
      <c r="AR156" s="87" t="s">
        <v>2900</v>
      </c>
      <c r="AS156" s="14"/>
      <c r="AT156" s="21"/>
      <c r="AU156" s="21"/>
      <c r="AV156" s="21" t="s">
        <v>2715</v>
      </c>
      <c r="AW156" s="21"/>
      <c r="AX156" s="14"/>
      <c r="AY156" s="14" t="s">
        <v>3142</v>
      </c>
      <c r="AZ156" s="14" t="s">
        <v>2716</v>
      </c>
      <c r="BA156" s="14" t="s">
        <v>2717</v>
      </c>
      <c r="BB156" s="14" t="s">
        <v>3376</v>
      </c>
      <c r="BC156" s="87" t="s">
        <v>3901</v>
      </c>
      <c r="BD156" s="87" t="s">
        <v>4212</v>
      </c>
      <c r="BE156" s="14"/>
      <c r="BF156" s="21"/>
      <c r="BG156" s="21"/>
      <c r="BH156" s="21" t="s">
        <v>2901</v>
      </c>
      <c r="BI156" s="21"/>
      <c r="BJ156" s="14"/>
      <c r="BK156" s="14" t="s">
        <v>2722</v>
      </c>
      <c r="BL156" s="14">
        <v>4</v>
      </c>
      <c r="BM156" s="14" t="s">
        <v>2778</v>
      </c>
      <c r="BN156" s="14" t="s">
        <v>3947</v>
      </c>
      <c r="BO156" s="87" t="s">
        <v>3948</v>
      </c>
      <c r="BP156" s="87" t="s">
        <v>2902</v>
      </c>
      <c r="BQ156" s="14"/>
      <c r="BR156" s="21"/>
      <c r="BS156" s="233"/>
      <c r="BT156" s="21" t="s">
        <v>2903</v>
      </c>
      <c r="BU156" s="21"/>
      <c r="BV156" s="14"/>
      <c r="BW156" s="14" t="s">
        <v>2904</v>
      </c>
      <c r="BX156" s="14">
        <v>6</v>
      </c>
      <c r="BY156" s="14" t="s">
        <v>2905</v>
      </c>
      <c r="BZ156" s="14" t="s">
        <v>3898</v>
      </c>
      <c r="CA156" s="87" t="s">
        <v>3736</v>
      </c>
      <c r="CB156" s="87" t="s">
        <v>5483</v>
      </c>
      <c r="CC156" s="233"/>
      <c r="CD156" s="233"/>
      <c r="CE156" s="233"/>
      <c r="CF156" s="21" t="s">
        <v>2901</v>
      </c>
      <c r="CG156" s="21"/>
      <c r="CH156" s="14"/>
      <c r="CI156" s="14" t="s">
        <v>2722</v>
      </c>
      <c r="CJ156" s="14">
        <v>4</v>
      </c>
      <c r="CK156" s="14" t="s">
        <v>2778</v>
      </c>
      <c r="CL156" s="14" t="s">
        <v>3947</v>
      </c>
      <c r="CM156" s="87" t="s">
        <v>3948</v>
      </c>
      <c r="CN156" s="87" t="s">
        <v>2902</v>
      </c>
      <c r="CO156" s="233"/>
      <c r="CP156" s="233"/>
      <c r="CQ156" s="233"/>
      <c r="CR156" s="21" t="s">
        <v>2896</v>
      </c>
      <c r="CS156" s="21"/>
      <c r="CT156" s="14"/>
      <c r="CU156" s="14" t="s">
        <v>2553</v>
      </c>
      <c r="CV156" s="14">
        <v>3</v>
      </c>
      <c r="CW156" s="14" t="s">
        <v>2552</v>
      </c>
      <c r="CX156" s="14" t="s">
        <v>3573</v>
      </c>
      <c r="CY156" s="87" t="s">
        <v>3736</v>
      </c>
      <c r="CZ156" s="87" t="s">
        <v>3047</v>
      </c>
      <c r="DA156" s="14"/>
      <c r="DB156" s="21"/>
      <c r="DC156" s="233"/>
      <c r="DD156" s="21" t="s">
        <v>2896</v>
      </c>
      <c r="DE156" s="21"/>
      <c r="DF156" s="14"/>
      <c r="DG156" s="14" t="s">
        <v>2553</v>
      </c>
      <c r="DH156" s="14">
        <v>3</v>
      </c>
      <c r="DI156" s="14" t="s">
        <v>2552</v>
      </c>
      <c r="DJ156" s="14" t="s">
        <v>3573</v>
      </c>
      <c r="DK156" s="87" t="s">
        <v>3736</v>
      </c>
      <c r="DL156" s="87" t="s">
        <v>3047</v>
      </c>
      <c r="DM156" s="14"/>
      <c r="DN156" s="21"/>
      <c r="DO156" s="233"/>
      <c r="DP156" s="21"/>
      <c r="DQ156" s="21"/>
      <c r="DR156" s="14"/>
      <c r="DS156" s="14"/>
      <c r="DT156" s="14"/>
      <c r="DU156" s="14"/>
      <c r="DV156" s="14"/>
      <c r="DW156" s="87"/>
      <c r="DX156" s="87"/>
      <c r="DY156" s="14"/>
      <c r="DZ156" s="233"/>
      <c r="EA156" s="233"/>
      <c r="EB156" s="21" t="s">
        <v>2897</v>
      </c>
      <c r="EC156" s="21"/>
      <c r="ED156" s="14"/>
      <c r="EE156" s="14" t="s">
        <v>2983</v>
      </c>
      <c r="EF156" s="14">
        <v>7</v>
      </c>
      <c r="EG156" s="106" t="s">
        <v>2898</v>
      </c>
      <c r="EH156" s="14" t="s">
        <v>3898</v>
      </c>
      <c r="EI156" s="87" t="s">
        <v>2899</v>
      </c>
      <c r="EJ156" s="87" t="s">
        <v>2900</v>
      </c>
      <c r="EK156" s="14"/>
      <c r="EL156" s="233"/>
      <c r="EM156" s="233"/>
      <c r="EN156" s="21" t="s">
        <v>2896</v>
      </c>
      <c r="EO156" s="21"/>
      <c r="EP156" s="14"/>
      <c r="EQ156" s="14" t="s">
        <v>2553</v>
      </c>
      <c r="ER156" s="14">
        <v>3</v>
      </c>
      <c r="ES156" s="14" t="s">
        <v>2552</v>
      </c>
      <c r="ET156" s="14" t="s">
        <v>3573</v>
      </c>
      <c r="EU156" s="87" t="s">
        <v>3736</v>
      </c>
      <c r="EV156" s="87" t="s">
        <v>3047</v>
      </c>
      <c r="EW156" s="14"/>
      <c r="EX156" s="21"/>
      <c r="EY156" s="233"/>
      <c r="EZ156" s="233"/>
      <c r="FA156" s="233"/>
      <c r="FB156" s="233"/>
      <c r="FC156" s="233"/>
      <c r="FD156" s="233"/>
    </row>
    <row r="157" spans="1:160">
      <c r="A157" s="20" t="s">
        <v>520</v>
      </c>
      <c r="B157" s="14">
        <v>3</v>
      </c>
      <c r="C157" s="14" t="s">
        <v>3564</v>
      </c>
      <c r="D157" s="14">
        <v>1</v>
      </c>
      <c r="E157" s="110" t="s">
        <v>3807</v>
      </c>
      <c r="F157" s="14" t="s">
        <v>3716</v>
      </c>
      <c r="G157" s="44" t="s">
        <v>3736</v>
      </c>
      <c r="H157" s="44" t="s">
        <v>5483</v>
      </c>
      <c r="I157" s="44">
        <v>2</v>
      </c>
      <c r="J157" s="28" t="s">
        <v>2696</v>
      </c>
      <c r="L157" s="21" t="s">
        <v>2890</v>
      </c>
      <c r="M157" s="14"/>
      <c r="N157" s="21"/>
      <c r="O157" s="14" t="s">
        <v>2535</v>
      </c>
      <c r="P157" s="14">
        <v>4</v>
      </c>
      <c r="Q157" s="14" t="s">
        <v>2891</v>
      </c>
      <c r="R157" s="14" t="s">
        <v>3716</v>
      </c>
      <c r="S157" s="44" t="s">
        <v>3550</v>
      </c>
      <c r="T157" s="44" t="s">
        <v>3286</v>
      </c>
      <c r="U157" s="14"/>
      <c r="V157" s="21"/>
      <c r="W157" s="21"/>
      <c r="X157" s="21" t="s">
        <v>2906</v>
      </c>
      <c r="Y157" s="21"/>
      <c r="Z157" s="14"/>
      <c r="AA157" s="14" t="s">
        <v>2908</v>
      </c>
      <c r="AB157" s="14">
        <v>4</v>
      </c>
      <c r="AC157" s="14" t="s">
        <v>3262</v>
      </c>
      <c r="AD157" s="14" t="s">
        <v>3573</v>
      </c>
      <c r="AE157" s="87" t="s">
        <v>3612</v>
      </c>
      <c r="AF157" s="87" t="s">
        <v>2909</v>
      </c>
      <c r="AG157" s="14"/>
      <c r="AH157" s="21"/>
      <c r="AI157" s="21"/>
      <c r="AJ157" s="21" t="s">
        <v>3073</v>
      </c>
      <c r="AK157" s="21"/>
      <c r="AL157" s="14"/>
      <c r="AM157" s="14" t="s">
        <v>3074</v>
      </c>
      <c r="AN157" s="14">
        <v>5</v>
      </c>
      <c r="AO157" s="14" t="s">
        <v>3019</v>
      </c>
      <c r="AP157" s="14" t="s">
        <v>3075</v>
      </c>
      <c r="AQ157" s="87" t="s">
        <v>3612</v>
      </c>
      <c r="AR157" s="87" t="s">
        <v>3286</v>
      </c>
      <c r="AS157" s="14"/>
      <c r="AT157" s="21"/>
      <c r="AU157" s="21"/>
      <c r="AV157" s="21" t="s">
        <v>3076</v>
      </c>
      <c r="AW157" s="21"/>
      <c r="AX157" s="14"/>
      <c r="AY157" s="14" t="s">
        <v>2690</v>
      </c>
      <c r="AZ157" s="14">
        <v>3</v>
      </c>
      <c r="BA157" s="14" t="s">
        <v>2898</v>
      </c>
      <c r="BB157" s="14" t="s">
        <v>3898</v>
      </c>
      <c r="BC157" s="87" t="s">
        <v>3612</v>
      </c>
      <c r="BD157" s="87" t="s">
        <v>3286</v>
      </c>
      <c r="BE157" s="14"/>
      <c r="BF157" s="21"/>
      <c r="BG157" s="21"/>
      <c r="BH157" s="21" t="s">
        <v>3253</v>
      </c>
      <c r="BI157" s="21"/>
      <c r="BJ157" s="14"/>
      <c r="BK157" s="14" t="s">
        <v>2535</v>
      </c>
      <c r="BL157" s="14">
        <v>5</v>
      </c>
      <c r="BM157" s="14" t="s">
        <v>2891</v>
      </c>
      <c r="BN157" s="14" t="s">
        <v>3473</v>
      </c>
      <c r="BO157" s="87" t="s">
        <v>3884</v>
      </c>
      <c r="BP157" s="87" t="s">
        <v>3488</v>
      </c>
      <c r="BQ157" s="14"/>
      <c r="BR157" s="21"/>
      <c r="BS157" s="233"/>
      <c r="BT157" s="21" t="s">
        <v>3254</v>
      </c>
      <c r="BU157" s="21"/>
      <c r="BV157" s="14"/>
      <c r="BW157" s="14" t="s">
        <v>3708</v>
      </c>
      <c r="BX157" s="14">
        <v>2</v>
      </c>
      <c r="BY157" s="106" t="s">
        <v>2868</v>
      </c>
      <c r="BZ157" s="14" t="s">
        <v>3931</v>
      </c>
      <c r="CA157" s="87" t="s">
        <v>2840</v>
      </c>
      <c r="CB157" s="44" t="s">
        <v>3255</v>
      </c>
      <c r="CC157" s="233"/>
      <c r="CD157" s="233"/>
      <c r="CE157" s="233"/>
      <c r="CF157" s="21" t="s">
        <v>3253</v>
      </c>
      <c r="CG157" s="21"/>
      <c r="CH157" s="14"/>
      <c r="CI157" s="14" t="s">
        <v>2535</v>
      </c>
      <c r="CJ157" s="14">
        <v>5</v>
      </c>
      <c r="CK157" s="14" t="s">
        <v>2891</v>
      </c>
      <c r="CL157" s="14" t="s">
        <v>3473</v>
      </c>
      <c r="CM157" s="87" t="s">
        <v>3884</v>
      </c>
      <c r="CN157" s="87" t="s">
        <v>3488</v>
      </c>
      <c r="CO157" s="233"/>
      <c r="CP157" s="233"/>
      <c r="CQ157" s="233"/>
      <c r="CR157" s="21" t="s">
        <v>2906</v>
      </c>
      <c r="CS157" s="21"/>
      <c r="CT157" s="14"/>
      <c r="CU157" s="14" t="s">
        <v>2908</v>
      </c>
      <c r="CV157" s="14">
        <v>4</v>
      </c>
      <c r="CW157" s="14" t="s">
        <v>3262</v>
      </c>
      <c r="CX157" s="14" t="s">
        <v>3573</v>
      </c>
      <c r="CY157" s="87" t="s">
        <v>3612</v>
      </c>
      <c r="CZ157" s="87" t="s">
        <v>2909</v>
      </c>
      <c r="DA157" s="14"/>
      <c r="DB157" s="21"/>
      <c r="DC157" s="233"/>
      <c r="DD157" s="21" t="s">
        <v>2906</v>
      </c>
      <c r="DE157" s="21"/>
      <c r="DF157" s="14"/>
      <c r="DG157" s="14" t="s">
        <v>2908</v>
      </c>
      <c r="DH157" s="14">
        <v>4</v>
      </c>
      <c r="DI157" s="14" t="s">
        <v>3262</v>
      </c>
      <c r="DJ157" s="14" t="s">
        <v>3573</v>
      </c>
      <c r="DK157" s="87" t="s">
        <v>3612</v>
      </c>
      <c r="DL157" s="87" t="s">
        <v>2909</v>
      </c>
      <c r="DM157" s="14"/>
      <c r="DN157" s="21"/>
      <c r="DO157" s="233"/>
      <c r="DP157" s="21"/>
      <c r="DQ157" s="21"/>
      <c r="DR157" s="14"/>
      <c r="DS157" s="14"/>
      <c r="DT157" s="14"/>
      <c r="DU157" s="14"/>
      <c r="DV157" s="14"/>
      <c r="DW157" s="87"/>
      <c r="DX157" s="87"/>
      <c r="DY157" s="14"/>
      <c r="DZ157" s="233"/>
      <c r="EA157" s="233"/>
      <c r="EB157" s="21" t="s">
        <v>3073</v>
      </c>
      <c r="EC157" s="21"/>
      <c r="ED157" s="14"/>
      <c r="EE157" s="14" t="s">
        <v>3074</v>
      </c>
      <c r="EF157" s="14">
        <v>5</v>
      </c>
      <c r="EG157" s="14" t="s">
        <v>3019</v>
      </c>
      <c r="EH157" s="14" t="s">
        <v>3075</v>
      </c>
      <c r="EI157" s="87" t="s">
        <v>3612</v>
      </c>
      <c r="EJ157" s="87" t="s">
        <v>3286</v>
      </c>
      <c r="EK157" s="14"/>
      <c r="EL157" s="233"/>
      <c r="EM157" s="233"/>
      <c r="EN157" s="21" t="s">
        <v>2906</v>
      </c>
      <c r="EO157" s="21"/>
      <c r="EP157" s="14"/>
      <c r="EQ157" s="14" t="s">
        <v>2908</v>
      </c>
      <c r="ER157" s="14">
        <v>4</v>
      </c>
      <c r="ES157" s="14" t="s">
        <v>3262</v>
      </c>
      <c r="ET157" s="14" t="s">
        <v>3573</v>
      </c>
      <c r="EU157" s="87" t="s">
        <v>3612</v>
      </c>
      <c r="EV157" s="87" t="s">
        <v>2909</v>
      </c>
      <c r="EW157" s="14"/>
      <c r="EX157" s="21"/>
      <c r="EY157" s="233"/>
      <c r="EZ157" s="233"/>
      <c r="FA157" s="233"/>
      <c r="FB157" s="233"/>
      <c r="FC157" s="233"/>
      <c r="FD157" s="233"/>
    </row>
    <row r="158" spans="1:160">
      <c r="A158" s="20" t="s">
        <v>518</v>
      </c>
      <c r="B158" s="14">
        <v>3</v>
      </c>
      <c r="C158" s="14" t="s">
        <v>3564</v>
      </c>
      <c r="D158" s="14">
        <v>1</v>
      </c>
      <c r="E158" s="110" t="s">
        <v>3807</v>
      </c>
      <c r="F158" s="14" t="s">
        <v>3716</v>
      </c>
      <c r="G158" s="44" t="s">
        <v>3736</v>
      </c>
      <c r="H158" s="44" t="s">
        <v>5483</v>
      </c>
      <c r="I158" s="44">
        <v>2</v>
      </c>
      <c r="J158" s="28" t="s">
        <v>2696</v>
      </c>
      <c r="L158" s="21" t="s">
        <v>2906</v>
      </c>
      <c r="M158" s="14"/>
      <c r="N158" s="21"/>
      <c r="O158" s="14" t="s">
        <v>3256</v>
      </c>
      <c r="P158" s="14">
        <v>4</v>
      </c>
      <c r="Q158" s="14" t="s">
        <v>3262</v>
      </c>
      <c r="R158" s="14" t="s">
        <v>3573</v>
      </c>
      <c r="S158" s="44" t="s">
        <v>3612</v>
      </c>
      <c r="T158" s="44" t="s">
        <v>2909</v>
      </c>
      <c r="U158" s="14"/>
      <c r="V158" s="21"/>
      <c r="W158" s="21"/>
      <c r="X158" s="21" t="s">
        <v>3257</v>
      </c>
      <c r="Y158" s="21"/>
      <c r="Z158" s="14"/>
      <c r="AA158" s="14" t="s">
        <v>2908</v>
      </c>
      <c r="AB158" s="14">
        <v>5</v>
      </c>
      <c r="AC158" s="14" t="s">
        <v>3258</v>
      </c>
      <c r="AD158" s="14" t="s">
        <v>4000</v>
      </c>
      <c r="AE158" s="87" t="s">
        <v>3259</v>
      </c>
      <c r="AF158" s="87" t="s">
        <v>2909</v>
      </c>
      <c r="AG158" s="14"/>
      <c r="AH158" s="21"/>
      <c r="AI158" s="21"/>
      <c r="AJ158" s="21" t="s">
        <v>3260</v>
      </c>
      <c r="AK158" s="21"/>
      <c r="AL158" s="14"/>
      <c r="AM158" s="14" t="s">
        <v>3074</v>
      </c>
      <c r="AN158" s="14">
        <v>4</v>
      </c>
      <c r="AO158" s="14" t="s">
        <v>3083</v>
      </c>
      <c r="AP158" s="14" t="s">
        <v>3084</v>
      </c>
      <c r="AQ158" s="87" t="s">
        <v>3467</v>
      </c>
      <c r="AR158" s="87" t="s">
        <v>2888</v>
      </c>
      <c r="AS158" s="14"/>
      <c r="AT158" s="21"/>
      <c r="AU158" s="21"/>
      <c r="AV158" s="21" t="s">
        <v>3085</v>
      </c>
      <c r="AW158" s="21"/>
      <c r="AX158" s="14"/>
      <c r="AY158" s="14" t="s">
        <v>2719</v>
      </c>
      <c r="AZ158" s="14">
        <v>2</v>
      </c>
      <c r="BA158" s="14" t="s">
        <v>3086</v>
      </c>
      <c r="BB158" s="14" t="s">
        <v>3898</v>
      </c>
      <c r="BC158" s="87" t="s">
        <v>3843</v>
      </c>
      <c r="BD158" s="87" t="s">
        <v>3915</v>
      </c>
      <c r="BE158" s="14"/>
      <c r="BF158" s="21"/>
      <c r="BG158" s="21"/>
      <c r="BH158" s="21" t="s">
        <v>2903</v>
      </c>
      <c r="BI158" s="21"/>
      <c r="BJ158" s="14"/>
      <c r="BK158" s="14" t="s">
        <v>2904</v>
      </c>
      <c r="BL158" s="14">
        <v>6</v>
      </c>
      <c r="BM158" s="14" t="s">
        <v>2905</v>
      </c>
      <c r="BN158" s="14" t="s">
        <v>3898</v>
      </c>
      <c r="BO158" s="87" t="s">
        <v>3736</v>
      </c>
      <c r="BP158" s="87" t="s">
        <v>5483</v>
      </c>
      <c r="BQ158" s="14"/>
      <c r="BR158" s="21"/>
      <c r="BS158" s="233"/>
      <c r="BT158" s="21" t="s">
        <v>3087</v>
      </c>
      <c r="BU158" s="21"/>
      <c r="BV158" s="14"/>
      <c r="BW158" s="14" t="s">
        <v>3074</v>
      </c>
      <c r="BX158" s="14">
        <v>3</v>
      </c>
      <c r="BY158" s="14" t="s">
        <v>3083</v>
      </c>
      <c r="BZ158" s="14" t="s">
        <v>2959</v>
      </c>
      <c r="CA158" s="87" t="s">
        <v>3378</v>
      </c>
      <c r="CB158" s="87" t="s">
        <v>3687</v>
      </c>
      <c r="CC158" s="233"/>
      <c r="CD158" s="233"/>
      <c r="CE158" s="233"/>
      <c r="CF158" s="21" t="s">
        <v>2903</v>
      </c>
      <c r="CG158" s="21"/>
      <c r="CH158" s="14"/>
      <c r="CI158" s="14" t="s">
        <v>2904</v>
      </c>
      <c r="CJ158" s="14">
        <v>6</v>
      </c>
      <c r="CK158" s="14" t="s">
        <v>2905</v>
      </c>
      <c r="CL158" s="14" t="s">
        <v>3898</v>
      </c>
      <c r="CM158" s="87" t="s">
        <v>3736</v>
      </c>
      <c r="CN158" s="87" t="s">
        <v>5483</v>
      </c>
      <c r="CO158" s="233"/>
      <c r="CP158" s="233"/>
      <c r="CQ158" s="233"/>
      <c r="CR158" s="21" t="s">
        <v>3257</v>
      </c>
      <c r="CS158" s="21"/>
      <c r="CT158" s="14"/>
      <c r="CU158" s="14" t="s">
        <v>2908</v>
      </c>
      <c r="CV158" s="14">
        <v>5</v>
      </c>
      <c r="CW158" s="14" t="s">
        <v>3258</v>
      </c>
      <c r="CX158" s="14" t="s">
        <v>4000</v>
      </c>
      <c r="CY158" s="87" t="s">
        <v>3259</v>
      </c>
      <c r="CZ158" s="87" t="s">
        <v>2909</v>
      </c>
      <c r="DA158" s="14"/>
      <c r="DB158" s="21"/>
      <c r="DC158" s="233"/>
      <c r="DD158" s="21" t="s">
        <v>3257</v>
      </c>
      <c r="DE158" s="21"/>
      <c r="DF158" s="14"/>
      <c r="DG158" s="14" t="s">
        <v>2908</v>
      </c>
      <c r="DH158" s="14">
        <v>5</v>
      </c>
      <c r="DI158" s="14" t="s">
        <v>3258</v>
      </c>
      <c r="DJ158" s="14" t="s">
        <v>4000</v>
      </c>
      <c r="DK158" s="87" t="s">
        <v>3259</v>
      </c>
      <c r="DL158" s="87" t="s">
        <v>2909</v>
      </c>
      <c r="DM158" s="14"/>
      <c r="DN158" s="21"/>
      <c r="DO158" s="233"/>
      <c r="DP158" s="21"/>
      <c r="DQ158" s="21"/>
      <c r="DR158" s="14"/>
      <c r="DS158" s="14"/>
      <c r="DT158" s="14"/>
      <c r="DU158" s="14"/>
      <c r="DV158" s="14"/>
      <c r="DW158" s="87"/>
      <c r="DX158" s="87"/>
      <c r="DY158" s="14"/>
      <c r="DZ158" s="233"/>
      <c r="EA158" s="233"/>
      <c r="EB158" s="21" t="s">
        <v>3260</v>
      </c>
      <c r="EC158" s="21"/>
      <c r="ED158" s="14"/>
      <c r="EE158" s="14" t="s">
        <v>3074</v>
      </c>
      <c r="EF158" s="14">
        <v>4</v>
      </c>
      <c r="EG158" s="14" t="s">
        <v>3083</v>
      </c>
      <c r="EH158" s="14" t="s">
        <v>3084</v>
      </c>
      <c r="EI158" s="87" t="s">
        <v>3467</v>
      </c>
      <c r="EJ158" s="87" t="s">
        <v>2888</v>
      </c>
      <c r="EK158" s="14"/>
      <c r="EL158" s="233"/>
      <c r="EM158" s="233"/>
      <c r="EN158" s="21" t="s">
        <v>3257</v>
      </c>
      <c r="EO158" s="21"/>
      <c r="EP158" s="14"/>
      <c r="EQ158" s="14" t="s">
        <v>2908</v>
      </c>
      <c r="ER158" s="14">
        <v>5</v>
      </c>
      <c r="ES158" s="14" t="s">
        <v>3258</v>
      </c>
      <c r="ET158" s="14" t="s">
        <v>4000</v>
      </c>
      <c r="EU158" s="87" t="s">
        <v>3259</v>
      </c>
      <c r="EV158" s="87" t="s">
        <v>2909</v>
      </c>
      <c r="EW158" s="14"/>
      <c r="EX158" s="21"/>
      <c r="EY158" s="233"/>
      <c r="EZ158" s="233"/>
      <c r="FA158" s="233"/>
      <c r="FB158" s="233"/>
      <c r="FC158" s="233"/>
      <c r="FD158" s="233"/>
    </row>
    <row r="159" spans="1:160">
      <c r="A159" s="20" t="s">
        <v>3366</v>
      </c>
      <c r="B159" s="14">
        <v>3</v>
      </c>
      <c r="C159" s="5" t="s">
        <v>3583</v>
      </c>
      <c r="D159" s="14" t="s">
        <v>5036</v>
      </c>
      <c r="E159" s="197" t="s">
        <v>3841</v>
      </c>
      <c r="F159" s="14" t="s">
        <v>3979</v>
      </c>
      <c r="G159" s="44" t="s">
        <v>3736</v>
      </c>
      <c r="H159" s="44" t="s">
        <v>3367</v>
      </c>
      <c r="I159" s="44">
        <v>6</v>
      </c>
      <c r="J159" s="28" t="s">
        <v>4773</v>
      </c>
      <c r="L159" s="21" t="s">
        <v>3257</v>
      </c>
      <c r="M159" s="14"/>
      <c r="N159" s="21"/>
      <c r="O159" s="14" t="s">
        <v>3256</v>
      </c>
      <c r="P159" s="14">
        <v>5</v>
      </c>
      <c r="Q159" s="14" t="s">
        <v>3258</v>
      </c>
      <c r="R159" s="14" t="s">
        <v>4000</v>
      </c>
      <c r="S159" s="44" t="s">
        <v>3259</v>
      </c>
      <c r="T159" s="44" t="s">
        <v>2909</v>
      </c>
      <c r="U159" s="14"/>
      <c r="V159" s="21"/>
      <c r="W159" s="21"/>
      <c r="X159" s="21" t="s">
        <v>3088</v>
      </c>
      <c r="Y159" s="21"/>
      <c r="Z159" s="14"/>
      <c r="AA159" s="14" t="s">
        <v>2908</v>
      </c>
      <c r="AB159" s="14">
        <v>4</v>
      </c>
      <c r="AC159" s="14" t="s">
        <v>3262</v>
      </c>
      <c r="AD159" s="14" t="s">
        <v>3573</v>
      </c>
      <c r="AE159" s="87" t="s">
        <v>3612</v>
      </c>
      <c r="AF159" s="87" t="s">
        <v>3286</v>
      </c>
      <c r="AG159" s="14"/>
      <c r="AH159" s="21"/>
      <c r="AI159" s="21"/>
      <c r="AJ159" s="21" t="s">
        <v>3089</v>
      </c>
      <c r="AK159" s="21"/>
      <c r="AL159" s="14"/>
      <c r="AM159" s="14" t="s">
        <v>3074</v>
      </c>
      <c r="AN159" s="14">
        <v>5</v>
      </c>
      <c r="AO159" s="14" t="s">
        <v>3083</v>
      </c>
      <c r="AP159" s="14" t="s">
        <v>3618</v>
      </c>
      <c r="AQ159" s="87" t="s">
        <v>3538</v>
      </c>
      <c r="AR159" s="87" t="s">
        <v>3687</v>
      </c>
      <c r="AS159" s="14"/>
      <c r="AT159" s="21"/>
      <c r="AU159" s="21"/>
      <c r="AV159" s="21" t="s">
        <v>3090</v>
      </c>
      <c r="AW159" s="21"/>
      <c r="AX159" s="14"/>
      <c r="AY159" s="14" t="s">
        <v>3091</v>
      </c>
      <c r="AZ159" s="14">
        <v>3</v>
      </c>
      <c r="BA159" s="14" t="s">
        <v>3353</v>
      </c>
      <c r="BB159" s="14" t="s">
        <v>3854</v>
      </c>
      <c r="BC159" s="87" t="s">
        <v>3753</v>
      </c>
      <c r="BD159" s="87" t="s">
        <v>3859</v>
      </c>
      <c r="BE159" s="14"/>
      <c r="BF159" s="21"/>
      <c r="BG159" s="21"/>
      <c r="BH159" s="21" t="s">
        <v>3092</v>
      </c>
      <c r="BI159" s="21"/>
      <c r="BJ159" s="14"/>
      <c r="BK159" s="14" t="s">
        <v>2904</v>
      </c>
      <c r="BL159" s="14">
        <v>3</v>
      </c>
      <c r="BM159" s="14" t="s">
        <v>3153</v>
      </c>
      <c r="BN159" s="14" t="s">
        <v>3898</v>
      </c>
      <c r="BO159" s="87" t="s">
        <v>3758</v>
      </c>
      <c r="BP159" s="87" t="s">
        <v>2761</v>
      </c>
      <c r="BQ159" s="14"/>
      <c r="BR159" s="21"/>
      <c r="BS159" s="233"/>
      <c r="BT159" s="21"/>
      <c r="BU159" s="21"/>
      <c r="BV159" s="14"/>
      <c r="BW159" s="14"/>
      <c r="BX159" s="14"/>
      <c r="BY159" s="14"/>
      <c r="BZ159" s="14"/>
      <c r="CA159" s="14"/>
      <c r="CB159" s="87"/>
      <c r="CC159" s="233"/>
      <c r="CD159" s="233"/>
      <c r="CE159" s="233"/>
      <c r="CF159" s="21" t="s">
        <v>3092</v>
      </c>
      <c r="CG159" s="21"/>
      <c r="CH159" s="14"/>
      <c r="CI159" s="14" t="s">
        <v>2904</v>
      </c>
      <c r="CJ159" s="14">
        <v>3</v>
      </c>
      <c r="CK159" s="14" t="s">
        <v>3153</v>
      </c>
      <c r="CL159" s="14" t="s">
        <v>3898</v>
      </c>
      <c r="CM159" s="87" t="s">
        <v>3758</v>
      </c>
      <c r="CN159" s="87" t="s">
        <v>2761</v>
      </c>
      <c r="CO159" s="233"/>
      <c r="CP159" s="233"/>
      <c r="CQ159" s="233"/>
      <c r="CR159" s="21" t="s">
        <v>3088</v>
      </c>
      <c r="CS159" s="21"/>
      <c r="CT159" s="14"/>
      <c r="CU159" s="14" t="s">
        <v>2908</v>
      </c>
      <c r="CV159" s="14">
        <v>4</v>
      </c>
      <c r="CW159" s="14" t="s">
        <v>3262</v>
      </c>
      <c r="CX159" s="14" t="s">
        <v>3573</v>
      </c>
      <c r="CY159" s="87" t="s">
        <v>3612</v>
      </c>
      <c r="CZ159" s="87" t="s">
        <v>3286</v>
      </c>
      <c r="DA159" s="14"/>
      <c r="DB159" s="21"/>
      <c r="DC159" s="233"/>
      <c r="DD159" s="21" t="s">
        <v>3088</v>
      </c>
      <c r="DE159" s="21"/>
      <c r="DF159" s="14"/>
      <c r="DG159" s="14" t="s">
        <v>2908</v>
      </c>
      <c r="DH159" s="14">
        <v>4</v>
      </c>
      <c r="DI159" s="14" t="s">
        <v>3262</v>
      </c>
      <c r="DJ159" s="14" t="s">
        <v>3573</v>
      </c>
      <c r="DK159" s="87" t="s">
        <v>3612</v>
      </c>
      <c r="DL159" s="87" t="s">
        <v>3286</v>
      </c>
      <c r="DM159" s="14"/>
      <c r="DN159" s="21"/>
      <c r="DO159" s="233"/>
      <c r="DP159" s="21"/>
      <c r="DQ159" s="21"/>
      <c r="DR159" s="14"/>
      <c r="DS159" s="14"/>
      <c r="DT159" s="14"/>
      <c r="DU159" s="14"/>
      <c r="DV159" s="14"/>
      <c r="DW159" s="87"/>
      <c r="DX159" s="87"/>
      <c r="DY159" s="14"/>
      <c r="DZ159" s="233"/>
      <c r="EA159" s="233"/>
      <c r="EB159" s="21" t="s">
        <v>3089</v>
      </c>
      <c r="EC159" s="21"/>
      <c r="ED159" s="14"/>
      <c r="EE159" s="14" t="s">
        <v>3074</v>
      </c>
      <c r="EF159" s="14">
        <v>5</v>
      </c>
      <c r="EG159" s="14" t="s">
        <v>3083</v>
      </c>
      <c r="EH159" s="14" t="s">
        <v>3618</v>
      </c>
      <c r="EI159" s="87" t="s">
        <v>3538</v>
      </c>
      <c r="EJ159" s="87" t="s">
        <v>3687</v>
      </c>
      <c r="EK159" s="14"/>
      <c r="EL159" s="233"/>
      <c r="EM159" s="233"/>
      <c r="EN159" s="21" t="s">
        <v>3088</v>
      </c>
      <c r="EO159" s="21"/>
      <c r="EP159" s="14"/>
      <c r="EQ159" s="14" t="s">
        <v>2908</v>
      </c>
      <c r="ER159" s="14">
        <v>4</v>
      </c>
      <c r="ES159" s="14" t="s">
        <v>3262</v>
      </c>
      <c r="ET159" s="14" t="s">
        <v>3573</v>
      </c>
      <c r="EU159" s="87" t="s">
        <v>3612</v>
      </c>
      <c r="EV159" s="87" t="s">
        <v>3286</v>
      </c>
      <c r="EW159" s="14"/>
      <c r="EX159" s="21"/>
      <c r="EY159" s="233"/>
      <c r="EZ159" s="233"/>
      <c r="FA159" s="233"/>
      <c r="FB159" s="233"/>
      <c r="FC159" s="233"/>
      <c r="FD159" s="233"/>
    </row>
    <row r="160" spans="1:160">
      <c r="A160" s="20" t="s">
        <v>3198</v>
      </c>
      <c r="B160" s="14">
        <v>3</v>
      </c>
      <c r="C160" s="5" t="s">
        <v>3199</v>
      </c>
      <c r="D160" s="14">
        <v>1</v>
      </c>
      <c r="E160" s="110" t="s">
        <v>3526</v>
      </c>
      <c r="F160" s="14" t="s">
        <v>3200</v>
      </c>
      <c r="G160" s="44" t="s">
        <v>3843</v>
      </c>
      <c r="H160" s="44" t="s">
        <v>3201</v>
      </c>
      <c r="I160" s="44" t="s">
        <v>3900</v>
      </c>
      <c r="J160" s="28" t="s">
        <v>4773</v>
      </c>
      <c r="L160" s="21" t="s">
        <v>3253</v>
      </c>
      <c r="M160" s="14"/>
      <c r="N160" s="21"/>
      <c r="O160" s="14" t="s">
        <v>2535</v>
      </c>
      <c r="P160" s="14">
        <v>5</v>
      </c>
      <c r="Q160" s="14" t="s">
        <v>2891</v>
      </c>
      <c r="R160" s="14" t="s">
        <v>3473</v>
      </c>
      <c r="S160" s="44" t="s">
        <v>3884</v>
      </c>
      <c r="T160" s="44" t="s">
        <v>3488</v>
      </c>
      <c r="U160" s="21"/>
      <c r="V160" s="21"/>
      <c r="W160" s="21"/>
      <c r="X160" s="21"/>
      <c r="Y160" s="21"/>
      <c r="Z160" s="21"/>
      <c r="AA160" s="14"/>
      <c r="AB160" s="14"/>
      <c r="AC160" s="14"/>
      <c r="AD160" s="14"/>
      <c r="AE160" s="14"/>
      <c r="AF160" s="87"/>
      <c r="AG160" s="21"/>
      <c r="AH160" s="21"/>
      <c r="AI160" s="21"/>
      <c r="AJ160" s="21" t="s">
        <v>3087</v>
      </c>
      <c r="AK160" s="21"/>
      <c r="AL160" s="14"/>
      <c r="AM160" s="14" t="s">
        <v>3074</v>
      </c>
      <c r="AN160" s="14">
        <v>3</v>
      </c>
      <c r="AO160" s="14" t="s">
        <v>3083</v>
      </c>
      <c r="AP160" s="14" t="s">
        <v>2959</v>
      </c>
      <c r="AQ160" s="87" t="s">
        <v>3378</v>
      </c>
      <c r="AR160" s="87" t="s">
        <v>3687</v>
      </c>
      <c r="AS160" s="21"/>
      <c r="AT160" s="21"/>
      <c r="AU160" s="21"/>
      <c r="AV160" s="21" t="s">
        <v>2762</v>
      </c>
      <c r="AW160" s="21"/>
      <c r="AX160" s="14"/>
      <c r="AY160" s="14" t="s">
        <v>2763</v>
      </c>
      <c r="AZ160" s="14">
        <v>1</v>
      </c>
      <c r="BA160" s="14" t="s">
        <v>2764</v>
      </c>
      <c r="BB160" s="14" t="s">
        <v>4000</v>
      </c>
      <c r="BC160" s="87" t="s">
        <v>3736</v>
      </c>
      <c r="BD160" s="87" t="s">
        <v>5483</v>
      </c>
      <c r="BE160" s="14"/>
      <c r="BF160" s="21"/>
      <c r="BG160" s="21"/>
      <c r="BH160" s="21" t="s">
        <v>2588</v>
      </c>
      <c r="BI160" s="21"/>
      <c r="BJ160" s="14"/>
      <c r="BK160" s="14" t="s">
        <v>2722</v>
      </c>
      <c r="BL160" s="14" t="s">
        <v>3884</v>
      </c>
      <c r="BM160" s="14" t="s">
        <v>2778</v>
      </c>
      <c r="BN160" s="14" t="s">
        <v>3716</v>
      </c>
      <c r="BO160" s="87" t="s">
        <v>3736</v>
      </c>
      <c r="BP160" s="87" t="s">
        <v>3047</v>
      </c>
      <c r="BQ160" s="14"/>
      <c r="BR160" s="21"/>
      <c r="BS160" s="233"/>
      <c r="BT160" s="21"/>
      <c r="BU160" s="21"/>
      <c r="BV160" s="14"/>
      <c r="BW160" s="14"/>
      <c r="BX160" s="14"/>
      <c r="BY160" s="14"/>
      <c r="BZ160" s="14"/>
      <c r="CA160" s="14"/>
      <c r="CB160" s="87"/>
      <c r="CC160" s="233"/>
      <c r="CD160" s="233"/>
      <c r="CE160" s="233"/>
      <c r="CF160" s="21" t="s">
        <v>2588</v>
      </c>
      <c r="CG160" s="21"/>
      <c r="CH160" s="14"/>
      <c r="CI160" s="14" t="s">
        <v>2722</v>
      </c>
      <c r="CJ160" s="14" t="s">
        <v>3884</v>
      </c>
      <c r="CK160" s="14" t="s">
        <v>2778</v>
      </c>
      <c r="CL160" s="14" t="s">
        <v>3716</v>
      </c>
      <c r="CM160" s="87" t="s">
        <v>3736</v>
      </c>
      <c r="CN160" s="87" t="s">
        <v>3047</v>
      </c>
      <c r="CO160" s="233"/>
      <c r="CP160" s="233"/>
      <c r="CQ160" s="233"/>
      <c r="CR160" s="21"/>
      <c r="CS160" s="21"/>
      <c r="CT160" s="21"/>
      <c r="CU160" s="14"/>
      <c r="CV160" s="14"/>
      <c r="CW160" s="14"/>
      <c r="CX160" s="14"/>
      <c r="CY160" s="14"/>
      <c r="CZ160" s="87"/>
      <c r="DA160" s="21"/>
      <c r="DB160" s="21"/>
      <c r="DC160" s="233"/>
      <c r="DD160" s="21"/>
      <c r="DE160" s="21"/>
      <c r="DF160" s="21"/>
      <c r="DG160" s="14"/>
      <c r="DH160" s="14"/>
      <c r="DI160" s="14"/>
      <c r="DJ160" s="14"/>
      <c r="DK160" s="14"/>
      <c r="DL160" s="87"/>
      <c r="DM160" s="21"/>
      <c r="DN160" s="21"/>
      <c r="DO160" s="233"/>
      <c r="DP160" s="21"/>
      <c r="DQ160" s="21"/>
      <c r="DR160" s="21"/>
      <c r="DS160" s="14"/>
      <c r="DT160" s="14"/>
      <c r="DU160" s="14"/>
      <c r="DV160" s="14"/>
      <c r="DW160" s="14"/>
      <c r="DX160" s="87"/>
      <c r="DY160" s="21"/>
      <c r="DZ160" s="233"/>
      <c r="EA160" s="233"/>
      <c r="EB160" s="21" t="s">
        <v>3087</v>
      </c>
      <c r="EC160" s="21"/>
      <c r="ED160" s="14"/>
      <c r="EE160" s="14" t="s">
        <v>3074</v>
      </c>
      <c r="EF160" s="14">
        <v>3</v>
      </c>
      <c r="EG160" s="14" t="s">
        <v>3083</v>
      </c>
      <c r="EH160" s="14" t="s">
        <v>2959</v>
      </c>
      <c r="EI160" s="87" t="s">
        <v>3378</v>
      </c>
      <c r="EJ160" s="87" t="s">
        <v>3687</v>
      </c>
      <c r="EK160" s="21"/>
      <c r="EL160" s="233"/>
      <c r="EM160" s="233"/>
      <c r="EN160" s="21"/>
      <c r="EO160" s="21"/>
      <c r="EP160" s="21"/>
      <c r="EQ160" s="14"/>
      <c r="ER160" s="14"/>
      <c r="ES160" s="14"/>
      <c r="ET160" s="14"/>
      <c r="EU160" s="14"/>
      <c r="EV160" s="87"/>
      <c r="EW160" s="21"/>
      <c r="EX160" s="21"/>
      <c r="EY160" s="233"/>
      <c r="EZ160" s="233"/>
      <c r="FA160" s="233"/>
      <c r="FB160" s="233"/>
      <c r="FC160" s="233"/>
      <c r="FD160" s="233"/>
    </row>
    <row r="161" spans="1:160">
      <c r="A161" s="20" t="s">
        <v>3207</v>
      </c>
      <c r="B161" s="14">
        <v>3</v>
      </c>
      <c r="C161" s="14" t="s">
        <v>3208</v>
      </c>
      <c r="D161" s="14">
        <v>2</v>
      </c>
      <c r="E161" s="110" t="s">
        <v>3858</v>
      </c>
      <c r="F161" s="14" t="s">
        <v>3898</v>
      </c>
      <c r="G161" s="44" t="s">
        <v>3765</v>
      </c>
      <c r="H161" s="44" t="s">
        <v>3728</v>
      </c>
      <c r="I161" s="44" t="s">
        <v>3900</v>
      </c>
      <c r="J161" s="28" t="s">
        <v>4555</v>
      </c>
      <c r="L161" s="21" t="s">
        <v>3085</v>
      </c>
      <c r="M161" s="14"/>
      <c r="N161" s="21"/>
      <c r="O161" s="14" t="s">
        <v>2719</v>
      </c>
      <c r="P161" s="14">
        <v>2</v>
      </c>
      <c r="Q161" s="14" t="s">
        <v>3086</v>
      </c>
      <c r="R161" s="14" t="s">
        <v>3898</v>
      </c>
      <c r="S161" s="44" t="s">
        <v>3843</v>
      </c>
      <c r="T161" s="44" t="s">
        <v>3915</v>
      </c>
      <c r="U161" s="21"/>
      <c r="V161" s="21"/>
      <c r="W161" s="21"/>
      <c r="X161" s="233"/>
      <c r="Y161" s="14"/>
      <c r="Z161" s="233"/>
      <c r="AA161" s="233"/>
      <c r="AB161" s="233"/>
      <c r="AC161" s="233"/>
      <c r="AD161" s="233"/>
      <c r="AE161" s="233"/>
      <c r="AF161" s="87"/>
      <c r="AG161" s="21"/>
      <c r="AH161" s="21"/>
      <c r="AI161" s="21"/>
      <c r="AJ161" s="21"/>
      <c r="AK161" s="21"/>
      <c r="AL161" s="21"/>
      <c r="AM161" s="14"/>
      <c r="AN161" s="14"/>
      <c r="AO161" s="14"/>
      <c r="AP161" s="14"/>
      <c r="AQ161" s="14"/>
      <c r="AR161" s="87"/>
      <c r="AS161" s="21"/>
      <c r="AT161" s="21"/>
      <c r="AU161" s="21"/>
      <c r="AV161" s="21" t="s">
        <v>2589</v>
      </c>
      <c r="AW161" s="21"/>
      <c r="AX161" s="14"/>
      <c r="AY161" s="14" t="s">
        <v>3091</v>
      </c>
      <c r="AZ161" s="14">
        <v>4</v>
      </c>
      <c r="BA161" s="14" t="s">
        <v>3353</v>
      </c>
      <c r="BB161" s="14" t="s">
        <v>4000</v>
      </c>
      <c r="BC161" s="87" t="s">
        <v>3736</v>
      </c>
      <c r="BD161" s="87" t="s">
        <v>2888</v>
      </c>
      <c r="BE161" s="14"/>
      <c r="BF161" s="21"/>
      <c r="BG161" s="21"/>
      <c r="BH161" s="21"/>
      <c r="BI161" s="21"/>
      <c r="BJ161" s="14"/>
      <c r="BK161" s="14"/>
      <c r="BL161" s="14"/>
      <c r="BM161" s="14"/>
      <c r="BN161" s="14"/>
      <c r="BO161" s="14"/>
      <c r="BP161" s="87"/>
      <c r="BQ161" s="14"/>
      <c r="BR161" s="21"/>
      <c r="BS161" s="233"/>
      <c r="BT161" s="21"/>
      <c r="BU161" s="21"/>
      <c r="BV161" s="14"/>
      <c r="BW161" s="14"/>
      <c r="BX161" s="14"/>
      <c r="BY161" s="14"/>
      <c r="BZ161" s="14"/>
      <c r="CA161" s="14"/>
      <c r="CB161" s="87"/>
      <c r="CC161" s="233"/>
      <c r="CD161" s="233"/>
      <c r="CE161" s="233"/>
      <c r="CF161" s="21"/>
      <c r="CG161" s="21"/>
      <c r="CH161" s="14"/>
      <c r="CI161" s="14"/>
      <c r="CJ161" s="14"/>
      <c r="CK161" s="14"/>
      <c r="CL161" s="14"/>
      <c r="CM161" s="14"/>
      <c r="CN161" s="87"/>
      <c r="CO161" s="233"/>
      <c r="CP161" s="233"/>
      <c r="CQ161" s="233"/>
      <c r="CR161" s="233"/>
      <c r="CS161" s="14"/>
      <c r="CT161" s="233"/>
      <c r="CU161" s="233"/>
      <c r="CV161" s="233"/>
      <c r="CW161" s="233"/>
      <c r="CX161" s="233"/>
      <c r="CY161" s="233"/>
      <c r="CZ161" s="87"/>
      <c r="DA161" s="21"/>
      <c r="DB161" s="21"/>
      <c r="DC161" s="233"/>
      <c r="DD161" s="233"/>
      <c r="DE161" s="14"/>
      <c r="DF161" s="233"/>
      <c r="DG161" s="233"/>
      <c r="DH161" s="233"/>
      <c r="DI161" s="233"/>
      <c r="DJ161" s="233"/>
      <c r="DK161" s="233"/>
      <c r="DL161" s="87"/>
      <c r="DM161" s="21"/>
      <c r="DN161" s="21"/>
      <c r="DO161" s="233"/>
      <c r="DP161" s="21"/>
      <c r="DQ161" s="21"/>
      <c r="DR161" s="21"/>
      <c r="DS161" s="14"/>
      <c r="DT161" s="14"/>
      <c r="DU161" s="14"/>
      <c r="DV161" s="14"/>
      <c r="DW161" s="14"/>
      <c r="DX161" s="87"/>
      <c r="DY161" s="21"/>
      <c r="DZ161" s="233"/>
      <c r="EA161" s="233"/>
      <c r="EB161" s="21"/>
      <c r="EC161" s="21"/>
      <c r="ED161" s="21"/>
      <c r="EE161" s="14"/>
      <c r="EF161" s="14"/>
      <c r="EG161" s="14"/>
      <c r="EH161" s="14"/>
      <c r="EI161" s="14"/>
      <c r="EJ161" s="87"/>
      <c r="EK161" s="21"/>
      <c r="EL161" s="233"/>
      <c r="EM161" s="233"/>
      <c r="EN161" s="233"/>
      <c r="EO161" s="14"/>
      <c r="EP161" s="233"/>
      <c r="EQ161" s="233"/>
      <c r="ER161" s="233"/>
      <c r="ES161" s="233"/>
      <c r="ET161" s="233"/>
      <c r="EU161" s="233"/>
      <c r="EV161" s="87"/>
      <c r="EW161" s="21"/>
      <c r="EX161" s="21"/>
      <c r="EY161" s="233"/>
      <c r="EZ161" s="233"/>
      <c r="FA161" s="233"/>
      <c r="FB161" s="233"/>
      <c r="FC161" s="233"/>
      <c r="FD161" s="233"/>
    </row>
    <row r="162" spans="1:160">
      <c r="A162" s="20" t="s">
        <v>3776</v>
      </c>
      <c r="B162" s="14">
        <v>3</v>
      </c>
      <c r="C162" s="14" t="s">
        <v>3320</v>
      </c>
      <c r="D162" s="14">
        <v>2</v>
      </c>
      <c r="E162" s="110" t="s">
        <v>3381</v>
      </c>
      <c r="F162" s="14" t="s">
        <v>3898</v>
      </c>
      <c r="G162" s="44" t="s">
        <v>3612</v>
      </c>
      <c r="H162" s="44" t="s">
        <v>3488</v>
      </c>
      <c r="I162" s="44">
        <v>2</v>
      </c>
      <c r="J162" s="28" t="s">
        <v>4369</v>
      </c>
      <c r="L162" s="21" t="s">
        <v>3092</v>
      </c>
      <c r="M162" s="14"/>
      <c r="N162" s="21"/>
      <c r="O162" s="14" t="s">
        <v>2904</v>
      </c>
      <c r="P162" s="14">
        <v>3</v>
      </c>
      <c r="Q162" s="110" t="s">
        <v>3153</v>
      </c>
      <c r="R162" s="14" t="s">
        <v>3898</v>
      </c>
      <c r="S162" s="44" t="s">
        <v>3758</v>
      </c>
      <c r="T162" s="44" t="s">
        <v>2761</v>
      </c>
      <c r="U162" s="21"/>
      <c r="V162" s="21"/>
      <c r="W162" s="21"/>
      <c r="X162" s="21"/>
      <c r="Y162" s="21"/>
      <c r="Z162" s="21"/>
      <c r="AA162" s="14"/>
      <c r="AB162" s="14"/>
      <c r="AC162" s="14"/>
      <c r="AD162" s="14"/>
      <c r="AE162" s="14"/>
      <c r="AF162" s="87"/>
      <c r="AG162" s="21"/>
      <c r="AH162" s="21"/>
      <c r="AI162" s="21"/>
      <c r="AJ162" s="21"/>
      <c r="AK162" s="21"/>
      <c r="AL162" s="21"/>
      <c r="AM162" s="14"/>
      <c r="AN162" s="14"/>
      <c r="AO162" s="14"/>
      <c r="AP162" s="14"/>
      <c r="AQ162" s="14"/>
      <c r="AR162" s="87"/>
      <c r="AS162" s="21"/>
      <c r="AT162" s="21"/>
      <c r="AU162" s="21"/>
      <c r="AV162" s="21" t="s">
        <v>2590</v>
      </c>
      <c r="AW162" s="21"/>
      <c r="AX162" s="14"/>
      <c r="AY162" s="14" t="s">
        <v>2763</v>
      </c>
      <c r="AZ162" s="14">
        <v>4</v>
      </c>
      <c r="BA162" s="14" t="s">
        <v>3345</v>
      </c>
      <c r="BB162" s="14" t="s">
        <v>3898</v>
      </c>
      <c r="BC162" s="87" t="s">
        <v>3420</v>
      </c>
      <c r="BD162" s="87" t="s">
        <v>5483</v>
      </c>
      <c r="BE162" s="21"/>
      <c r="BF162" s="21"/>
      <c r="BG162" s="21"/>
      <c r="BH162" s="21"/>
      <c r="BI162" s="21"/>
      <c r="BJ162" s="21"/>
      <c r="BK162" s="14"/>
      <c r="BL162" s="14"/>
      <c r="BM162" s="14"/>
      <c r="BN162" s="14"/>
      <c r="BO162" s="14"/>
      <c r="BP162" s="87"/>
      <c r="BQ162" s="21"/>
      <c r="BR162" s="21"/>
      <c r="BS162" s="233"/>
      <c r="BT162" s="21"/>
      <c r="BU162" s="21"/>
      <c r="BV162" s="21"/>
      <c r="BW162" s="14"/>
      <c r="BX162" s="14"/>
      <c r="BY162" s="14"/>
      <c r="BZ162" s="14"/>
      <c r="CA162" s="14"/>
      <c r="CB162" s="87"/>
      <c r="CC162" s="233"/>
      <c r="CD162" s="233"/>
      <c r="CE162" s="233"/>
      <c r="CF162" s="21"/>
      <c r="CG162" s="21"/>
      <c r="CH162" s="21"/>
      <c r="CI162" s="14"/>
      <c r="CJ162" s="14"/>
      <c r="CK162" s="14"/>
      <c r="CL162" s="14"/>
      <c r="CM162" s="14"/>
      <c r="CN162" s="87"/>
      <c r="CO162" s="233"/>
      <c r="CP162" s="233"/>
      <c r="CQ162" s="233"/>
      <c r="CR162" s="21"/>
      <c r="CS162" s="21"/>
      <c r="CT162" s="21"/>
      <c r="CU162" s="14"/>
      <c r="CV162" s="14"/>
      <c r="CW162" s="14"/>
      <c r="CX162" s="14"/>
      <c r="CY162" s="14"/>
      <c r="CZ162" s="87"/>
      <c r="DA162" s="21"/>
      <c r="DB162" s="21"/>
      <c r="DC162" s="233"/>
      <c r="DD162" s="21"/>
      <c r="DE162" s="21"/>
      <c r="DF162" s="21"/>
      <c r="DG162" s="14"/>
      <c r="DH162" s="14"/>
      <c r="DI162" s="14"/>
      <c r="DJ162" s="14"/>
      <c r="DK162" s="14"/>
      <c r="DL162" s="87"/>
      <c r="DM162" s="21"/>
      <c r="DN162" s="21"/>
      <c r="DO162" s="233"/>
      <c r="DP162" s="21"/>
      <c r="DQ162" s="21"/>
      <c r="DR162" s="21"/>
      <c r="DS162" s="14"/>
      <c r="DT162" s="14"/>
      <c r="DU162" s="14"/>
      <c r="DV162" s="14"/>
      <c r="DW162" s="14"/>
      <c r="DX162" s="87"/>
      <c r="DY162" s="21"/>
      <c r="DZ162" s="233"/>
      <c r="EA162" s="233"/>
      <c r="EB162" s="21"/>
      <c r="EC162" s="21"/>
      <c r="ED162" s="21"/>
      <c r="EE162" s="14"/>
      <c r="EF162" s="14"/>
      <c r="EG162" s="14"/>
      <c r="EH162" s="14"/>
      <c r="EI162" s="14"/>
      <c r="EJ162" s="87"/>
      <c r="EK162" s="21"/>
      <c r="EL162" s="233"/>
      <c r="EM162" s="233"/>
      <c r="EN162" s="21"/>
      <c r="EO162" s="21"/>
      <c r="EP162" s="21"/>
      <c r="EQ162" s="14"/>
      <c r="ER162" s="14"/>
      <c r="ES162" s="14"/>
      <c r="ET162" s="14"/>
      <c r="EU162" s="14"/>
      <c r="EV162" s="87"/>
      <c r="EW162" s="21"/>
      <c r="EX162" s="21"/>
      <c r="EY162" s="233"/>
      <c r="EZ162" s="233"/>
      <c r="FA162" s="233"/>
      <c r="FB162" s="233"/>
      <c r="FC162" s="233"/>
      <c r="FD162" s="233"/>
    </row>
    <row r="163" spans="1:160">
      <c r="A163" s="20" t="s">
        <v>3369</v>
      </c>
      <c r="B163" s="14">
        <v>3</v>
      </c>
      <c r="C163" s="14" t="s">
        <v>3940</v>
      </c>
      <c r="D163" s="14">
        <v>1</v>
      </c>
      <c r="E163" s="110" t="s">
        <v>3749</v>
      </c>
      <c r="F163" s="14" t="s">
        <v>3931</v>
      </c>
      <c r="G163" s="44" t="s">
        <v>3901</v>
      </c>
      <c r="H163" s="44" t="s">
        <v>5483</v>
      </c>
      <c r="I163" s="44">
        <v>6</v>
      </c>
      <c r="J163" s="28" t="s">
        <v>5232</v>
      </c>
      <c r="L163" s="21" t="s">
        <v>2589</v>
      </c>
      <c r="M163" s="14"/>
      <c r="N163" s="21"/>
      <c r="O163" s="14" t="s">
        <v>3091</v>
      </c>
      <c r="P163" s="14">
        <v>4</v>
      </c>
      <c r="Q163" s="14" t="s">
        <v>3353</v>
      </c>
      <c r="R163" s="14" t="s">
        <v>4000</v>
      </c>
      <c r="S163" s="44" t="s">
        <v>3736</v>
      </c>
      <c r="T163" s="44" t="s">
        <v>2888</v>
      </c>
      <c r="U163" s="21"/>
      <c r="V163" s="21"/>
      <c r="W163" s="21"/>
      <c r="X163" s="21"/>
      <c r="Y163" s="21"/>
      <c r="Z163" s="21"/>
      <c r="AA163" s="14"/>
      <c r="AB163" s="14"/>
      <c r="AC163" s="14"/>
      <c r="AD163" s="14"/>
      <c r="AE163" s="14"/>
      <c r="AF163" s="87"/>
      <c r="AG163" s="21"/>
      <c r="AH163" s="21"/>
      <c r="AI163" s="21"/>
      <c r="AJ163" s="21"/>
      <c r="AK163" s="21"/>
      <c r="AL163" s="21"/>
      <c r="AM163" s="14"/>
      <c r="AN163" s="14"/>
      <c r="AO163" s="14"/>
      <c r="AP163" s="14"/>
      <c r="AQ163" s="14"/>
      <c r="AR163" s="87"/>
      <c r="AS163" s="21"/>
      <c r="AT163" s="21"/>
      <c r="AU163" s="21"/>
      <c r="AV163" s="21"/>
      <c r="AW163" s="21"/>
      <c r="AX163" s="21"/>
      <c r="AY163" s="14"/>
      <c r="AZ163" s="14"/>
      <c r="BA163" s="14"/>
      <c r="BB163" s="14"/>
      <c r="BC163" s="14"/>
      <c r="BD163" s="87"/>
      <c r="BE163" s="21"/>
      <c r="BF163" s="21"/>
      <c r="BG163" s="21"/>
      <c r="BH163" s="21"/>
      <c r="BI163" s="21"/>
      <c r="BJ163" s="21"/>
      <c r="BK163" s="14"/>
      <c r="BL163" s="14"/>
      <c r="BM163" s="14"/>
      <c r="BN163" s="14"/>
      <c r="BO163" s="14"/>
      <c r="BP163" s="87"/>
      <c r="BQ163" s="21"/>
      <c r="BR163" s="21"/>
      <c r="BS163" s="233"/>
      <c r="BT163" s="21"/>
      <c r="BU163" s="21"/>
      <c r="BV163" s="21"/>
      <c r="BW163" s="14"/>
      <c r="BX163" s="14"/>
      <c r="BY163" s="14"/>
      <c r="BZ163" s="14"/>
      <c r="CA163" s="14"/>
      <c r="CB163" s="87"/>
      <c r="CC163" s="233"/>
      <c r="CD163" s="233"/>
      <c r="CE163" s="233"/>
      <c r="CF163" s="21"/>
      <c r="CG163" s="21"/>
      <c r="CH163" s="21"/>
      <c r="CI163" s="14"/>
      <c r="CJ163" s="14"/>
      <c r="CK163" s="14"/>
      <c r="CL163" s="14"/>
      <c r="CM163" s="14"/>
      <c r="CN163" s="87"/>
      <c r="CO163" s="233"/>
      <c r="CP163" s="233"/>
      <c r="CQ163" s="233"/>
      <c r="CR163" s="21"/>
      <c r="CS163" s="21"/>
      <c r="CT163" s="21"/>
      <c r="CU163" s="14"/>
      <c r="CV163" s="14"/>
      <c r="CW163" s="14"/>
      <c r="CX163" s="14"/>
      <c r="CY163" s="14"/>
      <c r="CZ163" s="87"/>
      <c r="DA163" s="21"/>
      <c r="DB163" s="21"/>
      <c r="DC163" s="233"/>
      <c r="DD163" s="21"/>
      <c r="DE163" s="21"/>
      <c r="DF163" s="21"/>
      <c r="DG163" s="14"/>
      <c r="DH163" s="14"/>
      <c r="DI163" s="14"/>
      <c r="DJ163" s="14"/>
      <c r="DK163" s="14"/>
      <c r="DL163" s="87"/>
      <c r="DM163" s="21"/>
      <c r="DN163" s="21"/>
      <c r="DO163" s="233"/>
      <c r="DP163" s="21"/>
      <c r="DQ163" s="21"/>
      <c r="DR163" s="21"/>
      <c r="DS163" s="14"/>
      <c r="DT163" s="14"/>
      <c r="DU163" s="14"/>
      <c r="DV163" s="14"/>
      <c r="DW163" s="14"/>
      <c r="DX163" s="87"/>
      <c r="DY163" s="21"/>
      <c r="DZ163" s="233"/>
      <c r="EA163" s="233"/>
      <c r="EB163" s="21"/>
      <c r="EC163" s="21"/>
      <c r="ED163" s="21"/>
      <c r="EE163" s="14"/>
      <c r="EF163" s="14"/>
      <c r="EG163" s="14"/>
      <c r="EH163" s="14"/>
      <c r="EI163" s="14"/>
      <c r="EJ163" s="87"/>
      <c r="EK163" s="21"/>
      <c r="EL163" s="233"/>
      <c r="EM163" s="233"/>
      <c r="EN163" s="21"/>
      <c r="EO163" s="21"/>
      <c r="EP163" s="21"/>
      <c r="EQ163" s="14"/>
      <c r="ER163" s="14"/>
      <c r="ES163" s="14"/>
      <c r="ET163" s="14"/>
      <c r="EU163" s="14"/>
      <c r="EV163" s="87"/>
      <c r="EW163" s="21"/>
      <c r="EX163" s="21"/>
      <c r="EY163" s="233"/>
      <c r="EZ163" s="233"/>
      <c r="FA163" s="233"/>
      <c r="FB163" s="233"/>
      <c r="FC163" s="233"/>
      <c r="FD163" s="233"/>
    </row>
    <row r="164" spans="1:160">
      <c r="A164" s="20" t="s">
        <v>3394</v>
      </c>
      <c r="B164" s="14">
        <v>3</v>
      </c>
      <c r="C164" s="14" t="s">
        <v>3785</v>
      </c>
      <c r="D164" s="14">
        <v>2</v>
      </c>
      <c r="E164" s="110" t="s">
        <v>3211</v>
      </c>
      <c r="F164" s="14" t="s">
        <v>3716</v>
      </c>
      <c r="G164" s="44" t="s">
        <v>3395</v>
      </c>
      <c r="H164" s="44" t="s">
        <v>3746</v>
      </c>
      <c r="I164" s="44" t="s">
        <v>3657</v>
      </c>
      <c r="J164" s="28" t="s">
        <v>4037</v>
      </c>
      <c r="L164" s="26" t="s">
        <v>5214</v>
      </c>
      <c r="M164" s="21"/>
      <c r="N164" s="108" t="s">
        <v>5018</v>
      </c>
      <c r="O164" s="108" t="s">
        <v>5701</v>
      </c>
      <c r="P164" s="108" t="s">
        <v>5019</v>
      </c>
      <c r="Q164" s="108" t="s">
        <v>5020</v>
      </c>
      <c r="R164" s="108" t="s">
        <v>5021</v>
      </c>
      <c r="S164" s="108" t="s">
        <v>5022</v>
      </c>
      <c r="T164" s="282" t="s">
        <v>5316</v>
      </c>
      <c r="U164" s="26"/>
      <c r="V164" s="21"/>
      <c r="W164" s="21"/>
      <c r="X164" s="26" t="s">
        <v>5214</v>
      </c>
      <c r="Y164" s="21"/>
      <c r="Z164" s="108" t="s">
        <v>5018</v>
      </c>
      <c r="AA164" s="108" t="s">
        <v>5701</v>
      </c>
      <c r="AB164" s="108" t="s">
        <v>5019</v>
      </c>
      <c r="AC164" s="108" t="s">
        <v>5020</v>
      </c>
      <c r="AD164" s="108" t="s">
        <v>5021</v>
      </c>
      <c r="AE164" s="108" t="s">
        <v>5022</v>
      </c>
      <c r="AF164" s="282" t="s">
        <v>5316</v>
      </c>
      <c r="AG164" s="26"/>
      <c r="AH164" s="21"/>
      <c r="AI164" s="21"/>
      <c r="AJ164" s="26" t="s">
        <v>5214</v>
      </c>
      <c r="AK164" s="21"/>
      <c r="AL164" s="108" t="s">
        <v>5018</v>
      </c>
      <c r="AM164" s="108" t="s">
        <v>5701</v>
      </c>
      <c r="AN164" s="108" t="s">
        <v>5019</v>
      </c>
      <c r="AO164" s="108" t="s">
        <v>5020</v>
      </c>
      <c r="AP164" s="108" t="s">
        <v>5021</v>
      </c>
      <c r="AQ164" s="108" t="s">
        <v>5022</v>
      </c>
      <c r="AR164" s="282" t="s">
        <v>5316</v>
      </c>
      <c r="AS164" s="26"/>
      <c r="AT164" s="21"/>
      <c r="AU164" s="21"/>
      <c r="AV164" s="26" t="s">
        <v>5214</v>
      </c>
      <c r="AW164" s="21"/>
      <c r="AX164" s="108" t="s">
        <v>5018</v>
      </c>
      <c r="AY164" s="108" t="s">
        <v>5701</v>
      </c>
      <c r="AZ164" s="108" t="s">
        <v>5019</v>
      </c>
      <c r="BA164" s="108" t="s">
        <v>5020</v>
      </c>
      <c r="BB164" s="108" t="s">
        <v>5021</v>
      </c>
      <c r="BC164" s="108" t="s">
        <v>5022</v>
      </c>
      <c r="BD164" s="282" t="s">
        <v>5316</v>
      </c>
      <c r="BE164" s="26"/>
      <c r="BF164" s="21"/>
      <c r="BG164" s="21"/>
      <c r="BH164" s="26" t="s">
        <v>5214</v>
      </c>
      <c r="BI164" s="21"/>
      <c r="BJ164" s="108" t="s">
        <v>5018</v>
      </c>
      <c r="BK164" s="108" t="s">
        <v>5701</v>
      </c>
      <c r="BL164" s="108" t="s">
        <v>5019</v>
      </c>
      <c r="BM164" s="108" t="s">
        <v>5020</v>
      </c>
      <c r="BN164" s="108" t="s">
        <v>5021</v>
      </c>
      <c r="BO164" s="108" t="s">
        <v>5022</v>
      </c>
      <c r="BP164" s="282" t="s">
        <v>5316</v>
      </c>
      <c r="BQ164" s="26"/>
      <c r="BR164" s="21"/>
      <c r="BS164" s="233"/>
      <c r="BT164" s="26" t="s">
        <v>5214</v>
      </c>
      <c r="BU164" s="21"/>
      <c r="BV164" s="108" t="s">
        <v>5018</v>
      </c>
      <c r="BW164" s="108" t="s">
        <v>5701</v>
      </c>
      <c r="BX164" s="108" t="s">
        <v>5019</v>
      </c>
      <c r="BY164" s="108" t="s">
        <v>5020</v>
      </c>
      <c r="BZ164" s="108" t="s">
        <v>5021</v>
      </c>
      <c r="CA164" s="108" t="s">
        <v>5022</v>
      </c>
      <c r="CB164" s="282" t="s">
        <v>5316</v>
      </c>
      <c r="CC164" s="233"/>
      <c r="CD164" s="233"/>
      <c r="CE164" s="233"/>
      <c r="CF164" s="26" t="s">
        <v>5214</v>
      </c>
      <c r="CG164" s="21"/>
      <c r="CH164" s="108" t="s">
        <v>5018</v>
      </c>
      <c r="CI164" s="108" t="s">
        <v>5701</v>
      </c>
      <c r="CJ164" s="108" t="s">
        <v>5019</v>
      </c>
      <c r="CK164" s="108" t="s">
        <v>5020</v>
      </c>
      <c r="CL164" s="108" t="s">
        <v>5021</v>
      </c>
      <c r="CM164" s="108" t="s">
        <v>5022</v>
      </c>
      <c r="CN164" s="282" t="s">
        <v>5316</v>
      </c>
      <c r="CO164" s="233"/>
      <c r="CP164" s="233"/>
      <c r="CQ164" s="233"/>
      <c r="CR164" s="26" t="s">
        <v>5214</v>
      </c>
      <c r="CS164" s="21"/>
      <c r="CT164" s="108" t="s">
        <v>5018</v>
      </c>
      <c r="CU164" s="108" t="s">
        <v>5701</v>
      </c>
      <c r="CV164" s="108" t="s">
        <v>5019</v>
      </c>
      <c r="CW164" s="108" t="s">
        <v>5020</v>
      </c>
      <c r="CX164" s="108" t="s">
        <v>5021</v>
      </c>
      <c r="CY164" s="108" t="s">
        <v>5022</v>
      </c>
      <c r="CZ164" s="282" t="s">
        <v>5316</v>
      </c>
      <c r="DA164" s="26"/>
      <c r="DB164" s="21"/>
      <c r="DC164" s="233"/>
      <c r="DD164" s="26" t="s">
        <v>5214</v>
      </c>
      <c r="DE164" s="21"/>
      <c r="DF164" s="108" t="s">
        <v>5018</v>
      </c>
      <c r="DG164" s="108" t="s">
        <v>5701</v>
      </c>
      <c r="DH164" s="108" t="s">
        <v>5019</v>
      </c>
      <c r="DI164" s="108" t="s">
        <v>5020</v>
      </c>
      <c r="DJ164" s="108" t="s">
        <v>5021</v>
      </c>
      <c r="DK164" s="108" t="s">
        <v>5022</v>
      </c>
      <c r="DL164" s="282" t="s">
        <v>5316</v>
      </c>
      <c r="DM164" s="26"/>
      <c r="DN164" s="21"/>
      <c r="DO164" s="233"/>
      <c r="DP164" s="26" t="s">
        <v>5214</v>
      </c>
      <c r="DQ164" s="21"/>
      <c r="DR164" s="108" t="s">
        <v>5018</v>
      </c>
      <c r="DS164" s="108" t="s">
        <v>5701</v>
      </c>
      <c r="DT164" s="108" t="s">
        <v>5019</v>
      </c>
      <c r="DU164" s="108" t="s">
        <v>5020</v>
      </c>
      <c r="DV164" s="108" t="s">
        <v>5021</v>
      </c>
      <c r="DW164" s="108" t="s">
        <v>5022</v>
      </c>
      <c r="DX164" s="282" t="s">
        <v>5316</v>
      </c>
      <c r="DY164" s="26"/>
      <c r="DZ164" s="233"/>
      <c r="EA164" s="233"/>
      <c r="EB164" s="26" t="s">
        <v>5214</v>
      </c>
      <c r="EC164" s="21"/>
      <c r="ED164" s="108" t="s">
        <v>5018</v>
      </c>
      <c r="EE164" s="108" t="s">
        <v>5701</v>
      </c>
      <c r="EF164" s="108" t="s">
        <v>5019</v>
      </c>
      <c r="EG164" s="108" t="s">
        <v>5020</v>
      </c>
      <c r="EH164" s="108" t="s">
        <v>5021</v>
      </c>
      <c r="EI164" s="108" t="s">
        <v>5022</v>
      </c>
      <c r="EJ164" s="282" t="s">
        <v>5316</v>
      </c>
      <c r="EK164" s="26"/>
      <c r="EL164" s="233"/>
      <c r="EM164" s="233"/>
      <c r="EN164" s="26" t="s">
        <v>5214</v>
      </c>
      <c r="EO164" s="21"/>
      <c r="EP164" s="108" t="s">
        <v>5018</v>
      </c>
      <c r="EQ164" s="108" t="s">
        <v>5701</v>
      </c>
      <c r="ER164" s="108" t="s">
        <v>5019</v>
      </c>
      <c r="ES164" s="108" t="s">
        <v>5020</v>
      </c>
      <c r="ET164" s="108" t="s">
        <v>5021</v>
      </c>
      <c r="EU164" s="108" t="s">
        <v>5022</v>
      </c>
      <c r="EV164" s="282" t="s">
        <v>5316</v>
      </c>
      <c r="EW164" s="26"/>
      <c r="EX164" s="21"/>
      <c r="EY164" s="233"/>
      <c r="EZ164" s="233"/>
      <c r="FA164" s="233"/>
      <c r="FB164" s="233"/>
      <c r="FC164" s="233"/>
      <c r="FD164" s="233"/>
    </row>
    <row r="165" spans="1:160">
      <c r="A165" s="20" t="s">
        <v>399</v>
      </c>
      <c r="B165" s="14">
        <v>3</v>
      </c>
      <c r="C165" s="14" t="s">
        <v>5882</v>
      </c>
      <c r="D165" s="14">
        <v>1</v>
      </c>
      <c r="E165" s="110" t="s">
        <v>3858</v>
      </c>
      <c r="F165" s="14" t="s">
        <v>3931</v>
      </c>
      <c r="G165" s="44" t="s">
        <v>3843</v>
      </c>
      <c r="H165" s="44" t="s">
        <v>377</v>
      </c>
      <c r="I165" s="44" t="s">
        <v>3900</v>
      </c>
      <c r="J165" s="28" t="s">
        <v>4369</v>
      </c>
      <c r="L165" s="21" t="s">
        <v>2594</v>
      </c>
      <c r="M165" s="14"/>
      <c r="N165" s="21"/>
      <c r="O165" s="14" t="s">
        <v>2763</v>
      </c>
      <c r="P165" s="14">
        <v>3</v>
      </c>
      <c r="Q165" s="14" t="s">
        <v>2774</v>
      </c>
      <c r="R165" s="14" t="s">
        <v>4000</v>
      </c>
      <c r="S165" s="44" t="s">
        <v>3736</v>
      </c>
      <c r="T165" s="44" t="s">
        <v>3286</v>
      </c>
      <c r="U165" s="14"/>
      <c r="V165" s="21"/>
      <c r="W165" s="21"/>
      <c r="X165" s="21" t="s">
        <v>2595</v>
      </c>
      <c r="Y165" s="21"/>
      <c r="Z165" s="14"/>
      <c r="AA165" s="14" t="s">
        <v>2596</v>
      </c>
      <c r="AB165" s="14" t="s">
        <v>3884</v>
      </c>
      <c r="AC165" s="14" t="s">
        <v>2597</v>
      </c>
      <c r="AD165" s="14" t="s">
        <v>3898</v>
      </c>
      <c r="AE165" s="87" t="s">
        <v>2598</v>
      </c>
      <c r="AF165" s="87" t="s">
        <v>3047</v>
      </c>
      <c r="AG165" s="14"/>
      <c r="AH165" s="21"/>
      <c r="AI165" s="21"/>
      <c r="AJ165" s="21" t="s">
        <v>2599</v>
      </c>
      <c r="AK165" s="21"/>
      <c r="AL165" s="14"/>
      <c r="AM165" s="14" t="s">
        <v>3074</v>
      </c>
      <c r="AN165" s="14">
        <v>5</v>
      </c>
      <c r="AO165" s="14" t="s">
        <v>2600</v>
      </c>
      <c r="AP165" s="14" t="s">
        <v>3914</v>
      </c>
      <c r="AQ165" s="87" t="s">
        <v>3550</v>
      </c>
      <c r="AR165" s="87" t="s">
        <v>2601</v>
      </c>
      <c r="AS165" s="14"/>
      <c r="AT165" s="21"/>
      <c r="AU165" s="21"/>
      <c r="AV165" s="21" t="s">
        <v>2602</v>
      </c>
      <c r="AW165" s="21"/>
      <c r="AX165" s="14"/>
      <c r="AY165" s="14" t="s">
        <v>3564</v>
      </c>
      <c r="AZ165" s="14">
        <v>3</v>
      </c>
      <c r="BA165" s="14" t="s">
        <v>3667</v>
      </c>
      <c r="BB165" s="14" t="s">
        <v>3898</v>
      </c>
      <c r="BC165" s="87" t="s">
        <v>2699</v>
      </c>
      <c r="BD165" s="87" t="s">
        <v>2455</v>
      </c>
      <c r="BE165" s="14"/>
      <c r="BF165" s="21"/>
      <c r="BG165" s="21"/>
      <c r="BH165" s="21" t="s">
        <v>2456</v>
      </c>
      <c r="BI165" s="21"/>
      <c r="BJ165" s="14"/>
      <c r="BK165" s="14" t="s">
        <v>2904</v>
      </c>
      <c r="BL165" s="14">
        <v>3</v>
      </c>
      <c r="BM165" s="14" t="s">
        <v>2980</v>
      </c>
      <c r="BN165" s="14" t="s">
        <v>3898</v>
      </c>
      <c r="BO165" s="87" t="s">
        <v>2899</v>
      </c>
      <c r="BP165" s="87" t="s">
        <v>3286</v>
      </c>
      <c r="BQ165" s="14"/>
      <c r="BR165" s="21"/>
      <c r="BS165" s="233"/>
      <c r="BT165" s="21" t="s">
        <v>2457</v>
      </c>
      <c r="BU165" s="21"/>
      <c r="BV165" s="14"/>
      <c r="BW165" s="14" t="s">
        <v>2596</v>
      </c>
      <c r="BX165" s="14">
        <v>3</v>
      </c>
      <c r="BY165" s="14" t="s">
        <v>2458</v>
      </c>
      <c r="BZ165" s="14" t="s">
        <v>3735</v>
      </c>
      <c r="CA165" s="87" t="s">
        <v>3612</v>
      </c>
      <c r="CB165" s="87" t="s">
        <v>3286</v>
      </c>
      <c r="CC165" s="233"/>
      <c r="CD165" s="233"/>
      <c r="CE165" s="233"/>
      <c r="CF165" s="21" t="s">
        <v>2456</v>
      </c>
      <c r="CG165" s="21"/>
      <c r="CH165" s="14"/>
      <c r="CI165" s="14" t="s">
        <v>2904</v>
      </c>
      <c r="CJ165" s="14">
        <v>3</v>
      </c>
      <c r="CK165" s="14" t="s">
        <v>2980</v>
      </c>
      <c r="CL165" s="14" t="s">
        <v>3898</v>
      </c>
      <c r="CM165" s="87" t="s">
        <v>2899</v>
      </c>
      <c r="CN165" s="87" t="s">
        <v>3286</v>
      </c>
      <c r="CO165" s="233"/>
      <c r="CP165" s="233"/>
      <c r="CQ165" s="233"/>
      <c r="CR165" s="21" t="s">
        <v>2595</v>
      </c>
      <c r="CS165" s="21"/>
      <c r="CT165" s="14"/>
      <c r="CU165" s="14" t="s">
        <v>2596</v>
      </c>
      <c r="CV165" s="14" t="s">
        <v>3884</v>
      </c>
      <c r="CW165" s="14" t="s">
        <v>2597</v>
      </c>
      <c r="CX165" s="14" t="s">
        <v>3898</v>
      </c>
      <c r="CY165" s="87" t="s">
        <v>2598</v>
      </c>
      <c r="CZ165" s="87" t="s">
        <v>3047</v>
      </c>
      <c r="DA165" s="14"/>
      <c r="DB165" s="21"/>
      <c r="DC165" s="233"/>
      <c r="DD165" s="21" t="s">
        <v>2595</v>
      </c>
      <c r="DE165" s="21"/>
      <c r="DF165" s="14"/>
      <c r="DG165" s="14" t="s">
        <v>2596</v>
      </c>
      <c r="DH165" s="14" t="s">
        <v>3884</v>
      </c>
      <c r="DI165" s="14" t="s">
        <v>2597</v>
      </c>
      <c r="DJ165" s="14" t="s">
        <v>3898</v>
      </c>
      <c r="DK165" s="87" t="s">
        <v>2598</v>
      </c>
      <c r="DL165" s="87" t="s">
        <v>3047</v>
      </c>
      <c r="DM165" s="14"/>
      <c r="DN165" s="21"/>
      <c r="DO165" s="233"/>
      <c r="DP165" s="21" t="s">
        <v>2594</v>
      </c>
      <c r="DQ165" s="21"/>
      <c r="DR165" s="14"/>
      <c r="DS165" s="14" t="s">
        <v>2763</v>
      </c>
      <c r="DT165" s="14">
        <v>3</v>
      </c>
      <c r="DU165" s="14" t="s">
        <v>2774</v>
      </c>
      <c r="DV165" s="14" t="s">
        <v>4000</v>
      </c>
      <c r="DW165" s="87" t="s">
        <v>3736</v>
      </c>
      <c r="DX165" s="87" t="s">
        <v>3286</v>
      </c>
      <c r="DY165" s="14"/>
      <c r="DZ165" s="233"/>
      <c r="EA165" s="233"/>
      <c r="EB165" s="21" t="s">
        <v>2599</v>
      </c>
      <c r="EC165" s="21"/>
      <c r="ED165" s="14"/>
      <c r="EE165" s="14" t="s">
        <v>3074</v>
      </c>
      <c r="EF165" s="14">
        <v>5</v>
      </c>
      <c r="EG165" s="14" t="s">
        <v>2600</v>
      </c>
      <c r="EH165" s="14" t="s">
        <v>3914</v>
      </c>
      <c r="EI165" s="87" t="s">
        <v>3550</v>
      </c>
      <c r="EJ165" s="87" t="s">
        <v>2601</v>
      </c>
      <c r="EK165" s="14"/>
      <c r="EL165" s="233"/>
      <c r="EM165" s="233"/>
      <c r="EN165" s="21" t="s">
        <v>2595</v>
      </c>
      <c r="EO165" s="21"/>
      <c r="EP165" s="14"/>
      <c r="EQ165" s="14" t="s">
        <v>2596</v>
      </c>
      <c r="ER165" s="14" t="s">
        <v>3884</v>
      </c>
      <c r="ES165" s="14" t="s">
        <v>2597</v>
      </c>
      <c r="ET165" s="14" t="s">
        <v>3898</v>
      </c>
      <c r="EU165" s="87" t="s">
        <v>2598</v>
      </c>
      <c r="EV165" s="87" t="s">
        <v>3047</v>
      </c>
      <c r="EW165" s="14"/>
      <c r="EX165" s="21"/>
      <c r="EY165" s="233"/>
      <c r="EZ165" s="233"/>
      <c r="FA165" s="233"/>
      <c r="FB165" s="233"/>
      <c r="FC165" s="233"/>
      <c r="FD165" s="233"/>
    </row>
    <row r="166" spans="1:160">
      <c r="A166" s="20" t="s">
        <v>3203</v>
      </c>
      <c r="B166" s="14">
        <v>3</v>
      </c>
      <c r="C166" s="14" t="s">
        <v>3940</v>
      </c>
      <c r="D166" s="14">
        <v>0</v>
      </c>
      <c r="E166" s="14" t="s">
        <v>3553</v>
      </c>
      <c r="F166" s="14" t="s">
        <v>3947</v>
      </c>
      <c r="G166" s="44" t="s">
        <v>3843</v>
      </c>
      <c r="H166" s="44" t="s">
        <v>3488</v>
      </c>
      <c r="I166" s="44">
        <v>4</v>
      </c>
      <c r="J166" s="28" t="s">
        <v>5232</v>
      </c>
      <c r="L166" s="21" t="s">
        <v>2456</v>
      </c>
      <c r="M166" s="14"/>
      <c r="N166" s="21"/>
      <c r="O166" s="14" t="s">
        <v>2904</v>
      </c>
      <c r="P166" s="14">
        <v>3</v>
      </c>
      <c r="Q166" s="14" t="s">
        <v>2980</v>
      </c>
      <c r="R166" s="14" t="s">
        <v>3898</v>
      </c>
      <c r="S166" s="44" t="s">
        <v>2899</v>
      </c>
      <c r="T166" s="44" t="s">
        <v>3286</v>
      </c>
      <c r="U166" s="14"/>
      <c r="V166" s="21"/>
      <c r="W166" s="21"/>
      <c r="X166" s="21" t="s">
        <v>2459</v>
      </c>
      <c r="Y166" s="21"/>
      <c r="Z166" s="14"/>
      <c r="AA166" s="14" t="s">
        <v>5535</v>
      </c>
      <c r="AB166" s="14" t="s">
        <v>3068</v>
      </c>
      <c r="AC166" s="14" t="s">
        <v>2460</v>
      </c>
      <c r="AD166" s="14" t="s">
        <v>3898</v>
      </c>
      <c r="AE166" s="87" t="s">
        <v>3432</v>
      </c>
      <c r="AF166" s="87" t="s">
        <v>2461</v>
      </c>
      <c r="AG166" s="14"/>
      <c r="AH166" s="21"/>
      <c r="AI166" s="21"/>
      <c r="AJ166" s="21" t="s">
        <v>2462</v>
      </c>
      <c r="AK166" s="21"/>
      <c r="AL166" s="14"/>
      <c r="AM166" s="14" t="s">
        <v>2463</v>
      </c>
      <c r="AN166" s="14">
        <v>4</v>
      </c>
      <c r="AO166" s="14" t="s">
        <v>3353</v>
      </c>
      <c r="AP166" s="14" t="s">
        <v>3914</v>
      </c>
      <c r="AQ166" s="87" t="s">
        <v>3736</v>
      </c>
      <c r="AR166" s="87" t="s">
        <v>2888</v>
      </c>
      <c r="AS166" s="14"/>
      <c r="AT166" s="21"/>
      <c r="AU166" s="21"/>
      <c r="AV166" s="21" t="s">
        <v>2464</v>
      </c>
      <c r="AW166" s="21"/>
      <c r="AX166" s="14"/>
      <c r="AY166" s="14" t="s">
        <v>3091</v>
      </c>
      <c r="AZ166" s="14">
        <v>5</v>
      </c>
      <c r="BA166" s="14" t="s">
        <v>2465</v>
      </c>
      <c r="BB166" s="14" t="s">
        <v>3200</v>
      </c>
      <c r="BC166" s="87" t="s">
        <v>3736</v>
      </c>
      <c r="BD166" s="87" t="s">
        <v>3351</v>
      </c>
      <c r="BE166" s="14"/>
      <c r="BF166" s="21"/>
      <c r="BG166" s="21"/>
      <c r="BH166" s="21" t="s">
        <v>2466</v>
      </c>
      <c r="BI166" s="21"/>
      <c r="BJ166" s="14"/>
      <c r="BK166" s="14" t="s">
        <v>2467</v>
      </c>
      <c r="BL166" s="14">
        <v>4</v>
      </c>
      <c r="BM166" s="14" t="s">
        <v>2468</v>
      </c>
      <c r="BN166" s="14" t="s">
        <v>3898</v>
      </c>
      <c r="BO166" s="87" t="s">
        <v>3736</v>
      </c>
      <c r="BP166" s="87" t="s">
        <v>3351</v>
      </c>
      <c r="BQ166" s="14"/>
      <c r="BR166" s="21"/>
      <c r="BS166" s="233"/>
      <c r="BT166" s="21" t="s">
        <v>2469</v>
      </c>
      <c r="BU166" s="21"/>
      <c r="BV166" s="14"/>
      <c r="BW166" s="14" t="s">
        <v>2470</v>
      </c>
      <c r="BX166" s="14">
        <v>3</v>
      </c>
      <c r="BY166" s="14" t="s">
        <v>2471</v>
      </c>
      <c r="BZ166" s="14" t="s">
        <v>3735</v>
      </c>
      <c r="CA166" s="87" t="s">
        <v>3612</v>
      </c>
      <c r="CB166" s="87" t="s">
        <v>3687</v>
      </c>
      <c r="CC166" s="233"/>
      <c r="CD166" s="233"/>
      <c r="CE166" s="233"/>
      <c r="CF166" s="21" t="s">
        <v>2466</v>
      </c>
      <c r="CG166" s="21"/>
      <c r="CH166" s="14"/>
      <c r="CI166" s="14" t="s">
        <v>2467</v>
      </c>
      <c r="CJ166" s="14">
        <v>4</v>
      </c>
      <c r="CK166" s="14" t="s">
        <v>2468</v>
      </c>
      <c r="CL166" s="14" t="s">
        <v>3898</v>
      </c>
      <c r="CM166" s="87" t="s">
        <v>3736</v>
      </c>
      <c r="CN166" s="87" t="s">
        <v>3351</v>
      </c>
      <c r="CO166" s="233"/>
      <c r="CP166" s="233"/>
      <c r="CQ166" s="233"/>
      <c r="CR166" s="21" t="s">
        <v>2459</v>
      </c>
      <c r="CS166" s="21"/>
      <c r="CT166" s="14"/>
      <c r="CU166" s="14" t="s">
        <v>5535</v>
      </c>
      <c r="CV166" s="14" t="s">
        <v>3068</v>
      </c>
      <c r="CW166" s="14" t="s">
        <v>2460</v>
      </c>
      <c r="CX166" s="14" t="s">
        <v>3898</v>
      </c>
      <c r="CY166" s="87" t="s">
        <v>3432</v>
      </c>
      <c r="CZ166" s="87" t="s">
        <v>2461</v>
      </c>
      <c r="DA166" s="14"/>
      <c r="DB166" s="21"/>
      <c r="DC166" s="233"/>
      <c r="DD166" s="21" t="s">
        <v>2459</v>
      </c>
      <c r="DE166" s="21"/>
      <c r="DF166" s="14"/>
      <c r="DG166" s="14" t="s">
        <v>5535</v>
      </c>
      <c r="DH166" s="14" t="s">
        <v>3068</v>
      </c>
      <c r="DI166" s="14" t="s">
        <v>2460</v>
      </c>
      <c r="DJ166" s="14" t="s">
        <v>3898</v>
      </c>
      <c r="DK166" s="87" t="s">
        <v>3432</v>
      </c>
      <c r="DL166" s="87" t="s">
        <v>2461</v>
      </c>
      <c r="DM166" s="14"/>
      <c r="DN166" s="21"/>
      <c r="DO166" s="233"/>
      <c r="DP166" s="21" t="s">
        <v>2482</v>
      </c>
      <c r="DQ166" s="21"/>
      <c r="DR166" s="14"/>
      <c r="DS166" s="14" t="s">
        <v>2630</v>
      </c>
      <c r="DT166" s="14">
        <v>7</v>
      </c>
      <c r="DU166" s="14" t="s">
        <v>2891</v>
      </c>
      <c r="DV166" s="14" t="s">
        <v>3898</v>
      </c>
      <c r="DW166" s="87" t="s">
        <v>3420</v>
      </c>
      <c r="DX166" s="87" t="s">
        <v>2631</v>
      </c>
      <c r="DY166" s="14"/>
      <c r="DZ166" s="233"/>
      <c r="EA166" s="233"/>
      <c r="EB166" s="21" t="s">
        <v>2462</v>
      </c>
      <c r="EC166" s="21"/>
      <c r="ED166" s="14"/>
      <c r="EE166" s="14" t="s">
        <v>2463</v>
      </c>
      <c r="EF166" s="14">
        <v>4</v>
      </c>
      <c r="EG166" s="14" t="s">
        <v>3353</v>
      </c>
      <c r="EH166" s="14" t="s">
        <v>3914</v>
      </c>
      <c r="EI166" s="87" t="s">
        <v>3736</v>
      </c>
      <c r="EJ166" s="87" t="s">
        <v>2888</v>
      </c>
      <c r="EK166" s="14"/>
      <c r="EL166" s="233"/>
      <c r="EM166" s="233"/>
      <c r="EN166" s="21" t="s">
        <v>2459</v>
      </c>
      <c r="EO166" s="21"/>
      <c r="EP166" s="14"/>
      <c r="EQ166" s="14" t="s">
        <v>5535</v>
      </c>
      <c r="ER166" s="14" t="s">
        <v>3068</v>
      </c>
      <c r="ES166" s="14" t="s">
        <v>2460</v>
      </c>
      <c r="ET166" s="14" t="s">
        <v>3898</v>
      </c>
      <c r="EU166" s="87" t="s">
        <v>3432</v>
      </c>
      <c r="EV166" s="87" t="s">
        <v>2461</v>
      </c>
      <c r="EW166" s="14"/>
      <c r="EX166" s="21"/>
      <c r="EY166" s="233"/>
      <c r="EZ166" s="233"/>
      <c r="FA166" s="233"/>
      <c r="FB166" s="233"/>
      <c r="FC166" s="233"/>
      <c r="FD166" s="233"/>
    </row>
    <row r="167" spans="1:160">
      <c r="A167" s="20" t="s">
        <v>3401</v>
      </c>
      <c r="B167" s="14">
        <v>3</v>
      </c>
      <c r="C167" s="14" t="s">
        <v>3402</v>
      </c>
      <c r="D167" s="14">
        <v>2</v>
      </c>
      <c r="E167" s="106" t="s">
        <v>3749</v>
      </c>
      <c r="F167" s="14" t="s">
        <v>3947</v>
      </c>
      <c r="G167" s="44" t="s">
        <v>3651</v>
      </c>
      <c r="H167" s="44" t="s">
        <v>3728</v>
      </c>
      <c r="I167" s="44" t="s">
        <v>3900</v>
      </c>
      <c r="J167" s="28" t="s">
        <v>4555</v>
      </c>
      <c r="L167" s="21" t="s">
        <v>2457</v>
      </c>
      <c r="M167" s="14"/>
      <c r="N167" s="21"/>
      <c r="O167" s="14" t="s">
        <v>2472</v>
      </c>
      <c r="P167" s="14">
        <v>3</v>
      </c>
      <c r="Q167" s="14" t="s">
        <v>2458</v>
      </c>
      <c r="R167" s="14" t="s">
        <v>3735</v>
      </c>
      <c r="S167" s="44" t="s">
        <v>3612</v>
      </c>
      <c r="T167" s="44" t="s">
        <v>3286</v>
      </c>
      <c r="U167" s="14"/>
      <c r="V167" s="21"/>
      <c r="W167" s="21"/>
      <c r="X167" s="21" t="s">
        <v>2457</v>
      </c>
      <c r="Y167" s="21"/>
      <c r="Z167" s="14"/>
      <c r="AA167" s="14" t="s">
        <v>2596</v>
      </c>
      <c r="AB167" s="14">
        <v>3</v>
      </c>
      <c r="AC167" s="14" t="s">
        <v>2458</v>
      </c>
      <c r="AD167" s="14" t="s">
        <v>3735</v>
      </c>
      <c r="AE167" s="87" t="s">
        <v>3612</v>
      </c>
      <c r="AF167" s="87" t="s">
        <v>3286</v>
      </c>
      <c r="AG167" s="14"/>
      <c r="AH167" s="21"/>
      <c r="AI167" s="21"/>
      <c r="AJ167" s="21" t="s">
        <v>2473</v>
      </c>
      <c r="AK167" s="21"/>
      <c r="AL167" s="14"/>
      <c r="AM167" s="14" t="s">
        <v>2463</v>
      </c>
      <c r="AN167" s="14">
        <v>6</v>
      </c>
      <c r="AO167" s="14" t="s">
        <v>3083</v>
      </c>
      <c r="AP167" s="14" t="s">
        <v>5361</v>
      </c>
      <c r="AQ167" s="87" t="s">
        <v>3420</v>
      </c>
      <c r="AR167" s="87" t="s">
        <v>3859</v>
      </c>
      <c r="AS167" s="14"/>
      <c r="AT167" s="21"/>
      <c r="AU167" s="21"/>
      <c r="AV167" s="21" t="s">
        <v>2594</v>
      </c>
      <c r="AW167" s="21"/>
      <c r="AX167" s="14"/>
      <c r="AY167" s="14" t="s">
        <v>2763</v>
      </c>
      <c r="AZ167" s="14">
        <v>3</v>
      </c>
      <c r="BA167" s="14" t="s">
        <v>2774</v>
      </c>
      <c r="BB167" s="14" t="s">
        <v>4000</v>
      </c>
      <c r="BC167" s="87" t="s">
        <v>3736</v>
      </c>
      <c r="BD167" s="87" t="s">
        <v>3286</v>
      </c>
      <c r="BE167" s="14"/>
      <c r="BF167" s="21"/>
      <c r="BG167" s="21"/>
      <c r="BH167" s="21" t="s">
        <v>2474</v>
      </c>
      <c r="BI167" s="21"/>
      <c r="BJ167" s="14"/>
      <c r="BK167" s="14" t="s">
        <v>2904</v>
      </c>
      <c r="BL167" s="14">
        <v>6</v>
      </c>
      <c r="BM167" s="14" t="s">
        <v>2475</v>
      </c>
      <c r="BN167" s="14" t="s">
        <v>3898</v>
      </c>
      <c r="BO167" s="87" t="s">
        <v>3420</v>
      </c>
      <c r="BP167" s="87" t="s">
        <v>3859</v>
      </c>
      <c r="BQ167" s="14"/>
      <c r="BR167" s="21"/>
      <c r="BS167" s="233"/>
      <c r="BT167" s="21" t="s">
        <v>2476</v>
      </c>
      <c r="BU167" s="21"/>
      <c r="BV167" s="14"/>
      <c r="BW167" s="14" t="s">
        <v>2537</v>
      </c>
      <c r="BX167" s="14">
        <v>4</v>
      </c>
      <c r="BY167" s="14" t="s">
        <v>2460</v>
      </c>
      <c r="BZ167" s="14" t="s">
        <v>3931</v>
      </c>
      <c r="CA167" s="87" t="s">
        <v>3420</v>
      </c>
      <c r="CB167" s="87" t="s">
        <v>3746</v>
      </c>
      <c r="CC167" s="233"/>
      <c r="CD167" s="233"/>
      <c r="CE167" s="233"/>
      <c r="CF167" s="21" t="s">
        <v>2474</v>
      </c>
      <c r="CG167" s="21"/>
      <c r="CH167" s="14"/>
      <c r="CI167" s="14" t="s">
        <v>2904</v>
      </c>
      <c r="CJ167" s="14">
        <v>6</v>
      </c>
      <c r="CK167" s="14" t="s">
        <v>2475</v>
      </c>
      <c r="CL167" s="14" t="s">
        <v>3898</v>
      </c>
      <c r="CM167" s="87" t="s">
        <v>3420</v>
      </c>
      <c r="CN167" s="87" t="s">
        <v>3859</v>
      </c>
      <c r="CO167" s="233"/>
      <c r="CP167" s="233"/>
      <c r="CQ167" s="233"/>
      <c r="CR167" s="21" t="s">
        <v>2457</v>
      </c>
      <c r="CS167" s="21"/>
      <c r="CT167" s="14"/>
      <c r="CU167" s="14" t="s">
        <v>2596</v>
      </c>
      <c r="CV167" s="14">
        <v>3</v>
      </c>
      <c r="CW167" s="14" t="s">
        <v>2458</v>
      </c>
      <c r="CX167" s="14" t="s">
        <v>3735</v>
      </c>
      <c r="CY167" s="87" t="s">
        <v>3612</v>
      </c>
      <c r="CZ167" s="87" t="s">
        <v>3286</v>
      </c>
      <c r="DA167" s="14"/>
      <c r="DB167" s="21"/>
      <c r="DC167" s="233"/>
      <c r="DD167" s="21" t="s">
        <v>2457</v>
      </c>
      <c r="DE167" s="21"/>
      <c r="DF167" s="14"/>
      <c r="DG167" s="14" t="s">
        <v>2596</v>
      </c>
      <c r="DH167" s="14">
        <v>3</v>
      </c>
      <c r="DI167" s="14" t="s">
        <v>2458</v>
      </c>
      <c r="DJ167" s="14" t="s">
        <v>3735</v>
      </c>
      <c r="DK167" s="87" t="s">
        <v>3612</v>
      </c>
      <c r="DL167" s="87" t="s">
        <v>3286</v>
      </c>
      <c r="DM167" s="14"/>
      <c r="DN167" s="21"/>
      <c r="DO167" s="233"/>
      <c r="DP167" s="21" t="s">
        <v>2821</v>
      </c>
      <c r="DQ167" s="21"/>
      <c r="DR167" s="14"/>
      <c r="DS167" s="14" t="s">
        <v>3091</v>
      </c>
      <c r="DT167" s="14">
        <v>6</v>
      </c>
      <c r="DU167" s="14" t="s">
        <v>2850</v>
      </c>
      <c r="DV167" s="14" t="s">
        <v>3898</v>
      </c>
      <c r="DW167" s="87" t="s">
        <v>3651</v>
      </c>
      <c r="DX167" s="87" t="s">
        <v>2822</v>
      </c>
      <c r="DY167" s="14"/>
      <c r="DZ167" s="233"/>
      <c r="EA167" s="233"/>
      <c r="EB167" s="21" t="s">
        <v>2473</v>
      </c>
      <c r="EC167" s="21"/>
      <c r="ED167" s="14"/>
      <c r="EE167" s="14" t="s">
        <v>2463</v>
      </c>
      <c r="EF167" s="14">
        <v>6</v>
      </c>
      <c r="EG167" s="14" t="s">
        <v>3083</v>
      </c>
      <c r="EH167" s="14" t="s">
        <v>5361</v>
      </c>
      <c r="EI167" s="87" t="s">
        <v>3420</v>
      </c>
      <c r="EJ167" s="87" t="s">
        <v>3859</v>
      </c>
      <c r="EK167" s="14"/>
      <c r="EL167" s="233"/>
      <c r="EM167" s="233"/>
      <c r="EN167" s="21" t="s">
        <v>2457</v>
      </c>
      <c r="EO167" s="21"/>
      <c r="EP167" s="14"/>
      <c r="EQ167" s="14" t="s">
        <v>2596</v>
      </c>
      <c r="ER167" s="14">
        <v>3</v>
      </c>
      <c r="ES167" s="14" t="s">
        <v>2458</v>
      </c>
      <c r="ET167" s="14" t="s">
        <v>3735</v>
      </c>
      <c r="EU167" s="87" t="s">
        <v>3612</v>
      </c>
      <c r="EV167" s="87" t="s">
        <v>3286</v>
      </c>
      <c r="EW167" s="14"/>
      <c r="EX167" s="21"/>
      <c r="EY167" s="233"/>
      <c r="EZ167" s="233"/>
      <c r="FA167" s="233"/>
      <c r="FB167" s="233"/>
      <c r="FC167" s="233"/>
      <c r="FD167" s="233"/>
    </row>
    <row r="168" spans="1:160">
      <c r="A168" s="20" t="s">
        <v>3411</v>
      </c>
      <c r="B168" s="14">
        <v>3</v>
      </c>
      <c r="C168" s="14" t="s">
        <v>3412</v>
      </c>
      <c r="D168" s="14">
        <v>4</v>
      </c>
      <c r="E168" s="110" t="s">
        <v>3413</v>
      </c>
      <c r="F168" s="14" t="s">
        <v>3414</v>
      </c>
      <c r="G168" s="44" t="s">
        <v>3420</v>
      </c>
      <c r="H168" s="44" t="s">
        <v>3584</v>
      </c>
      <c r="I168" s="44" t="s">
        <v>3706</v>
      </c>
      <c r="J168" s="28" t="s">
        <v>4447</v>
      </c>
      <c r="L168" s="21" t="s">
        <v>2473</v>
      </c>
      <c r="M168" s="14"/>
      <c r="N168" s="21"/>
      <c r="O168" s="14" t="s">
        <v>2463</v>
      </c>
      <c r="P168" s="14">
        <v>6</v>
      </c>
      <c r="Q168" s="14" t="s">
        <v>3083</v>
      </c>
      <c r="R168" s="14" t="s">
        <v>5361</v>
      </c>
      <c r="S168" s="44" t="s">
        <v>3420</v>
      </c>
      <c r="T168" s="44" t="s">
        <v>3859</v>
      </c>
      <c r="U168" s="14"/>
      <c r="V168" s="21"/>
      <c r="W168" s="21"/>
      <c r="X168" s="21" t="s">
        <v>2478</v>
      </c>
      <c r="Y168" s="21"/>
      <c r="Z168" s="14"/>
      <c r="AA168" s="14" t="s">
        <v>2596</v>
      </c>
      <c r="AB168" s="14">
        <v>3</v>
      </c>
      <c r="AC168" s="14" t="s">
        <v>2720</v>
      </c>
      <c r="AD168" s="14" t="s">
        <v>3573</v>
      </c>
      <c r="AE168" s="87" t="s">
        <v>3945</v>
      </c>
      <c r="AF168" s="87" t="s">
        <v>3746</v>
      </c>
      <c r="AG168" s="14"/>
      <c r="AH168" s="21"/>
      <c r="AI168" s="21"/>
      <c r="AJ168" s="21" t="s">
        <v>2479</v>
      </c>
      <c r="AK168" s="21"/>
      <c r="AL168" s="14"/>
      <c r="AM168" s="14" t="s">
        <v>2463</v>
      </c>
      <c r="AN168" s="14">
        <v>5</v>
      </c>
      <c r="AO168" s="14" t="s">
        <v>2480</v>
      </c>
      <c r="AP168" s="14" t="s">
        <v>5361</v>
      </c>
      <c r="AQ168" s="87" t="s">
        <v>3420</v>
      </c>
      <c r="AR168" s="87" t="s">
        <v>3859</v>
      </c>
      <c r="AS168" s="14"/>
      <c r="AT168" s="21"/>
      <c r="AU168" s="21"/>
      <c r="AV168" s="21" t="s">
        <v>2481</v>
      </c>
      <c r="AW168" s="21"/>
      <c r="AX168" s="14"/>
      <c r="AY168" s="14" t="s">
        <v>2763</v>
      </c>
      <c r="AZ168" s="14">
        <v>7</v>
      </c>
      <c r="BA168" s="14" t="s">
        <v>2475</v>
      </c>
      <c r="BB168" s="14" t="s">
        <v>4000</v>
      </c>
      <c r="BC168" s="87" t="s">
        <v>3736</v>
      </c>
      <c r="BD168" s="87" t="s">
        <v>3047</v>
      </c>
      <c r="BE168" s="14"/>
      <c r="BF168" s="21"/>
      <c r="BG168" s="21"/>
      <c r="BH168" s="21" t="s">
        <v>2482</v>
      </c>
      <c r="BI168" s="21"/>
      <c r="BJ168" s="14"/>
      <c r="BK168" s="14" t="s">
        <v>2630</v>
      </c>
      <c r="BL168" s="14">
        <v>7</v>
      </c>
      <c r="BM168" s="14" t="s">
        <v>2891</v>
      </c>
      <c r="BN168" s="14" t="s">
        <v>3898</v>
      </c>
      <c r="BO168" s="87" t="s">
        <v>3420</v>
      </c>
      <c r="BP168" s="87" t="s">
        <v>2631</v>
      </c>
      <c r="BQ168" s="14"/>
      <c r="BR168" s="21"/>
      <c r="BS168" s="233"/>
      <c r="BT168" s="21" t="s">
        <v>2632</v>
      </c>
      <c r="BU168" s="21"/>
      <c r="BV168" s="14"/>
      <c r="BW168" s="14" t="s">
        <v>2630</v>
      </c>
      <c r="BX168" s="14">
        <v>3</v>
      </c>
      <c r="BY168" s="14" t="s">
        <v>2597</v>
      </c>
      <c r="BZ168" s="14" t="s">
        <v>3573</v>
      </c>
      <c r="CA168" s="87" t="s">
        <v>2633</v>
      </c>
      <c r="CB168" s="87" t="s">
        <v>2634</v>
      </c>
      <c r="CC168" s="233"/>
      <c r="CD168" s="233"/>
      <c r="CE168" s="233"/>
      <c r="CF168" s="21" t="s">
        <v>2482</v>
      </c>
      <c r="CG168" s="21"/>
      <c r="CH168" s="14"/>
      <c r="CI168" s="14" t="s">
        <v>2630</v>
      </c>
      <c r="CJ168" s="14">
        <v>7</v>
      </c>
      <c r="CK168" s="14" t="s">
        <v>2891</v>
      </c>
      <c r="CL168" s="14" t="s">
        <v>3898</v>
      </c>
      <c r="CM168" s="87" t="s">
        <v>3420</v>
      </c>
      <c r="CN168" s="87" t="s">
        <v>2631</v>
      </c>
      <c r="CO168" s="233"/>
      <c r="CP168" s="233"/>
      <c r="CQ168" s="233"/>
      <c r="CR168" s="21" t="s">
        <v>2478</v>
      </c>
      <c r="CS168" s="21"/>
      <c r="CT168" s="14"/>
      <c r="CU168" s="14" t="s">
        <v>2596</v>
      </c>
      <c r="CV168" s="14">
        <v>3</v>
      </c>
      <c r="CW168" s="14" t="s">
        <v>2720</v>
      </c>
      <c r="CX168" s="14" t="s">
        <v>3573</v>
      </c>
      <c r="CY168" s="87" t="s">
        <v>3945</v>
      </c>
      <c r="CZ168" s="87" t="s">
        <v>3746</v>
      </c>
      <c r="DA168" s="14"/>
      <c r="DB168" s="21"/>
      <c r="DC168" s="233"/>
      <c r="DD168" s="21" t="s">
        <v>2478</v>
      </c>
      <c r="DE168" s="21"/>
      <c r="DF168" s="14"/>
      <c r="DG168" s="14" t="s">
        <v>2596</v>
      </c>
      <c r="DH168" s="14">
        <v>3</v>
      </c>
      <c r="DI168" s="14" t="s">
        <v>2720</v>
      </c>
      <c r="DJ168" s="14" t="s">
        <v>3573</v>
      </c>
      <c r="DK168" s="87" t="s">
        <v>3945</v>
      </c>
      <c r="DL168" s="87" t="s">
        <v>3746</v>
      </c>
      <c r="DM168" s="14"/>
      <c r="DN168" s="21"/>
      <c r="DO168" s="233"/>
      <c r="DP168" s="21"/>
      <c r="DQ168" s="21"/>
      <c r="DR168" s="14"/>
      <c r="DS168" s="14"/>
      <c r="DT168" s="14"/>
      <c r="DU168" s="14"/>
      <c r="DV168" s="14"/>
      <c r="DW168" s="87"/>
      <c r="DX168" s="87"/>
      <c r="DY168" s="14"/>
      <c r="DZ168" s="233"/>
      <c r="EA168" s="233"/>
      <c r="EB168" s="21" t="s">
        <v>2479</v>
      </c>
      <c r="EC168" s="21"/>
      <c r="ED168" s="14"/>
      <c r="EE168" s="14" t="s">
        <v>2463</v>
      </c>
      <c r="EF168" s="14">
        <v>5</v>
      </c>
      <c r="EG168" s="14" t="s">
        <v>2480</v>
      </c>
      <c r="EH168" s="14" t="s">
        <v>5361</v>
      </c>
      <c r="EI168" s="87" t="s">
        <v>3420</v>
      </c>
      <c r="EJ168" s="87" t="s">
        <v>3859</v>
      </c>
      <c r="EK168" s="14"/>
      <c r="EL168" s="233"/>
      <c r="EM168" s="233"/>
      <c r="EN168" s="21" t="s">
        <v>2478</v>
      </c>
      <c r="EO168" s="21"/>
      <c r="EP168" s="14"/>
      <c r="EQ168" s="14" t="s">
        <v>2596</v>
      </c>
      <c r="ER168" s="14">
        <v>3</v>
      </c>
      <c r="ES168" s="14" t="s">
        <v>2720</v>
      </c>
      <c r="ET168" s="14" t="s">
        <v>3573</v>
      </c>
      <c r="EU168" s="87" t="s">
        <v>3945</v>
      </c>
      <c r="EV168" s="87" t="s">
        <v>3746</v>
      </c>
      <c r="EW168" s="14"/>
      <c r="EX168" s="21"/>
      <c r="EY168" s="233"/>
      <c r="EZ168" s="233"/>
      <c r="FA168" s="233"/>
      <c r="FB168" s="233"/>
      <c r="FC168" s="233"/>
      <c r="FD168" s="233"/>
    </row>
    <row r="169" spans="1:160">
      <c r="A169" s="20" t="s">
        <v>3396</v>
      </c>
      <c r="B169" s="14">
        <v>3</v>
      </c>
      <c r="C169" s="14" t="s">
        <v>3940</v>
      </c>
      <c r="D169" s="14">
        <v>2</v>
      </c>
      <c r="E169" s="110" t="s">
        <v>3397</v>
      </c>
      <c r="F169" s="14" t="s">
        <v>3898</v>
      </c>
      <c r="G169" s="44" t="s">
        <v>3550</v>
      </c>
      <c r="H169" s="107" t="s">
        <v>3398</v>
      </c>
      <c r="I169" s="44" t="s">
        <v>3900</v>
      </c>
      <c r="J169" s="28" t="s">
        <v>5232</v>
      </c>
      <c r="L169" s="21" t="s">
        <v>2479</v>
      </c>
      <c r="M169" s="14"/>
      <c r="N169" s="21"/>
      <c r="O169" s="14" t="s">
        <v>2463</v>
      </c>
      <c r="P169" s="14">
        <v>5</v>
      </c>
      <c r="Q169" s="14" t="s">
        <v>2480</v>
      </c>
      <c r="R169" s="14" t="s">
        <v>5361</v>
      </c>
      <c r="S169" s="44" t="s">
        <v>3420</v>
      </c>
      <c r="T169" s="44" t="s">
        <v>3859</v>
      </c>
      <c r="U169" s="14"/>
      <c r="V169" s="21"/>
      <c r="W169" s="21"/>
      <c r="X169" s="21" t="s">
        <v>2469</v>
      </c>
      <c r="Y169" s="21"/>
      <c r="Z169" s="14"/>
      <c r="AA169" s="14" t="s">
        <v>2470</v>
      </c>
      <c r="AB169" s="14">
        <v>3</v>
      </c>
      <c r="AC169" s="14" t="s">
        <v>2471</v>
      </c>
      <c r="AD169" s="14" t="s">
        <v>3735</v>
      </c>
      <c r="AE169" s="87" t="s">
        <v>3612</v>
      </c>
      <c r="AF169" s="87" t="s">
        <v>3687</v>
      </c>
      <c r="AG169" s="14"/>
      <c r="AH169" s="21"/>
      <c r="AI169" s="21"/>
      <c r="AJ169" s="21" t="s">
        <v>2635</v>
      </c>
      <c r="AK169" s="21"/>
      <c r="AL169" s="14"/>
      <c r="AM169" s="14" t="s">
        <v>2463</v>
      </c>
      <c r="AN169" s="14">
        <v>5</v>
      </c>
      <c r="AO169" s="14" t="s">
        <v>2552</v>
      </c>
      <c r="AP169" s="14" t="s">
        <v>2959</v>
      </c>
      <c r="AQ169" s="87" t="s">
        <v>3420</v>
      </c>
      <c r="AR169" s="87" t="s">
        <v>2974</v>
      </c>
      <c r="AS169" s="14"/>
      <c r="AT169" s="21"/>
      <c r="AU169" s="21"/>
      <c r="AV169" s="21" t="s">
        <v>2636</v>
      </c>
      <c r="AW169" s="21"/>
      <c r="AX169" s="14"/>
      <c r="AY169" s="14" t="s">
        <v>2803</v>
      </c>
      <c r="AZ169" s="14">
        <v>5</v>
      </c>
      <c r="BA169" s="14" t="s">
        <v>2957</v>
      </c>
      <c r="BB169" s="14" t="s">
        <v>2804</v>
      </c>
      <c r="BC169" s="87" t="s">
        <v>3843</v>
      </c>
      <c r="BD169" s="87" t="s">
        <v>3286</v>
      </c>
      <c r="BE169" s="14"/>
      <c r="BF169" s="21"/>
      <c r="BG169" s="21"/>
      <c r="BH169" s="21" t="s">
        <v>2641</v>
      </c>
      <c r="BI169" s="21"/>
      <c r="BJ169" s="14"/>
      <c r="BK169" s="14" t="s">
        <v>2630</v>
      </c>
      <c r="BL169" s="14">
        <v>4</v>
      </c>
      <c r="BM169" s="14" t="s">
        <v>3171</v>
      </c>
      <c r="BN169" s="14" t="s">
        <v>4000</v>
      </c>
      <c r="BO169" s="87" t="s">
        <v>3843</v>
      </c>
      <c r="BP169" s="87" t="s">
        <v>3728</v>
      </c>
      <c r="BQ169" s="14"/>
      <c r="BR169" s="21"/>
      <c r="BS169" s="233"/>
      <c r="BT169" s="21" t="s">
        <v>2642</v>
      </c>
      <c r="BU169" s="21"/>
      <c r="BV169" s="14"/>
      <c r="BW169" s="14" t="s">
        <v>3505</v>
      </c>
      <c r="BX169" s="14">
        <v>1</v>
      </c>
      <c r="BY169" s="106" t="s">
        <v>3331</v>
      </c>
      <c r="BZ169" s="14" t="s">
        <v>3548</v>
      </c>
      <c r="CA169" s="87" t="s">
        <v>3843</v>
      </c>
      <c r="CB169" s="44" t="s">
        <v>2810</v>
      </c>
      <c r="CC169" s="233"/>
      <c r="CD169" s="233"/>
      <c r="CE169" s="233"/>
      <c r="CF169" s="21" t="s">
        <v>2641</v>
      </c>
      <c r="CG169" s="21"/>
      <c r="CH169" s="14"/>
      <c r="CI169" s="14" t="s">
        <v>2630</v>
      </c>
      <c r="CJ169" s="14">
        <v>4</v>
      </c>
      <c r="CK169" s="14" t="s">
        <v>3171</v>
      </c>
      <c r="CL169" s="14" t="s">
        <v>4000</v>
      </c>
      <c r="CM169" s="87" t="s">
        <v>3843</v>
      </c>
      <c r="CN169" s="87" t="s">
        <v>3728</v>
      </c>
      <c r="CO169" s="233"/>
      <c r="CP169" s="233"/>
      <c r="CQ169" s="233"/>
      <c r="CR169" s="21" t="s">
        <v>2469</v>
      </c>
      <c r="CS169" s="21"/>
      <c r="CT169" s="14"/>
      <c r="CU169" s="14" t="s">
        <v>2470</v>
      </c>
      <c r="CV169" s="14">
        <v>3</v>
      </c>
      <c r="CW169" s="14" t="s">
        <v>2471</v>
      </c>
      <c r="CX169" s="14" t="s">
        <v>3735</v>
      </c>
      <c r="CY169" s="87" t="s">
        <v>3612</v>
      </c>
      <c r="CZ169" s="87" t="s">
        <v>3687</v>
      </c>
      <c r="DA169" s="14"/>
      <c r="DB169" s="21"/>
      <c r="DC169" s="233"/>
      <c r="DD169" s="21" t="s">
        <v>2469</v>
      </c>
      <c r="DE169" s="21"/>
      <c r="DF169" s="14"/>
      <c r="DG169" s="14" t="s">
        <v>2470</v>
      </c>
      <c r="DH169" s="14">
        <v>3</v>
      </c>
      <c r="DI169" s="14" t="s">
        <v>2471</v>
      </c>
      <c r="DJ169" s="14" t="s">
        <v>3735</v>
      </c>
      <c r="DK169" s="87" t="s">
        <v>3612</v>
      </c>
      <c r="DL169" s="87" t="s">
        <v>3687</v>
      </c>
      <c r="DM169" s="14"/>
      <c r="DN169" s="21"/>
      <c r="DO169" s="233"/>
      <c r="DP169" s="21"/>
      <c r="DQ169" s="21"/>
      <c r="DR169" s="14"/>
      <c r="DS169" s="14"/>
      <c r="DT169" s="14"/>
      <c r="DU169" s="14"/>
      <c r="DV169" s="14"/>
      <c r="DW169" s="87"/>
      <c r="DX169" s="87"/>
      <c r="DY169" s="14"/>
      <c r="DZ169" s="233"/>
      <c r="EA169" s="233"/>
      <c r="EB169" s="21" t="s">
        <v>2635</v>
      </c>
      <c r="EC169" s="21"/>
      <c r="ED169" s="14"/>
      <c r="EE169" s="14" t="s">
        <v>2463</v>
      </c>
      <c r="EF169" s="14">
        <v>5</v>
      </c>
      <c r="EG169" s="14" t="s">
        <v>2552</v>
      </c>
      <c r="EH169" s="14" t="s">
        <v>2959</v>
      </c>
      <c r="EI169" s="87" t="s">
        <v>3420</v>
      </c>
      <c r="EJ169" s="87" t="s">
        <v>2974</v>
      </c>
      <c r="EK169" s="14"/>
      <c r="EL169" s="233"/>
      <c r="EM169" s="233"/>
      <c r="EN169" s="21" t="s">
        <v>2469</v>
      </c>
      <c r="EO169" s="21"/>
      <c r="EP169" s="14"/>
      <c r="EQ169" s="14" t="s">
        <v>2470</v>
      </c>
      <c r="ER169" s="14">
        <v>3</v>
      </c>
      <c r="ES169" s="14" t="s">
        <v>2471</v>
      </c>
      <c r="ET169" s="14" t="s">
        <v>3735</v>
      </c>
      <c r="EU169" s="87" t="s">
        <v>3612</v>
      </c>
      <c r="EV169" s="87" t="s">
        <v>3687</v>
      </c>
      <c r="EW169" s="14"/>
      <c r="EX169" s="21"/>
      <c r="EY169" s="233"/>
      <c r="EZ169" s="233"/>
      <c r="FA169" s="233"/>
      <c r="FB169" s="233"/>
      <c r="FC169" s="233"/>
      <c r="FD169" s="233"/>
    </row>
    <row r="170" spans="1:160">
      <c r="A170" s="20" t="s">
        <v>3229</v>
      </c>
      <c r="B170" s="14">
        <v>3</v>
      </c>
      <c r="C170" s="14" t="s">
        <v>3208</v>
      </c>
      <c r="D170" s="14">
        <v>2</v>
      </c>
      <c r="E170" s="110" t="s">
        <v>3858</v>
      </c>
      <c r="F170" s="14" t="s">
        <v>3898</v>
      </c>
      <c r="G170" s="44" t="s">
        <v>3230</v>
      </c>
      <c r="H170" s="44" t="s">
        <v>3231</v>
      </c>
      <c r="I170" s="44" t="s">
        <v>3900</v>
      </c>
      <c r="J170" s="28" t="s">
        <v>4555</v>
      </c>
      <c r="L170" s="21" t="s">
        <v>2469</v>
      </c>
      <c r="M170" s="14"/>
      <c r="N170" s="21"/>
      <c r="O170" s="14" t="s">
        <v>2887</v>
      </c>
      <c r="P170" s="14">
        <v>3</v>
      </c>
      <c r="Q170" s="14" t="s">
        <v>2471</v>
      </c>
      <c r="R170" s="14" t="s">
        <v>3735</v>
      </c>
      <c r="S170" s="44" t="s">
        <v>3612</v>
      </c>
      <c r="T170" s="44" t="s">
        <v>3687</v>
      </c>
      <c r="U170" s="14"/>
      <c r="V170" s="21"/>
      <c r="W170" s="21"/>
      <c r="X170" s="21" t="s">
        <v>2811</v>
      </c>
      <c r="Y170" s="21"/>
      <c r="Z170" s="14"/>
      <c r="AA170" s="14" t="s">
        <v>2537</v>
      </c>
      <c r="AB170" s="14">
        <v>5</v>
      </c>
      <c r="AC170" s="14" t="s">
        <v>2812</v>
      </c>
      <c r="AD170" s="14" t="s">
        <v>3979</v>
      </c>
      <c r="AE170" s="87" t="s">
        <v>3736</v>
      </c>
      <c r="AF170" s="87" t="s">
        <v>2813</v>
      </c>
      <c r="AG170" s="14"/>
      <c r="AH170" s="21"/>
      <c r="AI170" s="21"/>
      <c r="AJ170" s="21" t="s">
        <v>2814</v>
      </c>
      <c r="AK170" s="21"/>
      <c r="AL170" s="14"/>
      <c r="AM170" s="14" t="s">
        <v>2653</v>
      </c>
      <c r="AN170" s="14">
        <v>3</v>
      </c>
      <c r="AO170" s="14" t="s">
        <v>2654</v>
      </c>
      <c r="AP170" s="14" t="s">
        <v>3898</v>
      </c>
      <c r="AQ170" s="87" t="s">
        <v>3736</v>
      </c>
      <c r="AR170" s="87" t="s">
        <v>3351</v>
      </c>
      <c r="AS170" s="14"/>
      <c r="AT170" s="21"/>
      <c r="AU170" s="21"/>
      <c r="AV170" s="21" t="s">
        <v>2655</v>
      </c>
      <c r="AW170" s="21"/>
      <c r="AX170" s="14"/>
      <c r="AY170" s="14" t="s">
        <v>2983</v>
      </c>
      <c r="AZ170" s="14">
        <v>6</v>
      </c>
      <c r="BA170" s="14" t="s">
        <v>2850</v>
      </c>
      <c r="BB170" s="14" t="s">
        <v>3548</v>
      </c>
      <c r="BC170" s="87" t="s">
        <v>3550</v>
      </c>
      <c r="BD170" s="87" t="s">
        <v>2656</v>
      </c>
      <c r="BE170" s="14"/>
      <c r="BF170" s="21"/>
      <c r="BG170" s="21"/>
      <c r="BH170" s="21" t="s">
        <v>2657</v>
      </c>
      <c r="BI170" s="21"/>
      <c r="BJ170" s="14"/>
      <c r="BK170" s="14" t="s">
        <v>2467</v>
      </c>
      <c r="BL170" s="14">
        <v>4</v>
      </c>
      <c r="BM170" s="14" t="s">
        <v>2468</v>
      </c>
      <c r="BN170" s="14" t="s">
        <v>3854</v>
      </c>
      <c r="BO170" s="87" t="s">
        <v>2878</v>
      </c>
      <c r="BP170" s="87" t="s">
        <v>3488</v>
      </c>
      <c r="BQ170" s="14"/>
      <c r="BR170" s="21"/>
      <c r="BS170" s="233"/>
      <c r="BT170" s="21"/>
      <c r="BU170" s="21"/>
      <c r="BV170" s="14"/>
      <c r="BW170" s="14"/>
      <c r="BX170" s="14"/>
      <c r="BY170" s="14"/>
      <c r="BZ170" s="14"/>
      <c r="CA170" s="14"/>
      <c r="CB170" s="87"/>
      <c r="CC170" s="233"/>
      <c r="CD170" s="233"/>
      <c r="CE170" s="233"/>
      <c r="CF170" s="21" t="s">
        <v>2657</v>
      </c>
      <c r="CG170" s="21"/>
      <c r="CH170" s="14"/>
      <c r="CI170" s="14" t="s">
        <v>2467</v>
      </c>
      <c r="CJ170" s="14">
        <v>4</v>
      </c>
      <c r="CK170" s="14" t="s">
        <v>2468</v>
      </c>
      <c r="CL170" s="14" t="s">
        <v>3854</v>
      </c>
      <c r="CM170" s="87" t="s">
        <v>2878</v>
      </c>
      <c r="CN170" s="87" t="s">
        <v>3488</v>
      </c>
      <c r="CO170" s="233"/>
      <c r="CP170" s="233"/>
      <c r="CQ170" s="233"/>
      <c r="CR170" s="21" t="s">
        <v>2811</v>
      </c>
      <c r="CS170" s="21"/>
      <c r="CT170" s="14"/>
      <c r="CU170" s="14" t="s">
        <v>2537</v>
      </c>
      <c r="CV170" s="14">
        <v>5</v>
      </c>
      <c r="CW170" s="14" t="s">
        <v>2812</v>
      </c>
      <c r="CX170" s="14" t="s">
        <v>3979</v>
      </c>
      <c r="CY170" s="87" t="s">
        <v>3736</v>
      </c>
      <c r="CZ170" s="87" t="s">
        <v>2813</v>
      </c>
      <c r="DA170" s="14"/>
      <c r="DB170" s="21"/>
      <c r="DC170" s="233"/>
      <c r="DD170" s="21" t="s">
        <v>2811</v>
      </c>
      <c r="DE170" s="21"/>
      <c r="DF170" s="14"/>
      <c r="DG170" s="14" t="s">
        <v>2537</v>
      </c>
      <c r="DH170" s="14">
        <v>5</v>
      </c>
      <c r="DI170" s="14" t="s">
        <v>2812</v>
      </c>
      <c r="DJ170" s="14" t="s">
        <v>3979</v>
      </c>
      <c r="DK170" s="87" t="s">
        <v>3736</v>
      </c>
      <c r="DL170" s="87" t="s">
        <v>2813</v>
      </c>
      <c r="DM170" s="14"/>
      <c r="DN170" s="21"/>
      <c r="DO170" s="233"/>
      <c r="DP170" s="21"/>
      <c r="DQ170" s="21"/>
      <c r="DR170" s="14"/>
      <c r="DS170" s="14"/>
      <c r="DT170" s="14"/>
      <c r="DU170" s="14"/>
      <c r="DV170" s="14"/>
      <c r="DW170" s="87"/>
      <c r="DX170" s="87"/>
      <c r="DY170" s="14"/>
      <c r="DZ170" s="233"/>
      <c r="EA170" s="233"/>
      <c r="EB170" s="21" t="s">
        <v>2814</v>
      </c>
      <c r="EC170" s="21"/>
      <c r="ED170" s="14"/>
      <c r="EE170" s="14" t="s">
        <v>2653</v>
      </c>
      <c r="EF170" s="14">
        <v>3</v>
      </c>
      <c r="EG170" s="14" t="s">
        <v>2654</v>
      </c>
      <c r="EH170" s="14" t="s">
        <v>3898</v>
      </c>
      <c r="EI170" s="87" t="s">
        <v>3736</v>
      </c>
      <c r="EJ170" s="87" t="s">
        <v>3351</v>
      </c>
      <c r="EK170" s="14"/>
      <c r="EL170" s="233"/>
      <c r="EM170" s="233"/>
      <c r="EN170" s="21" t="s">
        <v>2811</v>
      </c>
      <c r="EO170" s="21"/>
      <c r="EP170" s="14"/>
      <c r="EQ170" s="14" t="s">
        <v>2537</v>
      </c>
      <c r="ER170" s="14">
        <v>5</v>
      </c>
      <c r="ES170" s="14" t="s">
        <v>2812</v>
      </c>
      <c r="ET170" s="14" t="s">
        <v>3979</v>
      </c>
      <c r="EU170" s="87" t="s">
        <v>3736</v>
      </c>
      <c r="EV170" s="87" t="s">
        <v>2813</v>
      </c>
      <c r="EW170" s="14"/>
      <c r="EX170" s="21"/>
      <c r="EY170" s="233"/>
      <c r="EZ170" s="233"/>
      <c r="FA170" s="233"/>
      <c r="FB170" s="233"/>
      <c r="FC170" s="233"/>
      <c r="FD170" s="233"/>
    </row>
    <row r="171" spans="1:160">
      <c r="A171" s="20" t="s">
        <v>3585</v>
      </c>
      <c r="B171" s="14">
        <v>3</v>
      </c>
      <c r="C171" s="14" t="s">
        <v>3402</v>
      </c>
      <c r="D171" s="14">
        <v>4</v>
      </c>
      <c r="E171" s="110" t="s">
        <v>3650</v>
      </c>
      <c r="F171" s="14" t="s">
        <v>3898</v>
      </c>
      <c r="G171" s="44" t="s">
        <v>3651</v>
      </c>
      <c r="H171" s="107" t="s">
        <v>3586</v>
      </c>
      <c r="I171" s="44" t="s">
        <v>3900</v>
      </c>
      <c r="J171" s="28" t="s">
        <v>4555</v>
      </c>
      <c r="L171" s="21" t="s">
        <v>2481</v>
      </c>
      <c r="M171" s="14"/>
      <c r="N171" s="21"/>
      <c r="O171" s="14" t="s">
        <v>2763</v>
      </c>
      <c r="P171" s="14">
        <v>7</v>
      </c>
      <c r="Q171" s="14" t="s">
        <v>2475</v>
      </c>
      <c r="R171" s="14" t="s">
        <v>4000</v>
      </c>
      <c r="S171" s="44" t="s">
        <v>3736</v>
      </c>
      <c r="T171" s="44" t="s">
        <v>3047</v>
      </c>
      <c r="U171" s="14"/>
      <c r="V171" s="21"/>
      <c r="W171" s="21"/>
      <c r="X171" s="21" t="s">
        <v>2658</v>
      </c>
      <c r="Y171" s="21"/>
      <c r="Z171" s="14"/>
      <c r="AA171" s="14" t="s">
        <v>2934</v>
      </c>
      <c r="AB171" s="14">
        <v>6</v>
      </c>
      <c r="AC171" s="14" t="s">
        <v>2460</v>
      </c>
      <c r="AD171" s="14" t="s">
        <v>3947</v>
      </c>
      <c r="AE171" s="87" t="s">
        <v>3948</v>
      </c>
      <c r="AF171" s="87" t="s">
        <v>2818</v>
      </c>
      <c r="AG171" s="14"/>
      <c r="AH171" s="21"/>
      <c r="AI171" s="21"/>
      <c r="AJ171" s="21" t="s">
        <v>2819</v>
      </c>
      <c r="AK171" s="21"/>
      <c r="AL171" s="14"/>
      <c r="AM171" s="14" t="s">
        <v>2653</v>
      </c>
      <c r="AN171" s="14">
        <v>6</v>
      </c>
      <c r="AO171" s="14" t="s">
        <v>2820</v>
      </c>
      <c r="AP171" s="14" t="s">
        <v>3898</v>
      </c>
      <c r="AQ171" s="87" t="s">
        <v>3651</v>
      </c>
      <c r="AR171" s="87" t="s">
        <v>3286</v>
      </c>
      <c r="AS171" s="14"/>
      <c r="AT171" s="21"/>
      <c r="AU171" s="21"/>
      <c r="AV171" s="21" t="s">
        <v>2821</v>
      </c>
      <c r="AW171" s="21"/>
      <c r="AX171" s="14"/>
      <c r="AY171" s="14" t="s">
        <v>3091</v>
      </c>
      <c r="AZ171" s="14">
        <v>6</v>
      </c>
      <c r="BA171" s="14" t="s">
        <v>2850</v>
      </c>
      <c r="BB171" s="14" t="s">
        <v>3898</v>
      </c>
      <c r="BC171" s="87" t="s">
        <v>3651</v>
      </c>
      <c r="BD171" s="87" t="s">
        <v>2822</v>
      </c>
      <c r="BE171" s="14"/>
      <c r="BF171" s="21"/>
      <c r="BG171" s="21"/>
      <c r="BH171" s="21" t="s">
        <v>2632</v>
      </c>
      <c r="BI171" s="21"/>
      <c r="BJ171" s="14"/>
      <c r="BK171" s="14" t="s">
        <v>2630</v>
      </c>
      <c r="BL171" s="14">
        <v>3</v>
      </c>
      <c r="BM171" s="14" t="s">
        <v>2597</v>
      </c>
      <c r="BN171" s="14" t="s">
        <v>3573</v>
      </c>
      <c r="BO171" s="14" t="s">
        <v>2633</v>
      </c>
      <c r="BP171" s="87" t="s">
        <v>2634</v>
      </c>
      <c r="BQ171" s="14"/>
      <c r="BR171" s="21"/>
      <c r="BS171" s="233"/>
      <c r="BT171" s="21"/>
      <c r="BU171" s="21"/>
      <c r="BV171" s="14"/>
      <c r="BW171" s="14"/>
      <c r="BX171" s="14"/>
      <c r="BY171" s="14"/>
      <c r="BZ171" s="14"/>
      <c r="CA171" s="14"/>
      <c r="CB171" s="87"/>
      <c r="CC171" s="233"/>
      <c r="CD171" s="233"/>
      <c r="CE171" s="233"/>
      <c r="CF171" s="21" t="s">
        <v>2632</v>
      </c>
      <c r="CG171" s="21"/>
      <c r="CH171" s="14"/>
      <c r="CI171" s="14" t="s">
        <v>2630</v>
      </c>
      <c r="CJ171" s="14">
        <v>3</v>
      </c>
      <c r="CK171" s="14" t="s">
        <v>2597</v>
      </c>
      <c r="CL171" s="14" t="s">
        <v>3573</v>
      </c>
      <c r="CM171" s="14" t="s">
        <v>2633</v>
      </c>
      <c r="CN171" s="87" t="s">
        <v>2634</v>
      </c>
      <c r="CO171" s="233"/>
      <c r="CP171" s="233"/>
      <c r="CQ171" s="233"/>
      <c r="CR171" s="21" t="s">
        <v>2658</v>
      </c>
      <c r="CS171" s="21"/>
      <c r="CT171" s="14"/>
      <c r="CU171" s="14" t="s">
        <v>2934</v>
      </c>
      <c r="CV171" s="14">
        <v>6</v>
      </c>
      <c r="CW171" s="14" t="s">
        <v>2460</v>
      </c>
      <c r="CX171" s="14" t="s">
        <v>3947</v>
      </c>
      <c r="CY171" s="87" t="s">
        <v>3948</v>
      </c>
      <c r="CZ171" s="87" t="s">
        <v>2818</v>
      </c>
      <c r="DA171" s="14"/>
      <c r="DB171" s="21"/>
      <c r="DC171" s="233"/>
      <c r="DD171" s="21" t="s">
        <v>2658</v>
      </c>
      <c r="DE171" s="21"/>
      <c r="DF171" s="14"/>
      <c r="DG171" s="14" t="s">
        <v>2934</v>
      </c>
      <c r="DH171" s="14">
        <v>6</v>
      </c>
      <c r="DI171" s="14" t="s">
        <v>2460</v>
      </c>
      <c r="DJ171" s="14" t="s">
        <v>3947</v>
      </c>
      <c r="DK171" s="87" t="s">
        <v>3948</v>
      </c>
      <c r="DL171" s="87" t="s">
        <v>2818</v>
      </c>
      <c r="DM171" s="14"/>
      <c r="DN171" s="21"/>
      <c r="DO171" s="233"/>
      <c r="DP171" s="21"/>
      <c r="DQ171" s="21"/>
      <c r="DR171" s="14"/>
      <c r="DS171" s="14"/>
      <c r="DT171" s="14"/>
      <c r="DU171" s="14"/>
      <c r="DV171" s="14"/>
      <c r="DW171" s="87"/>
      <c r="DX171" s="87"/>
      <c r="DY171" s="14"/>
      <c r="DZ171" s="233"/>
      <c r="EA171" s="233"/>
      <c r="EB171" s="21" t="s">
        <v>2819</v>
      </c>
      <c r="EC171" s="21"/>
      <c r="ED171" s="14"/>
      <c r="EE171" s="14" t="s">
        <v>2653</v>
      </c>
      <c r="EF171" s="14">
        <v>6</v>
      </c>
      <c r="EG171" s="14" t="s">
        <v>2820</v>
      </c>
      <c r="EH171" s="14" t="s">
        <v>3898</v>
      </c>
      <c r="EI171" s="87" t="s">
        <v>3651</v>
      </c>
      <c r="EJ171" s="87" t="s">
        <v>3286</v>
      </c>
      <c r="EK171" s="14"/>
      <c r="EL171" s="233"/>
      <c r="EM171" s="233"/>
      <c r="EN171" s="21" t="s">
        <v>2658</v>
      </c>
      <c r="EO171" s="21"/>
      <c r="EP171" s="14"/>
      <c r="EQ171" s="14" t="s">
        <v>2934</v>
      </c>
      <c r="ER171" s="14">
        <v>6</v>
      </c>
      <c r="ES171" s="14" t="s">
        <v>2460</v>
      </c>
      <c r="ET171" s="14" t="s">
        <v>3947</v>
      </c>
      <c r="EU171" s="87" t="s">
        <v>3948</v>
      </c>
      <c r="EV171" s="87" t="s">
        <v>2818</v>
      </c>
      <c r="EW171" s="14"/>
      <c r="EX171" s="21"/>
      <c r="EY171" s="233"/>
      <c r="EZ171" s="233"/>
      <c r="FA171" s="233"/>
      <c r="FB171" s="233"/>
      <c r="FC171" s="233"/>
      <c r="FD171" s="233"/>
    </row>
    <row r="172" spans="1:160">
      <c r="A172" s="20" t="s">
        <v>3406</v>
      </c>
      <c r="B172" s="14">
        <v>3</v>
      </c>
      <c r="C172" s="14" t="s">
        <v>3803</v>
      </c>
      <c r="D172" s="14" t="s">
        <v>5036</v>
      </c>
      <c r="E172" s="14" t="s">
        <v>3553</v>
      </c>
      <c r="F172" s="14" t="s">
        <v>3854</v>
      </c>
      <c r="G172" s="44" t="s">
        <v>3407</v>
      </c>
      <c r="H172" s="44" t="s">
        <v>3746</v>
      </c>
      <c r="I172" s="44" t="s">
        <v>3916</v>
      </c>
      <c r="J172" s="28" t="s">
        <v>5232</v>
      </c>
      <c r="L172" s="21" t="s">
        <v>2482</v>
      </c>
      <c r="M172" s="14"/>
      <c r="N172" s="21"/>
      <c r="O172" s="14" t="s">
        <v>2630</v>
      </c>
      <c r="P172" s="14">
        <v>7</v>
      </c>
      <c r="Q172" s="14" t="s">
        <v>2891</v>
      </c>
      <c r="R172" s="14" t="s">
        <v>3898</v>
      </c>
      <c r="S172" s="44" t="s">
        <v>3420</v>
      </c>
      <c r="T172" s="44" t="s">
        <v>2631</v>
      </c>
      <c r="U172" s="21"/>
      <c r="V172" s="21"/>
      <c r="W172" s="21"/>
      <c r="X172" s="21" t="s">
        <v>2476</v>
      </c>
      <c r="Y172" s="21"/>
      <c r="Z172" s="14"/>
      <c r="AA172" s="14" t="s">
        <v>2537</v>
      </c>
      <c r="AB172" s="14">
        <v>4</v>
      </c>
      <c r="AC172" s="14" t="s">
        <v>2460</v>
      </c>
      <c r="AD172" s="14" t="s">
        <v>3931</v>
      </c>
      <c r="AE172" s="87" t="s">
        <v>3420</v>
      </c>
      <c r="AF172" s="87" t="s">
        <v>3746</v>
      </c>
      <c r="AG172" s="21"/>
      <c r="AH172" s="21"/>
      <c r="AI172" s="21"/>
      <c r="AJ172" s="21"/>
      <c r="AK172" s="21"/>
      <c r="AL172" s="21"/>
      <c r="AM172" s="14"/>
      <c r="AN172" s="14"/>
      <c r="AO172" s="14"/>
      <c r="AP172" s="14"/>
      <c r="AQ172" s="14"/>
      <c r="AR172" s="87"/>
      <c r="AS172" s="21"/>
      <c r="AT172" s="21"/>
      <c r="AU172" s="21"/>
      <c r="AV172" s="21" t="s">
        <v>2823</v>
      </c>
      <c r="AW172" s="21"/>
      <c r="AX172" s="14"/>
      <c r="AY172" s="14" t="s">
        <v>3091</v>
      </c>
      <c r="AZ172" s="14">
        <v>4</v>
      </c>
      <c r="BA172" s="14" t="s">
        <v>2843</v>
      </c>
      <c r="BB172" s="14" t="s">
        <v>3914</v>
      </c>
      <c r="BC172" s="87" t="s">
        <v>3843</v>
      </c>
      <c r="BD172" s="87" t="s">
        <v>3746</v>
      </c>
      <c r="BE172" s="14"/>
      <c r="BF172" s="21"/>
      <c r="BG172" s="21"/>
      <c r="BH172" s="21"/>
      <c r="BI172" s="21"/>
      <c r="BJ172" s="14"/>
      <c r="BK172" s="14"/>
      <c r="BL172" s="14"/>
      <c r="BM172" s="14"/>
      <c r="BN172" s="14"/>
      <c r="BO172" s="14"/>
      <c r="BP172" s="87"/>
      <c r="BQ172" s="14"/>
      <c r="BR172" s="21"/>
      <c r="BS172" s="233"/>
      <c r="BT172" s="21"/>
      <c r="BU172" s="21"/>
      <c r="BV172" s="14"/>
      <c r="BW172" s="14"/>
      <c r="BX172" s="14"/>
      <c r="BY172" s="14"/>
      <c r="BZ172" s="14"/>
      <c r="CA172" s="14"/>
      <c r="CB172" s="87"/>
      <c r="CC172" s="233"/>
      <c r="CD172" s="233"/>
      <c r="CE172" s="233"/>
      <c r="CF172" s="21"/>
      <c r="CG172" s="21"/>
      <c r="CH172" s="14"/>
      <c r="CI172" s="14"/>
      <c r="CJ172" s="14"/>
      <c r="CK172" s="14"/>
      <c r="CL172" s="14"/>
      <c r="CM172" s="14"/>
      <c r="CN172" s="87"/>
      <c r="CO172" s="233"/>
      <c r="CP172" s="233"/>
      <c r="CQ172" s="233"/>
      <c r="CR172" s="21" t="s">
        <v>2476</v>
      </c>
      <c r="CS172" s="21"/>
      <c r="CT172" s="14"/>
      <c r="CU172" s="14" t="s">
        <v>2537</v>
      </c>
      <c r="CV172" s="14">
        <v>4</v>
      </c>
      <c r="CW172" s="14" t="s">
        <v>2460</v>
      </c>
      <c r="CX172" s="14" t="s">
        <v>3931</v>
      </c>
      <c r="CY172" s="87" t="s">
        <v>3420</v>
      </c>
      <c r="CZ172" s="87" t="s">
        <v>3746</v>
      </c>
      <c r="DA172" s="21"/>
      <c r="DB172" s="21"/>
      <c r="DC172" s="233"/>
      <c r="DD172" s="21" t="s">
        <v>2476</v>
      </c>
      <c r="DE172" s="21"/>
      <c r="DF172" s="14"/>
      <c r="DG172" s="14" t="s">
        <v>2537</v>
      </c>
      <c r="DH172" s="14">
        <v>4</v>
      </c>
      <c r="DI172" s="14" t="s">
        <v>2460</v>
      </c>
      <c r="DJ172" s="14" t="s">
        <v>3931</v>
      </c>
      <c r="DK172" s="87" t="s">
        <v>3420</v>
      </c>
      <c r="DL172" s="87" t="s">
        <v>3746</v>
      </c>
      <c r="DM172" s="21"/>
      <c r="DN172" s="21"/>
      <c r="DO172" s="233"/>
      <c r="DP172" s="21"/>
      <c r="DQ172" s="21"/>
      <c r="DR172" s="21"/>
      <c r="DS172" s="14"/>
      <c r="DT172" s="14"/>
      <c r="DU172" s="14"/>
      <c r="DV172" s="14"/>
      <c r="DW172" s="14"/>
      <c r="DX172" s="87"/>
      <c r="DY172" s="21"/>
      <c r="DZ172" s="233"/>
      <c r="EA172" s="233"/>
      <c r="EB172" s="21"/>
      <c r="EC172" s="21"/>
      <c r="ED172" s="21"/>
      <c r="EE172" s="14"/>
      <c r="EF172" s="14"/>
      <c r="EG172" s="14"/>
      <c r="EH172" s="14"/>
      <c r="EI172" s="14"/>
      <c r="EJ172" s="87"/>
      <c r="EK172" s="21"/>
      <c r="EL172" s="233"/>
      <c r="EM172" s="233"/>
      <c r="EN172" s="21" t="s">
        <v>2476</v>
      </c>
      <c r="EO172" s="21"/>
      <c r="EP172" s="14"/>
      <c r="EQ172" s="14" t="s">
        <v>2537</v>
      </c>
      <c r="ER172" s="14">
        <v>4</v>
      </c>
      <c r="ES172" s="14" t="s">
        <v>2460</v>
      </c>
      <c r="ET172" s="14" t="s">
        <v>3931</v>
      </c>
      <c r="EU172" s="87" t="s">
        <v>3420</v>
      </c>
      <c r="EV172" s="87" t="s">
        <v>3746</v>
      </c>
      <c r="EW172" s="21"/>
      <c r="EX172" s="21"/>
      <c r="EY172" s="233"/>
      <c r="EZ172" s="233"/>
      <c r="FA172" s="233"/>
      <c r="FB172" s="233"/>
      <c r="FC172" s="233"/>
      <c r="FD172" s="233"/>
    </row>
    <row r="173" spans="1:160">
      <c r="A173" s="20" t="s">
        <v>3780</v>
      </c>
      <c r="B173" s="14">
        <v>3</v>
      </c>
      <c r="C173" s="14" t="s">
        <v>3208</v>
      </c>
      <c r="D173" s="14">
        <v>0</v>
      </c>
      <c r="E173" s="14" t="s">
        <v>3781</v>
      </c>
      <c r="F173" s="14" t="s">
        <v>3716</v>
      </c>
      <c r="G173" s="44" t="s">
        <v>3736</v>
      </c>
      <c r="H173" s="44" t="s">
        <v>3706</v>
      </c>
      <c r="I173" s="44" t="s">
        <v>3790</v>
      </c>
      <c r="J173" s="28" t="s">
        <v>4555</v>
      </c>
      <c r="L173" s="21" t="s">
        <v>2641</v>
      </c>
      <c r="M173" s="14"/>
      <c r="N173" s="21"/>
      <c r="O173" s="14" t="s">
        <v>2630</v>
      </c>
      <c r="P173" s="14">
        <v>4</v>
      </c>
      <c r="Q173" s="14" t="s">
        <v>3171</v>
      </c>
      <c r="R173" s="14" t="s">
        <v>4000</v>
      </c>
      <c r="S173" s="44" t="s">
        <v>3843</v>
      </c>
      <c r="T173" s="44" t="s">
        <v>3728</v>
      </c>
      <c r="U173" s="21"/>
      <c r="V173" s="21"/>
      <c r="W173" s="21"/>
      <c r="X173" s="21" t="s">
        <v>2824</v>
      </c>
      <c r="Y173" s="21"/>
      <c r="Z173" s="14"/>
      <c r="AA173" s="14" t="s">
        <v>2470</v>
      </c>
      <c r="AB173" s="14">
        <v>5</v>
      </c>
      <c r="AC173" s="14" t="s">
        <v>3887</v>
      </c>
      <c r="AD173" s="14" t="s">
        <v>2825</v>
      </c>
      <c r="AE173" s="87" t="s">
        <v>2826</v>
      </c>
      <c r="AF173" s="87" t="s">
        <v>3859</v>
      </c>
      <c r="AG173" s="21"/>
      <c r="AH173" s="21"/>
      <c r="AI173" s="21"/>
      <c r="AJ173" s="21"/>
      <c r="AK173" s="21"/>
      <c r="AL173" s="21"/>
      <c r="AM173" s="14"/>
      <c r="AN173" s="14"/>
      <c r="AO173" s="14"/>
      <c r="AP173" s="14"/>
      <c r="AQ173" s="14"/>
      <c r="AR173" s="87"/>
      <c r="AS173" s="21"/>
      <c r="AT173" s="21"/>
      <c r="AU173" s="21"/>
      <c r="AV173" s="21" t="s">
        <v>2827</v>
      </c>
      <c r="AW173" s="21"/>
      <c r="AX173" s="14"/>
      <c r="AY173" s="14" t="s">
        <v>2803</v>
      </c>
      <c r="AZ173" s="14">
        <v>6</v>
      </c>
      <c r="BA173" s="14" t="s">
        <v>2828</v>
      </c>
      <c r="BB173" s="14" t="s">
        <v>3898</v>
      </c>
      <c r="BC173" s="87" t="s">
        <v>2545</v>
      </c>
      <c r="BD173" s="87" t="s">
        <v>3047</v>
      </c>
      <c r="BE173" s="14"/>
      <c r="BF173" s="21"/>
      <c r="BG173" s="21"/>
      <c r="BH173" s="21"/>
      <c r="BI173" s="21"/>
      <c r="BJ173" s="14"/>
      <c r="BK173" s="14"/>
      <c r="BL173" s="14"/>
      <c r="BM173" s="14"/>
      <c r="BN173" s="14"/>
      <c r="BO173" s="14"/>
      <c r="BP173" s="87"/>
      <c r="BQ173" s="14"/>
      <c r="BR173" s="21"/>
      <c r="BS173" s="233"/>
      <c r="BT173" s="21"/>
      <c r="BU173" s="21"/>
      <c r="BV173" s="14"/>
      <c r="BW173" s="14"/>
      <c r="BX173" s="14"/>
      <c r="BY173" s="14"/>
      <c r="BZ173" s="14"/>
      <c r="CA173" s="14"/>
      <c r="CB173" s="87"/>
      <c r="CC173" s="233"/>
      <c r="CD173" s="233"/>
      <c r="CE173" s="233"/>
      <c r="CF173" s="21"/>
      <c r="CG173" s="21"/>
      <c r="CH173" s="14"/>
      <c r="CI173" s="14"/>
      <c r="CJ173" s="14"/>
      <c r="CK173" s="14"/>
      <c r="CL173" s="14"/>
      <c r="CM173" s="14"/>
      <c r="CN173" s="87"/>
      <c r="CO173" s="233"/>
      <c r="CP173" s="233"/>
      <c r="CQ173" s="233"/>
      <c r="CR173" s="21" t="s">
        <v>2824</v>
      </c>
      <c r="CS173" s="21"/>
      <c r="CT173" s="14"/>
      <c r="CU173" s="14" t="s">
        <v>2470</v>
      </c>
      <c r="CV173" s="14">
        <v>5</v>
      </c>
      <c r="CW173" s="14" t="s">
        <v>3887</v>
      </c>
      <c r="CX173" s="14" t="s">
        <v>2825</v>
      </c>
      <c r="CY173" s="87" t="s">
        <v>2826</v>
      </c>
      <c r="CZ173" s="87" t="s">
        <v>3859</v>
      </c>
      <c r="DA173" s="21"/>
      <c r="DB173" s="21"/>
      <c r="DC173" s="233"/>
      <c r="DD173" s="21" t="s">
        <v>2824</v>
      </c>
      <c r="DE173" s="21"/>
      <c r="DF173" s="14"/>
      <c r="DG173" s="14" t="s">
        <v>2470</v>
      </c>
      <c r="DH173" s="14">
        <v>5</v>
      </c>
      <c r="DI173" s="14" t="s">
        <v>3887</v>
      </c>
      <c r="DJ173" s="14" t="s">
        <v>2825</v>
      </c>
      <c r="DK173" s="87" t="s">
        <v>2826</v>
      </c>
      <c r="DL173" s="87" t="s">
        <v>3859</v>
      </c>
      <c r="DM173" s="21"/>
      <c r="DN173" s="21"/>
      <c r="DO173" s="233"/>
      <c r="DP173" s="21"/>
      <c r="DQ173" s="21"/>
      <c r="DR173" s="21"/>
      <c r="DS173" s="14"/>
      <c r="DT173" s="14"/>
      <c r="DU173" s="14"/>
      <c r="DV173" s="14"/>
      <c r="DW173" s="14"/>
      <c r="DX173" s="87"/>
      <c r="DY173" s="21"/>
      <c r="DZ173" s="233"/>
      <c r="EA173" s="233"/>
      <c r="EB173" s="21"/>
      <c r="EC173" s="21"/>
      <c r="ED173" s="21"/>
      <c r="EE173" s="14"/>
      <c r="EF173" s="14"/>
      <c r="EG173" s="14"/>
      <c r="EH173" s="14"/>
      <c r="EI173" s="14"/>
      <c r="EJ173" s="87"/>
      <c r="EK173" s="21"/>
      <c r="EL173" s="233"/>
      <c r="EM173" s="233"/>
      <c r="EN173" s="21" t="s">
        <v>2824</v>
      </c>
      <c r="EO173" s="21"/>
      <c r="EP173" s="14"/>
      <c r="EQ173" s="14" t="s">
        <v>2470</v>
      </c>
      <c r="ER173" s="14">
        <v>5</v>
      </c>
      <c r="ES173" s="14" t="s">
        <v>3887</v>
      </c>
      <c r="ET173" s="14" t="s">
        <v>2825</v>
      </c>
      <c r="EU173" s="87" t="s">
        <v>2826</v>
      </c>
      <c r="EV173" s="87" t="s">
        <v>3859</v>
      </c>
      <c r="EW173" s="21"/>
      <c r="EX173" s="21"/>
      <c r="EY173" s="233"/>
      <c r="EZ173" s="233"/>
      <c r="FA173" s="233"/>
      <c r="FB173" s="233"/>
      <c r="FC173" s="233"/>
      <c r="FD173" s="233"/>
    </row>
    <row r="174" spans="1:160">
      <c r="A174" s="20" t="s">
        <v>3802</v>
      </c>
      <c r="B174" s="14">
        <v>3</v>
      </c>
      <c r="C174" s="14" t="s">
        <v>3320</v>
      </c>
      <c r="D174" s="14">
        <v>2</v>
      </c>
      <c r="E174" s="110" t="s">
        <v>3749</v>
      </c>
      <c r="F174" s="14" t="s">
        <v>3898</v>
      </c>
      <c r="G174" s="44" t="s">
        <v>3612</v>
      </c>
      <c r="H174" s="107" t="s">
        <v>3606</v>
      </c>
      <c r="I174" s="44">
        <v>2</v>
      </c>
      <c r="J174" s="28" t="s">
        <v>4369</v>
      </c>
      <c r="L174" s="21" t="s">
        <v>2827</v>
      </c>
      <c r="M174" s="14"/>
      <c r="N174" s="21"/>
      <c r="O174" s="14" t="s">
        <v>2803</v>
      </c>
      <c r="P174" s="14">
        <v>6</v>
      </c>
      <c r="Q174" s="14" t="s">
        <v>2828</v>
      </c>
      <c r="R174" s="14" t="s">
        <v>3898</v>
      </c>
      <c r="S174" s="44" t="s">
        <v>2545</v>
      </c>
      <c r="T174" s="44" t="s">
        <v>3047</v>
      </c>
      <c r="U174" s="21"/>
      <c r="V174" s="21"/>
      <c r="W174" s="21"/>
      <c r="X174" s="21"/>
      <c r="Y174" s="21"/>
      <c r="Z174" s="21"/>
      <c r="AA174" s="14"/>
      <c r="AB174" s="14"/>
      <c r="AC174" s="14"/>
      <c r="AD174" s="14"/>
      <c r="AE174" s="14"/>
      <c r="AF174" s="87"/>
      <c r="AG174" s="21"/>
      <c r="AH174" s="21"/>
      <c r="AI174" s="21"/>
      <c r="AJ174" s="21"/>
      <c r="AK174" s="21"/>
      <c r="AL174" s="21"/>
      <c r="AM174" s="14"/>
      <c r="AN174" s="14"/>
      <c r="AO174" s="14"/>
      <c r="AP174" s="14"/>
      <c r="AQ174" s="14"/>
      <c r="AR174" s="87"/>
      <c r="AS174" s="21"/>
      <c r="AT174" s="21"/>
      <c r="AU174" s="21"/>
      <c r="AV174" s="21" t="s">
        <v>2829</v>
      </c>
      <c r="AW174" s="21"/>
      <c r="AX174" s="14"/>
      <c r="AY174" s="14" t="s">
        <v>2803</v>
      </c>
      <c r="AZ174" s="14">
        <v>2</v>
      </c>
      <c r="BA174" s="14" t="s">
        <v>2830</v>
      </c>
      <c r="BB174" s="14" t="s">
        <v>3573</v>
      </c>
      <c r="BC174" s="87" t="s">
        <v>3736</v>
      </c>
      <c r="BD174" s="87" t="s">
        <v>3286</v>
      </c>
      <c r="BE174" s="21"/>
      <c r="BF174" s="21"/>
      <c r="BG174" s="21"/>
      <c r="BH174" s="21"/>
      <c r="BI174" s="21"/>
      <c r="BJ174" s="21"/>
      <c r="BK174" s="14"/>
      <c r="BL174" s="14"/>
      <c r="BM174" s="14"/>
      <c r="BN174" s="14"/>
      <c r="BO174" s="14"/>
      <c r="BP174" s="87"/>
      <c r="BQ174" s="21"/>
      <c r="BR174" s="21"/>
      <c r="BS174" s="233"/>
      <c r="BT174" s="21"/>
      <c r="BU174" s="21"/>
      <c r="BV174" s="21"/>
      <c r="BW174" s="14"/>
      <c r="BX174" s="14"/>
      <c r="BY174" s="14"/>
      <c r="BZ174" s="14"/>
      <c r="CA174" s="14"/>
      <c r="CB174" s="87"/>
      <c r="CC174" s="233"/>
      <c r="CD174" s="233"/>
      <c r="CE174" s="233"/>
      <c r="CF174" s="21"/>
      <c r="CG174" s="21"/>
      <c r="CH174" s="21"/>
      <c r="CI174" s="14"/>
      <c r="CJ174" s="14"/>
      <c r="CK174" s="14"/>
      <c r="CL174" s="14"/>
      <c r="CM174" s="14"/>
      <c r="CN174" s="87"/>
      <c r="CO174" s="233"/>
      <c r="CP174" s="233"/>
      <c r="CQ174" s="233"/>
      <c r="CR174" s="21"/>
      <c r="CS174" s="21"/>
      <c r="CT174" s="21"/>
      <c r="CU174" s="14"/>
      <c r="CV174" s="14"/>
      <c r="CW174" s="14"/>
      <c r="CX174" s="14"/>
      <c r="CY174" s="14"/>
      <c r="CZ174" s="87"/>
      <c r="DA174" s="21"/>
      <c r="DB174" s="21"/>
      <c r="DC174" s="233"/>
      <c r="DD174" s="21"/>
      <c r="DE174" s="21"/>
      <c r="DF174" s="21"/>
      <c r="DG174" s="14"/>
      <c r="DH174" s="14"/>
      <c r="DI174" s="14"/>
      <c r="DJ174" s="14"/>
      <c r="DK174" s="14"/>
      <c r="DL174" s="87"/>
      <c r="DM174" s="21"/>
      <c r="DN174" s="21"/>
      <c r="DO174" s="233"/>
      <c r="DP174" s="21"/>
      <c r="DQ174" s="21"/>
      <c r="DR174" s="21"/>
      <c r="DS174" s="14"/>
      <c r="DT174" s="14"/>
      <c r="DU174" s="14"/>
      <c r="DV174" s="14"/>
      <c r="DW174" s="14"/>
      <c r="DX174" s="87"/>
      <c r="DY174" s="21"/>
      <c r="DZ174" s="233"/>
      <c r="EA174" s="233"/>
      <c r="EB174" s="21"/>
      <c r="EC174" s="21"/>
      <c r="ED174" s="21"/>
      <c r="EE174" s="14"/>
      <c r="EF174" s="14"/>
      <c r="EG174" s="14"/>
      <c r="EH174" s="14"/>
      <c r="EI174" s="14"/>
      <c r="EJ174" s="87"/>
      <c r="EK174" s="21"/>
      <c r="EL174" s="233"/>
      <c r="EM174" s="233"/>
      <c r="EN174" s="21"/>
      <c r="EO174" s="21"/>
      <c r="EP174" s="21"/>
      <c r="EQ174" s="14"/>
      <c r="ER174" s="14"/>
      <c r="ES174" s="14"/>
      <c r="ET174" s="14"/>
      <c r="EU174" s="14"/>
      <c r="EV174" s="87"/>
      <c r="EW174" s="21"/>
      <c r="EX174" s="21"/>
      <c r="EY174" s="233"/>
      <c r="EZ174" s="233"/>
      <c r="FA174" s="233"/>
      <c r="FB174" s="233"/>
      <c r="FC174" s="233"/>
      <c r="FD174" s="233"/>
    </row>
    <row r="175" spans="1:160">
      <c r="A175" s="20" t="s">
        <v>3607</v>
      </c>
      <c r="B175" s="14">
        <v>3</v>
      </c>
      <c r="C175" s="14" t="s">
        <v>3546</v>
      </c>
      <c r="D175" s="14" t="s">
        <v>5036</v>
      </c>
      <c r="E175" s="14" t="s">
        <v>3841</v>
      </c>
      <c r="F175" s="14" t="s">
        <v>3898</v>
      </c>
      <c r="G175" s="44" t="s">
        <v>3753</v>
      </c>
      <c r="H175" s="44" t="s">
        <v>3442</v>
      </c>
      <c r="I175" s="44" t="s">
        <v>3916</v>
      </c>
      <c r="J175" s="28" t="s">
        <v>4555</v>
      </c>
      <c r="L175" s="21" t="s">
        <v>2829</v>
      </c>
      <c r="M175" s="14"/>
      <c r="N175" s="21"/>
      <c r="O175" s="14" t="s">
        <v>2803</v>
      </c>
      <c r="P175" s="14">
        <v>2</v>
      </c>
      <c r="Q175" s="14" t="s">
        <v>2830</v>
      </c>
      <c r="R175" s="14" t="s">
        <v>3573</v>
      </c>
      <c r="S175" s="44" t="s">
        <v>3736</v>
      </c>
      <c r="T175" s="44" t="s">
        <v>3286</v>
      </c>
      <c r="U175" s="21"/>
      <c r="V175" s="21"/>
      <c r="W175" s="21"/>
      <c r="X175" s="21"/>
      <c r="Y175" s="21"/>
      <c r="Z175" s="21"/>
      <c r="AA175" s="14"/>
      <c r="AB175" s="14"/>
      <c r="AC175" s="14"/>
      <c r="AD175" s="14"/>
      <c r="AE175" s="14"/>
      <c r="AF175" s="87"/>
      <c r="AG175" s="21"/>
      <c r="AH175" s="21"/>
      <c r="AI175" s="21"/>
      <c r="AJ175" s="21"/>
      <c r="AK175" s="21"/>
      <c r="AL175" s="21"/>
      <c r="AM175" s="14"/>
      <c r="AN175" s="14"/>
      <c r="AO175" s="14"/>
      <c r="AP175" s="14"/>
      <c r="AQ175" s="14"/>
      <c r="AR175" s="87"/>
      <c r="AS175" s="21"/>
      <c r="AT175" s="21"/>
      <c r="AU175" s="21"/>
      <c r="AV175" s="21"/>
      <c r="AW175" s="21"/>
      <c r="AX175" s="21"/>
      <c r="AY175" s="14"/>
      <c r="AZ175" s="14"/>
      <c r="BA175" s="14"/>
      <c r="BB175" s="14"/>
      <c r="BC175" s="14"/>
      <c r="BD175" s="87"/>
      <c r="BE175" s="21"/>
      <c r="BF175" s="21"/>
      <c r="BG175" s="21"/>
      <c r="BH175" s="21"/>
      <c r="BI175" s="21"/>
      <c r="BJ175" s="21"/>
      <c r="BK175" s="14"/>
      <c r="BL175" s="14"/>
      <c r="BM175" s="14"/>
      <c r="BN175" s="14"/>
      <c r="BO175" s="14"/>
      <c r="BP175" s="87"/>
      <c r="BQ175" s="21"/>
      <c r="BR175" s="21"/>
      <c r="BS175" s="233"/>
      <c r="BT175" s="21"/>
      <c r="BU175" s="21"/>
      <c r="BV175" s="21"/>
      <c r="BW175" s="14"/>
      <c r="BX175" s="14"/>
      <c r="BY175" s="14"/>
      <c r="BZ175" s="14"/>
      <c r="CA175" s="14"/>
      <c r="CB175" s="87"/>
      <c r="CC175" s="233"/>
      <c r="CD175" s="233"/>
      <c r="CE175" s="233"/>
      <c r="CF175" s="21"/>
      <c r="CG175" s="21"/>
      <c r="CH175" s="21"/>
      <c r="CI175" s="14"/>
      <c r="CJ175" s="14"/>
      <c r="CK175" s="14"/>
      <c r="CL175" s="14"/>
      <c r="CM175" s="14"/>
      <c r="CN175" s="87"/>
      <c r="CO175" s="233"/>
      <c r="CP175" s="233"/>
      <c r="CQ175" s="233"/>
      <c r="CR175" s="21"/>
      <c r="CS175" s="21"/>
      <c r="CT175" s="21"/>
      <c r="CU175" s="14"/>
      <c r="CV175" s="14"/>
      <c r="CW175" s="14"/>
      <c r="CX175" s="14"/>
      <c r="CY175" s="14"/>
      <c r="CZ175" s="87"/>
      <c r="DA175" s="21"/>
      <c r="DB175" s="21"/>
      <c r="DC175" s="233"/>
      <c r="DD175" s="21"/>
      <c r="DE175" s="21"/>
      <c r="DF175" s="21"/>
      <c r="DG175" s="14"/>
      <c r="DH175" s="14"/>
      <c r="DI175" s="14"/>
      <c r="DJ175" s="14"/>
      <c r="DK175" s="14"/>
      <c r="DL175" s="87"/>
      <c r="DM175" s="21"/>
      <c r="DN175" s="21"/>
      <c r="DO175" s="233"/>
      <c r="DP175" s="21"/>
      <c r="DQ175" s="21"/>
      <c r="DR175" s="21"/>
      <c r="DS175" s="14"/>
      <c r="DT175" s="14"/>
      <c r="DU175" s="14"/>
      <c r="DV175" s="14"/>
      <c r="DW175" s="14"/>
      <c r="DX175" s="87"/>
      <c r="DY175" s="21"/>
      <c r="DZ175" s="233"/>
      <c r="EA175" s="233"/>
      <c r="EB175" s="21"/>
      <c r="EC175" s="21"/>
      <c r="ED175" s="21"/>
      <c r="EE175" s="14"/>
      <c r="EF175" s="14"/>
      <c r="EG175" s="14"/>
      <c r="EH175" s="14"/>
      <c r="EI175" s="14"/>
      <c r="EJ175" s="87"/>
      <c r="EK175" s="21"/>
      <c r="EL175" s="233"/>
      <c r="EM175" s="233"/>
      <c r="EN175" s="21"/>
      <c r="EO175" s="21"/>
      <c r="EP175" s="21"/>
      <c r="EQ175" s="14"/>
      <c r="ER175" s="14"/>
      <c r="ES175" s="14"/>
      <c r="ET175" s="14"/>
      <c r="EU175" s="14"/>
      <c r="EV175" s="87"/>
      <c r="EW175" s="21"/>
      <c r="EX175" s="21"/>
      <c r="EY175" s="233"/>
      <c r="EZ175" s="233"/>
      <c r="FA175" s="233"/>
      <c r="FB175" s="233"/>
      <c r="FC175" s="233"/>
      <c r="FD175" s="233"/>
    </row>
    <row r="176" spans="1:160">
      <c r="A176" s="20" t="s">
        <v>3209</v>
      </c>
      <c r="B176" s="14">
        <v>3</v>
      </c>
      <c r="C176" s="14" t="s">
        <v>3210</v>
      </c>
      <c r="D176" s="14">
        <v>1</v>
      </c>
      <c r="E176" s="110" t="s">
        <v>3211</v>
      </c>
      <c r="F176" s="14" t="s">
        <v>4000</v>
      </c>
      <c r="G176" s="44" t="s">
        <v>3212</v>
      </c>
      <c r="H176" s="44" t="s">
        <v>3213</v>
      </c>
      <c r="I176" s="44" t="s">
        <v>2895</v>
      </c>
      <c r="J176" s="28" t="s">
        <v>4946</v>
      </c>
      <c r="L176" s="21" t="s">
        <v>2632</v>
      </c>
      <c r="M176" s="14"/>
      <c r="N176" s="21"/>
      <c r="O176" s="14" t="s">
        <v>2630</v>
      </c>
      <c r="P176" s="14">
        <v>3</v>
      </c>
      <c r="Q176" s="14" t="s">
        <v>2597</v>
      </c>
      <c r="R176" s="14" t="s">
        <v>3573</v>
      </c>
      <c r="S176" s="44" t="s">
        <v>2633</v>
      </c>
      <c r="T176" s="44" t="s">
        <v>2634</v>
      </c>
      <c r="U176" s="21"/>
      <c r="V176" s="21"/>
      <c r="W176" s="21"/>
      <c r="X176" s="21"/>
      <c r="Y176" s="21"/>
      <c r="Z176" s="21"/>
      <c r="AA176" s="14"/>
      <c r="AB176" s="14"/>
      <c r="AC176" s="14"/>
      <c r="AD176" s="14"/>
      <c r="AE176" s="14"/>
      <c r="AF176" s="87"/>
      <c r="AG176" s="21"/>
      <c r="AH176" s="21"/>
      <c r="AI176" s="21"/>
      <c r="AJ176" s="21"/>
      <c r="AK176" s="21"/>
      <c r="AL176" s="21"/>
      <c r="AM176" s="14"/>
      <c r="AN176" s="14"/>
      <c r="AO176" s="14"/>
      <c r="AP176" s="14"/>
      <c r="AQ176" s="14"/>
      <c r="AR176" s="87"/>
      <c r="AS176" s="21"/>
      <c r="AT176" s="21"/>
      <c r="AU176" s="21"/>
      <c r="AV176" s="21"/>
      <c r="AW176" s="21"/>
      <c r="AX176" s="21"/>
      <c r="AY176" s="14"/>
      <c r="AZ176" s="14"/>
      <c r="BA176" s="14"/>
      <c r="BB176" s="14"/>
      <c r="BC176" s="14"/>
      <c r="BD176" s="87"/>
      <c r="BE176" s="21"/>
      <c r="BF176" s="21"/>
      <c r="BG176" s="21"/>
      <c r="BH176" s="21"/>
      <c r="BI176" s="21"/>
      <c r="BJ176" s="21"/>
      <c r="BK176" s="14"/>
      <c r="BL176" s="14"/>
      <c r="BM176" s="14"/>
      <c r="BN176" s="14"/>
      <c r="BO176" s="14"/>
      <c r="BP176" s="87"/>
      <c r="BQ176" s="21"/>
      <c r="BR176" s="21"/>
      <c r="BS176" s="233"/>
      <c r="BT176" s="21"/>
      <c r="BU176" s="21"/>
      <c r="BV176" s="21"/>
      <c r="BW176" s="14"/>
      <c r="BX176" s="14"/>
      <c r="BY176" s="14"/>
      <c r="BZ176" s="14"/>
      <c r="CA176" s="14"/>
      <c r="CB176" s="87"/>
      <c r="CC176" s="233"/>
      <c r="CD176" s="233"/>
      <c r="CE176" s="233"/>
      <c r="CF176" s="21"/>
      <c r="CG176" s="21"/>
      <c r="CH176" s="21"/>
      <c r="CI176" s="14"/>
      <c r="CJ176" s="14"/>
      <c r="CK176" s="14"/>
      <c r="CL176" s="14"/>
      <c r="CM176" s="14"/>
      <c r="CN176" s="87"/>
      <c r="CO176" s="233"/>
      <c r="CP176" s="233"/>
      <c r="CQ176" s="233"/>
      <c r="CR176" s="21"/>
      <c r="CS176" s="21"/>
      <c r="CT176" s="21"/>
      <c r="CU176" s="14"/>
      <c r="CV176" s="14"/>
      <c r="CW176" s="14"/>
      <c r="CX176" s="14"/>
      <c r="CY176" s="14"/>
      <c r="CZ176" s="87"/>
      <c r="DA176" s="21"/>
      <c r="DB176" s="21"/>
      <c r="DC176" s="233"/>
      <c r="DD176" s="21"/>
      <c r="DE176" s="21"/>
      <c r="DF176" s="21"/>
      <c r="DG176" s="14"/>
      <c r="DH176" s="14"/>
      <c r="DI176" s="14"/>
      <c r="DJ176" s="14"/>
      <c r="DK176" s="14"/>
      <c r="DL176" s="87"/>
      <c r="DM176" s="21"/>
      <c r="DN176" s="21"/>
      <c r="DO176" s="233"/>
      <c r="DP176" s="21"/>
      <c r="DQ176" s="21"/>
      <c r="DR176" s="21"/>
      <c r="DS176" s="14"/>
      <c r="DT176" s="14"/>
      <c r="DU176" s="14"/>
      <c r="DV176" s="14"/>
      <c r="DW176" s="14"/>
      <c r="DX176" s="87"/>
      <c r="DY176" s="21"/>
      <c r="DZ176" s="233"/>
      <c r="EA176" s="233"/>
      <c r="EB176" s="21"/>
      <c r="EC176" s="21"/>
      <c r="ED176" s="21"/>
      <c r="EE176" s="14"/>
      <c r="EF176" s="14"/>
      <c r="EG176" s="14"/>
      <c r="EH176" s="14"/>
      <c r="EI176" s="14"/>
      <c r="EJ176" s="87"/>
      <c r="EK176" s="21"/>
      <c r="EL176" s="233"/>
      <c r="EM176" s="233"/>
      <c r="EN176" s="21"/>
      <c r="EO176" s="21"/>
      <c r="EP176" s="21"/>
      <c r="EQ176" s="14"/>
      <c r="ER176" s="14"/>
      <c r="ES176" s="14"/>
      <c r="ET176" s="14"/>
      <c r="EU176" s="14"/>
      <c r="EV176" s="87"/>
      <c r="EW176" s="21"/>
      <c r="EX176" s="21"/>
      <c r="EY176" s="233"/>
      <c r="EZ176" s="233"/>
      <c r="FA176" s="233"/>
      <c r="FB176" s="233"/>
      <c r="FC176" s="233"/>
      <c r="FD176" s="233"/>
    </row>
    <row r="177" spans="1:160">
      <c r="A177" s="20" t="s">
        <v>3409</v>
      </c>
      <c r="B177" s="14">
        <v>3</v>
      </c>
      <c r="C177" s="14" t="s">
        <v>3410</v>
      </c>
      <c r="D177" s="14">
        <v>1</v>
      </c>
      <c r="E177" s="110" t="s">
        <v>3667</v>
      </c>
      <c r="F177" s="14" t="s">
        <v>3914</v>
      </c>
      <c r="G177" s="44" t="s">
        <v>3736</v>
      </c>
      <c r="H177" s="44" t="s">
        <v>3746</v>
      </c>
      <c r="I177" s="44" t="s">
        <v>3900</v>
      </c>
      <c r="J177" s="28" t="s">
        <v>5232</v>
      </c>
      <c r="L177" s="26" t="s">
        <v>5215</v>
      </c>
      <c r="M177" s="21"/>
      <c r="N177" s="108" t="s">
        <v>5018</v>
      </c>
      <c r="O177" s="108" t="s">
        <v>5701</v>
      </c>
      <c r="P177" s="108" t="s">
        <v>5019</v>
      </c>
      <c r="Q177" s="108" t="s">
        <v>5020</v>
      </c>
      <c r="R177" s="108" t="s">
        <v>5021</v>
      </c>
      <c r="S177" s="108" t="s">
        <v>5022</v>
      </c>
      <c r="T177" s="282" t="s">
        <v>5316</v>
      </c>
      <c r="U177" s="26"/>
      <c r="V177" s="21"/>
      <c r="W177" s="21"/>
      <c r="X177" s="26" t="s">
        <v>5215</v>
      </c>
      <c r="Y177" s="21"/>
      <c r="Z177" s="108" t="s">
        <v>5018</v>
      </c>
      <c r="AA177" s="108" t="s">
        <v>5701</v>
      </c>
      <c r="AB177" s="108" t="s">
        <v>5019</v>
      </c>
      <c r="AC177" s="108" t="s">
        <v>5020</v>
      </c>
      <c r="AD177" s="108" t="s">
        <v>5021</v>
      </c>
      <c r="AE177" s="108" t="s">
        <v>5022</v>
      </c>
      <c r="AF177" s="282" t="s">
        <v>5316</v>
      </c>
      <c r="AG177" s="26"/>
      <c r="AH177" s="21"/>
      <c r="AI177" s="21"/>
      <c r="AJ177" s="26" t="s">
        <v>5215</v>
      </c>
      <c r="AK177" s="21"/>
      <c r="AL177" s="108" t="s">
        <v>5018</v>
      </c>
      <c r="AM177" s="108" t="s">
        <v>5701</v>
      </c>
      <c r="AN177" s="108" t="s">
        <v>5019</v>
      </c>
      <c r="AO177" s="108" t="s">
        <v>5020</v>
      </c>
      <c r="AP177" s="108" t="s">
        <v>5021</v>
      </c>
      <c r="AQ177" s="108" t="s">
        <v>5022</v>
      </c>
      <c r="AR177" s="282" t="s">
        <v>5316</v>
      </c>
      <c r="AS177" s="26"/>
      <c r="AT177" s="21"/>
      <c r="AU177" s="21"/>
      <c r="AV177" s="26" t="s">
        <v>5215</v>
      </c>
      <c r="AW177" s="21"/>
      <c r="AX177" s="108" t="s">
        <v>5018</v>
      </c>
      <c r="AY177" s="108" t="s">
        <v>5701</v>
      </c>
      <c r="AZ177" s="108" t="s">
        <v>5019</v>
      </c>
      <c r="BA177" s="108" t="s">
        <v>5020</v>
      </c>
      <c r="BB177" s="108" t="s">
        <v>5021</v>
      </c>
      <c r="BC177" s="108" t="s">
        <v>5022</v>
      </c>
      <c r="BD177" s="282" t="s">
        <v>5316</v>
      </c>
      <c r="BE177" s="26"/>
      <c r="BF177" s="21"/>
      <c r="BG177" s="21"/>
      <c r="BH177" s="26" t="s">
        <v>5215</v>
      </c>
      <c r="BI177" s="21"/>
      <c r="BJ177" s="108" t="s">
        <v>5018</v>
      </c>
      <c r="BK177" s="108" t="s">
        <v>5701</v>
      </c>
      <c r="BL177" s="108" t="s">
        <v>5019</v>
      </c>
      <c r="BM177" s="108" t="s">
        <v>5020</v>
      </c>
      <c r="BN177" s="108" t="s">
        <v>5021</v>
      </c>
      <c r="BO177" s="108" t="s">
        <v>5022</v>
      </c>
      <c r="BP177" s="282" t="s">
        <v>5316</v>
      </c>
      <c r="BQ177" s="26"/>
      <c r="BR177" s="21"/>
      <c r="BS177" s="233"/>
      <c r="BT177" s="26" t="s">
        <v>5215</v>
      </c>
      <c r="BU177" s="21"/>
      <c r="BV177" s="108" t="s">
        <v>5018</v>
      </c>
      <c r="BW177" s="108" t="s">
        <v>5701</v>
      </c>
      <c r="BX177" s="108" t="s">
        <v>5019</v>
      </c>
      <c r="BY177" s="108" t="s">
        <v>5020</v>
      </c>
      <c r="BZ177" s="108" t="s">
        <v>5021</v>
      </c>
      <c r="CA177" s="108" t="s">
        <v>5022</v>
      </c>
      <c r="CB177" s="282" t="s">
        <v>5316</v>
      </c>
      <c r="CC177" s="233"/>
      <c r="CD177" s="233"/>
      <c r="CE177" s="233"/>
      <c r="CF177" s="26" t="s">
        <v>5215</v>
      </c>
      <c r="CG177" s="21"/>
      <c r="CH177" s="108" t="s">
        <v>5018</v>
      </c>
      <c r="CI177" s="108" t="s">
        <v>5701</v>
      </c>
      <c r="CJ177" s="108" t="s">
        <v>5019</v>
      </c>
      <c r="CK177" s="108" t="s">
        <v>5020</v>
      </c>
      <c r="CL177" s="108" t="s">
        <v>5021</v>
      </c>
      <c r="CM177" s="108" t="s">
        <v>5022</v>
      </c>
      <c r="CN177" s="282" t="s">
        <v>5316</v>
      </c>
      <c r="CO177" s="233"/>
      <c r="CP177" s="233"/>
      <c r="CQ177" s="233"/>
      <c r="CR177" s="26" t="s">
        <v>5215</v>
      </c>
      <c r="CS177" s="21"/>
      <c r="CT177" s="108" t="s">
        <v>5018</v>
      </c>
      <c r="CU177" s="108" t="s">
        <v>5701</v>
      </c>
      <c r="CV177" s="108" t="s">
        <v>5019</v>
      </c>
      <c r="CW177" s="108" t="s">
        <v>5020</v>
      </c>
      <c r="CX177" s="108" t="s">
        <v>5021</v>
      </c>
      <c r="CY177" s="108" t="s">
        <v>5022</v>
      </c>
      <c r="CZ177" s="282" t="s">
        <v>5316</v>
      </c>
      <c r="DA177" s="26"/>
      <c r="DB177" s="21"/>
      <c r="DC177" s="233"/>
      <c r="DD177" s="26" t="s">
        <v>5215</v>
      </c>
      <c r="DE177" s="21"/>
      <c r="DF177" s="108" t="s">
        <v>5018</v>
      </c>
      <c r="DG177" s="108" t="s">
        <v>5701</v>
      </c>
      <c r="DH177" s="108" t="s">
        <v>5019</v>
      </c>
      <c r="DI177" s="108" t="s">
        <v>5020</v>
      </c>
      <c r="DJ177" s="108" t="s">
        <v>5021</v>
      </c>
      <c r="DK177" s="108" t="s">
        <v>5022</v>
      </c>
      <c r="DL177" s="282" t="s">
        <v>5316</v>
      </c>
      <c r="DM177" s="26"/>
      <c r="DN177" s="21"/>
      <c r="DO177" s="233"/>
      <c r="DP177" s="26" t="s">
        <v>5215</v>
      </c>
      <c r="DQ177" s="21"/>
      <c r="DR177" s="108" t="s">
        <v>5018</v>
      </c>
      <c r="DS177" s="108" t="s">
        <v>5701</v>
      </c>
      <c r="DT177" s="108" t="s">
        <v>5019</v>
      </c>
      <c r="DU177" s="108" t="s">
        <v>5020</v>
      </c>
      <c r="DV177" s="108" t="s">
        <v>5021</v>
      </c>
      <c r="DW177" s="108" t="s">
        <v>5022</v>
      </c>
      <c r="DX177" s="282" t="s">
        <v>5316</v>
      </c>
      <c r="DY177" s="26"/>
      <c r="DZ177" s="233"/>
      <c r="EA177" s="233"/>
      <c r="EB177" s="26" t="s">
        <v>5215</v>
      </c>
      <c r="EC177" s="21"/>
      <c r="ED177" s="108" t="s">
        <v>5018</v>
      </c>
      <c r="EE177" s="108" t="s">
        <v>5701</v>
      </c>
      <c r="EF177" s="108" t="s">
        <v>5019</v>
      </c>
      <c r="EG177" s="108" t="s">
        <v>5020</v>
      </c>
      <c r="EH177" s="108" t="s">
        <v>5021</v>
      </c>
      <c r="EI177" s="108" t="s">
        <v>5022</v>
      </c>
      <c r="EJ177" s="282" t="s">
        <v>5316</v>
      </c>
      <c r="EK177" s="26"/>
      <c r="EL177" s="233"/>
      <c r="EM177" s="233"/>
      <c r="EN177" s="26" t="s">
        <v>5215</v>
      </c>
      <c r="EO177" s="21"/>
      <c r="EP177" s="108" t="s">
        <v>5018</v>
      </c>
      <c r="EQ177" s="108" t="s">
        <v>5701</v>
      </c>
      <c r="ER177" s="108" t="s">
        <v>5019</v>
      </c>
      <c r="ES177" s="108" t="s">
        <v>5020</v>
      </c>
      <c r="ET177" s="108" t="s">
        <v>5021</v>
      </c>
      <c r="EU177" s="108" t="s">
        <v>5022</v>
      </c>
      <c r="EV177" s="282" t="s">
        <v>5316</v>
      </c>
      <c r="EW177" s="26"/>
      <c r="EX177" s="21"/>
      <c r="EY177" s="233"/>
      <c r="EZ177" s="233"/>
      <c r="FA177" s="233"/>
      <c r="FB177" s="233"/>
      <c r="FC177" s="233"/>
      <c r="FD177" s="233"/>
    </row>
    <row r="178" spans="1:160">
      <c r="A178" s="20" t="s">
        <v>3445</v>
      </c>
      <c r="B178" s="14">
        <v>3</v>
      </c>
      <c r="C178" s="14" t="s">
        <v>3446</v>
      </c>
      <c r="D178" s="14">
        <v>2</v>
      </c>
      <c r="E178" s="110" t="s">
        <v>3233</v>
      </c>
      <c r="F178" s="14" t="s">
        <v>3936</v>
      </c>
      <c r="G178" s="231" t="s">
        <v>3550</v>
      </c>
      <c r="H178" s="111" t="s">
        <v>3447</v>
      </c>
      <c r="I178" s="44">
        <v>6</v>
      </c>
      <c r="J178" s="28" t="s">
        <v>4369</v>
      </c>
      <c r="L178" s="21" t="s">
        <v>2832</v>
      </c>
      <c r="M178" s="21"/>
      <c r="N178" s="14"/>
      <c r="O178" s="14" t="s">
        <v>2833</v>
      </c>
      <c r="P178" s="14">
        <v>7</v>
      </c>
      <c r="Q178" s="14" t="s">
        <v>2993</v>
      </c>
      <c r="R178" s="14" t="s">
        <v>3898</v>
      </c>
      <c r="S178" s="14" t="s">
        <v>3706</v>
      </c>
      <c r="T178" s="87" t="s">
        <v>3351</v>
      </c>
      <c r="U178" s="14"/>
      <c r="V178" s="21"/>
      <c r="W178" s="21"/>
      <c r="X178" s="21" t="s">
        <v>2994</v>
      </c>
      <c r="Y178" s="21"/>
      <c r="Z178" s="14"/>
      <c r="AA178" s="14" t="s">
        <v>2537</v>
      </c>
      <c r="AB178" s="14">
        <v>4</v>
      </c>
      <c r="AC178" s="14" t="s">
        <v>2995</v>
      </c>
      <c r="AD178" s="14" t="s">
        <v>3898</v>
      </c>
      <c r="AE178" s="87" t="s">
        <v>3164</v>
      </c>
      <c r="AF178" s="87" t="s">
        <v>2981</v>
      </c>
      <c r="AG178" s="14"/>
      <c r="AH178" s="21"/>
      <c r="AI178" s="21"/>
      <c r="AJ178" s="21" t="s">
        <v>3165</v>
      </c>
      <c r="AK178" s="21"/>
      <c r="AL178" s="14"/>
      <c r="AM178" s="14" t="s">
        <v>3199</v>
      </c>
      <c r="AN178" s="14">
        <v>6</v>
      </c>
      <c r="AO178" s="110" t="s">
        <v>2868</v>
      </c>
      <c r="AP178" s="14" t="s">
        <v>3898</v>
      </c>
      <c r="AQ178" s="111" t="s">
        <v>3651</v>
      </c>
      <c r="AR178" s="111" t="s">
        <v>3166</v>
      </c>
      <c r="AS178" s="14"/>
      <c r="AT178" s="21"/>
      <c r="AU178" s="21"/>
      <c r="AV178" s="21" t="s">
        <v>3167</v>
      </c>
      <c r="AW178" s="21"/>
      <c r="AX178" s="14"/>
      <c r="AY178" s="14" t="s">
        <v>3168</v>
      </c>
      <c r="AZ178" s="14" t="s">
        <v>3884</v>
      </c>
      <c r="BA178" s="14" t="s">
        <v>2543</v>
      </c>
      <c r="BB178" s="14" t="s">
        <v>3898</v>
      </c>
      <c r="BC178" s="87" t="s">
        <v>2545</v>
      </c>
      <c r="BD178" s="87" t="s">
        <v>3169</v>
      </c>
      <c r="BE178" s="14"/>
      <c r="BF178" s="21"/>
      <c r="BG178" s="21"/>
      <c r="BH178" s="21" t="s">
        <v>3170</v>
      </c>
      <c r="BI178" s="21"/>
      <c r="BJ178" s="14"/>
      <c r="BK178" s="14" t="s">
        <v>2467</v>
      </c>
      <c r="BL178" s="14">
        <v>4</v>
      </c>
      <c r="BM178" s="14" t="s">
        <v>3001</v>
      </c>
      <c r="BN178" s="14" t="s">
        <v>3854</v>
      </c>
      <c r="BO178" s="87" t="s">
        <v>3765</v>
      </c>
      <c r="BP178" s="87" t="s">
        <v>3002</v>
      </c>
      <c r="BQ178" s="14"/>
      <c r="BR178" s="21"/>
      <c r="BS178" s="233"/>
      <c r="BT178" s="21" t="s">
        <v>3167</v>
      </c>
      <c r="BU178" s="21"/>
      <c r="BV178" s="14"/>
      <c r="BW178" s="14" t="s">
        <v>3168</v>
      </c>
      <c r="BX178" s="14" t="s">
        <v>3884</v>
      </c>
      <c r="BY178" s="14" t="s">
        <v>2543</v>
      </c>
      <c r="BZ178" s="14" t="s">
        <v>3898</v>
      </c>
      <c r="CA178" s="87" t="s">
        <v>2545</v>
      </c>
      <c r="CB178" s="87" t="s">
        <v>3169</v>
      </c>
      <c r="CC178" s="233"/>
      <c r="CD178" s="233"/>
      <c r="CE178" s="233"/>
      <c r="CF178" s="21" t="s">
        <v>3170</v>
      </c>
      <c r="CG178" s="21"/>
      <c r="CH178" s="14"/>
      <c r="CI178" s="14" t="s">
        <v>2467</v>
      </c>
      <c r="CJ178" s="14">
        <v>4</v>
      </c>
      <c r="CK178" s="14" t="s">
        <v>3001</v>
      </c>
      <c r="CL178" s="14" t="s">
        <v>3854</v>
      </c>
      <c r="CM178" s="87" t="s">
        <v>3765</v>
      </c>
      <c r="CN178" s="87" t="s">
        <v>3002</v>
      </c>
      <c r="CO178" s="233"/>
      <c r="CP178" s="233"/>
      <c r="CQ178" s="233"/>
      <c r="CR178" s="21" t="s">
        <v>2994</v>
      </c>
      <c r="CS178" s="21"/>
      <c r="CT178" s="14"/>
      <c r="CU178" s="14" t="s">
        <v>2537</v>
      </c>
      <c r="CV178" s="14">
        <v>4</v>
      </c>
      <c r="CW178" s="14" t="s">
        <v>2995</v>
      </c>
      <c r="CX178" s="14" t="s">
        <v>3898</v>
      </c>
      <c r="CY178" s="87" t="s">
        <v>3164</v>
      </c>
      <c r="CZ178" s="87" t="s">
        <v>2981</v>
      </c>
      <c r="DA178" s="14"/>
      <c r="DB178" s="21"/>
      <c r="DC178" s="233"/>
      <c r="DD178" s="21" t="s">
        <v>2994</v>
      </c>
      <c r="DE178" s="21"/>
      <c r="DF178" s="14"/>
      <c r="DG178" s="14" t="s">
        <v>2537</v>
      </c>
      <c r="DH178" s="14">
        <v>4</v>
      </c>
      <c r="DI178" s="14" t="s">
        <v>2995</v>
      </c>
      <c r="DJ178" s="14" t="s">
        <v>3898</v>
      </c>
      <c r="DK178" s="87" t="s">
        <v>3164</v>
      </c>
      <c r="DL178" s="87" t="s">
        <v>2981</v>
      </c>
      <c r="DM178" s="14"/>
      <c r="DN178" s="21"/>
      <c r="DO178" s="233"/>
      <c r="DP178" s="21"/>
      <c r="DQ178" s="21"/>
      <c r="DR178" s="14"/>
      <c r="DS178" s="14"/>
      <c r="DT178" s="14"/>
      <c r="DU178" s="110"/>
      <c r="DV178" s="14"/>
      <c r="DW178" s="111"/>
      <c r="DX178" s="111"/>
      <c r="DY178" s="14"/>
      <c r="DZ178" s="233"/>
      <c r="EA178" s="233"/>
      <c r="EB178" s="21" t="s">
        <v>3165</v>
      </c>
      <c r="EC178" s="21"/>
      <c r="ED178" s="14"/>
      <c r="EE178" s="14" t="s">
        <v>3199</v>
      </c>
      <c r="EF178" s="14">
        <v>6</v>
      </c>
      <c r="EG178" s="110" t="s">
        <v>2868</v>
      </c>
      <c r="EH178" s="14" t="s">
        <v>3898</v>
      </c>
      <c r="EI178" s="111" t="s">
        <v>3651</v>
      </c>
      <c r="EJ178" s="111" t="s">
        <v>3166</v>
      </c>
      <c r="EK178" s="14"/>
      <c r="EL178" s="233"/>
      <c r="EM178" s="233"/>
      <c r="EN178" s="21" t="s">
        <v>2994</v>
      </c>
      <c r="EO178" s="21"/>
      <c r="EP178" s="14"/>
      <c r="EQ178" s="14" t="s">
        <v>2537</v>
      </c>
      <c r="ER178" s="14">
        <v>4</v>
      </c>
      <c r="ES178" s="14" t="s">
        <v>2995</v>
      </c>
      <c r="ET178" s="14" t="s">
        <v>3898</v>
      </c>
      <c r="EU178" s="87" t="s">
        <v>3164</v>
      </c>
      <c r="EV178" s="87" t="s">
        <v>2981</v>
      </c>
      <c r="EW178" s="14"/>
      <c r="EX178" s="21"/>
      <c r="EY178" s="233"/>
      <c r="EZ178" s="233"/>
      <c r="FA178" s="233"/>
      <c r="FB178" s="233"/>
      <c r="FC178" s="233"/>
      <c r="FD178" s="233"/>
    </row>
    <row r="179" spans="1:160">
      <c r="A179" s="283" t="s">
        <v>341</v>
      </c>
      <c r="B179" s="284">
        <v>3</v>
      </c>
      <c r="C179" s="284" t="s">
        <v>5753</v>
      </c>
      <c r="D179" s="284">
        <v>2</v>
      </c>
      <c r="E179" s="285" t="s">
        <v>3858</v>
      </c>
      <c r="F179" s="284" t="s">
        <v>3898</v>
      </c>
      <c r="G179" s="286" t="s">
        <v>3570</v>
      </c>
      <c r="H179" s="286" t="s">
        <v>342</v>
      </c>
      <c r="I179" s="286" t="s">
        <v>3900</v>
      </c>
      <c r="J179" s="287" t="s">
        <v>5232</v>
      </c>
      <c r="L179" s="21" t="s">
        <v>2994</v>
      </c>
      <c r="M179" s="21"/>
      <c r="N179" s="14"/>
      <c r="O179" s="14" t="s">
        <v>2537</v>
      </c>
      <c r="P179" s="14">
        <v>4</v>
      </c>
      <c r="Q179" s="14" t="s">
        <v>2995</v>
      </c>
      <c r="R179" s="14" t="s">
        <v>3898</v>
      </c>
      <c r="S179" s="14" t="s">
        <v>3164</v>
      </c>
      <c r="T179" s="87" t="s">
        <v>2981</v>
      </c>
      <c r="U179" s="14"/>
      <c r="V179" s="21"/>
      <c r="W179" s="21"/>
      <c r="X179" s="21"/>
      <c r="Y179" s="21"/>
      <c r="Z179" s="14"/>
      <c r="AA179" s="14"/>
      <c r="AB179" s="14"/>
      <c r="AC179" s="14"/>
      <c r="AD179" s="14"/>
      <c r="AE179" s="14"/>
      <c r="AF179" s="87"/>
      <c r="AG179" s="14"/>
      <c r="AH179" s="21"/>
      <c r="AI179" s="21"/>
      <c r="AJ179" s="21" t="s">
        <v>2637</v>
      </c>
      <c r="AK179" s="21"/>
      <c r="AL179" s="14"/>
      <c r="AM179" s="14" t="s">
        <v>2983</v>
      </c>
      <c r="AN179" s="14">
        <v>6</v>
      </c>
      <c r="AO179" s="106" t="s">
        <v>2957</v>
      </c>
      <c r="AP179" s="14" t="s">
        <v>3003</v>
      </c>
      <c r="AQ179" s="14" t="s">
        <v>3843</v>
      </c>
      <c r="AR179" s="14" t="s">
        <v>3004</v>
      </c>
      <c r="AS179" s="14"/>
      <c r="AT179" s="21"/>
      <c r="AU179" s="21"/>
      <c r="AV179" s="21" t="s">
        <v>2832</v>
      </c>
      <c r="AW179" s="21"/>
      <c r="AX179" s="14"/>
      <c r="AY179" s="14" t="s">
        <v>2833</v>
      </c>
      <c r="AZ179" s="14">
        <v>7</v>
      </c>
      <c r="BA179" s="14" t="s">
        <v>2993</v>
      </c>
      <c r="BB179" s="14" t="s">
        <v>3898</v>
      </c>
      <c r="BC179" s="87" t="s">
        <v>3706</v>
      </c>
      <c r="BD179" s="87" t="s">
        <v>3351</v>
      </c>
      <c r="BE179" s="14"/>
      <c r="BF179" s="21"/>
      <c r="BG179" s="21"/>
      <c r="BH179" s="21"/>
      <c r="BI179" s="21"/>
      <c r="BJ179" s="14"/>
      <c r="BK179" s="14"/>
      <c r="BL179" s="14"/>
      <c r="BM179" s="14"/>
      <c r="BN179" s="14"/>
      <c r="BO179" s="14"/>
      <c r="BP179" s="87"/>
      <c r="BQ179" s="14"/>
      <c r="BR179" s="21"/>
      <c r="BS179" s="233"/>
      <c r="BT179" s="21" t="s">
        <v>3005</v>
      </c>
      <c r="BU179" s="21"/>
      <c r="BV179" s="14"/>
      <c r="BW179" s="112" t="s">
        <v>3404</v>
      </c>
      <c r="BX179" s="14" t="s">
        <v>2617</v>
      </c>
      <c r="BY179" s="106" t="s">
        <v>2737</v>
      </c>
      <c r="BZ179" s="14" t="s">
        <v>3006</v>
      </c>
      <c r="CA179" s="87" t="s">
        <v>2548</v>
      </c>
      <c r="CB179" s="44" t="s">
        <v>3007</v>
      </c>
      <c r="CC179" s="233"/>
      <c r="CD179" s="233"/>
      <c r="CE179" s="233"/>
      <c r="CF179" s="21"/>
      <c r="CG179" s="21"/>
      <c r="CH179" s="14"/>
      <c r="CI179" s="14"/>
      <c r="CJ179" s="14"/>
      <c r="CK179" s="14"/>
      <c r="CL179" s="14"/>
      <c r="CM179" s="14"/>
      <c r="CN179" s="87"/>
      <c r="CO179" s="233"/>
      <c r="CP179" s="233"/>
      <c r="CQ179" s="233"/>
      <c r="CR179" s="21"/>
      <c r="CS179" s="21"/>
      <c r="CT179" s="14"/>
      <c r="CU179" s="14"/>
      <c r="CV179" s="14"/>
      <c r="CW179" s="14"/>
      <c r="CX179" s="14"/>
      <c r="CY179" s="14"/>
      <c r="CZ179" s="87"/>
      <c r="DA179" s="14"/>
      <c r="DB179" s="21"/>
      <c r="DC179" s="233"/>
      <c r="DD179" s="21"/>
      <c r="DE179" s="21"/>
      <c r="DF179" s="14"/>
      <c r="DG179" s="14"/>
      <c r="DH179" s="14"/>
      <c r="DI179" s="14"/>
      <c r="DJ179" s="14"/>
      <c r="DK179" s="14"/>
      <c r="DL179" s="87"/>
      <c r="DM179" s="14"/>
      <c r="DN179" s="21"/>
      <c r="DO179" s="233"/>
      <c r="DP179" s="21"/>
      <c r="DQ179" s="21"/>
      <c r="DR179" s="14"/>
      <c r="DS179" s="14"/>
      <c r="DT179" s="14"/>
      <c r="DU179" s="14"/>
      <c r="DV179" s="14"/>
      <c r="DW179" s="14"/>
      <c r="DX179" s="87"/>
      <c r="DY179" s="14"/>
      <c r="DZ179" s="233"/>
      <c r="EA179" s="233"/>
      <c r="EB179" s="21" t="s">
        <v>2637</v>
      </c>
      <c r="EC179" s="21"/>
      <c r="ED179" s="14"/>
      <c r="EE179" s="14" t="s">
        <v>2983</v>
      </c>
      <c r="EF179" s="14">
        <v>6</v>
      </c>
      <c r="EG179" s="106" t="s">
        <v>2957</v>
      </c>
      <c r="EH179" s="14" t="s">
        <v>3003</v>
      </c>
      <c r="EI179" s="14" t="s">
        <v>3843</v>
      </c>
      <c r="EJ179" s="14" t="s">
        <v>3004</v>
      </c>
      <c r="EK179" s="14"/>
      <c r="EL179" s="233"/>
      <c r="EM179" s="233"/>
      <c r="EN179" s="21"/>
      <c r="EO179" s="21"/>
      <c r="EP179" s="14"/>
      <c r="EQ179" s="14"/>
      <c r="ER179" s="14"/>
      <c r="ES179" s="14"/>
      <c r="ET179" s="14"/>
      <c r="EU179" s="14"/>
      <c r="EV179" s="87"/>
      <c r="EW179" s="14"/>
      <c r="EX179" s="21"/>
      <c r="EY179" s="233"/>
      <c r="EZ179" s="233"/>
      <c r="FA179" s="233"/>
      <c r="FB179" s="233"/>
      <c r="FC179" s="233"/>
      <c r="FD179" s="233"/>
    </row>
    <row r="180" spans="1:160">
      <c r="A180" s="20" t="s">
        <v>3284</v>
      </c>
      <c r="B180" s="14">
        <v>3</v>
      </c>
      <c r="C180" s="14" t="s">
        <v>3455</v>
      </c>
      <c r="D180" s="14">
        <v>0</v>
      </c>
      <c r="E180" s="197" t="s">
        <v>3553</v>
      </c>
      <c r="F180" s="14" t="s">
        <v>3573</v>
      </c>
      <c r="G180" s="111" t="s">
        <v>3736</v>
      </c>
      <c r="H180" s="111" t="s">
        <v>3859</v>
      </c>
      <c r="I180" s="44" t="s">
        <v>3900</v>
      </c>
      <c r="J180" s="28" t="s">
        <v>4555</v>
      </c>
      <c r="L180" s="21"/>
      <c r="M180" s="21"/>
      <c r="N180" s="14"/>
      <c r="O180" s="14"/>
      <c r="P180" s="14"/>
      <c r="Q180" s="14"/>
      <c r="R180" s="14"/>
      <c r="S180" s="14"/>
      <c r="T180" s="87"/>
      <c r="U180" s="14"/>
      <c r="V180" s="21"/>
      <c r="W180" s="21"/>
      <c r="X180" s="21"/>
      <c r="Y180" s="21"/>
      <c r="Z180" s="14"/>
      <c r="AA180" s="14"/>
      <c r="AB180" s="14"/>
      <c r="AC180" s="14"/>
      <c r="AD180" s="14"/>
      <c r="AE180" s="14"/>
      <c r="AF180" s="87"/>
      <c r="AG180" s="14"/>
      <c r="AH180" s="21"/>
      <c r="AI180" s="21"/>
      <c r="AJ180" s="21"/>
      <c r="AK180" s="21"/>
      <c r="AL180" s="14"/>
      <c r="AM180" s="14"/>
      <c r="AN180" s="14"/>
      <c r="AO180" s="14"/>
      <c r="AP180" s="14"/>
      <c r="AQ180" s="14"/>
      <c r="AR180" s="87"/>
      <c r="AS180" s="14"/>
      <c r="AT180" s="21"/>
      <c r="AU180" s="21"/>
      <c r="AV180" s="21" t="s">
        <v>2518</v>
      </c>
      <c r="AW180" s="21"/>
      <c r="AX180" s="14"/>
      <c r="AY180" s="14" t="s">
        <v>2519</v>
      </c>
      <c r="AZ180" s="14">
        <v>7</v>
      </c>
      <c r="BA180" s="14" t="s">
        <v>2520</v>
      </c>
      <c r="BB180" s="14" t="s">
        <v>3898</v>
      </c>
      <c r="BC180" s="87" t="s">
        <v>2521</v>
      </c>
      <c r="BD180" s="87" t="s">
        <v>2522</v>
      </c>
      <c r="BE180" s="14"/>
      <c r="BF180" s="21"/>
      <c r="BG180" s="21"/>
      <c r="BH180" s="21"/>
      <c r="BI180" s="21"/>
      <c r="BJ180" s="14"/>
      <c r="BK180" s="14"/>
      <c r="BL180" s="14"/>
      <c r="BM180" s="14"/>
      <c r="BN180" s="14"/>
      <c r="BO180" s="14"/>
      <c r="BP180" s="87"/>
      <c r="BQ180" s="14"/>
      <c r="BR180" s="21"/>
      <c r="BS180" s="233"/>
      <c r="BT180" s="21" t="s">
        <v>2523</v>
      </c>
      <c r="BU180" s="21"/>
      <c r="BV180" s="14"/>
      <c r="BW180" s="14" t="s">
        <v>3669</v>
      </c>
      <c r="BX180" s="14">
        <v>4</v>
      </c>
      <c r="BY180" s="106" t="s">
        <v>2524</v>
      </c>
      <c r="BZ180" s="14" t="s">
        <v>3898</v>
      </c>
      <c r="CA180" s="87" t="s">
        <v>2525</v>
      </c>
      <c r="CB180" s="44" t="s">
        <v>2387</v>
      </c>
      <c r="CC180" s="233"/>
      <c r="CD180" s="233"/>
      <c r="CE180" s="233"/>
      <c r="CF180" s="21"/>
      <c r="CG180" s="21"/>
      <c r="CH180" s="14"/>
      <c r="CI180" s="14"/>
      <c r="CJ180" s="14"/>
      <c r="CK180" s="14"/>
      <c r="CL180" s="14"/>
      <c r="CM180" s="14"/>
      <c r="CN180" s="87"/>
      <c r="CO180" s="233"/>
      <c r="CP180" s="233"/>
      <c r="CQ180" s="233"/>
      <c r="CR180" s="21"/>
      <c r="CS180" s="21"/>
      <c r="CT180" s="14"/>
      <c r="CU180" s="14"/>
      <c r="CV180" s="14"/>
      <c r="CW180" s="14"/>
      <c r="CX180" s="14"/>
      <c r="CY180" s="14"/>
      <c r="CZ180" s="87"/>
      <c r="DA180" s="14"/>
      <c r="DB180" s="21"/>
      <c r="DC180" s="233"/>
      <c r="DD180" s="21"/>
      <c r="DE180" s="21"/>
      <c r="DF180" s="14"/>
      <c r="DG180" s="14"/>
      <c r="DH180" s="14"/>
      <c r="DI180" s="14"/>
      <c r="DJ180" s="14"/>
      <c r="DK180" s="14"/>
      <c r="DL180" s="87"/>
      <c r="DM180" s="14"/>
      <c r="DN180" s="21"/>
      <c r="DO180" s="233"/>
      <c r="DP180" s="21"/>
      <c r="DQ180" s="21"/>
      <c r="DR180" s="14"/>
      <c r="DS180" s="14"/>
      <c r="DT180" s="14"/>
      <c r="DU180" s="14"/>
      <c r="DV180" s="14"/>
      <c r="DW180" s="14"/>
      <c r="DX180" s="87"/>
      <c r="DY180" s="14"/>
      <c r="DZ180" s="233"/>
      <c r="EA180" s="233"/>
      <c r="EB180" s="21"/>
      <c r="EC180" s="21"/>
      <c r="ED180" s="14"/>
      <c r="EE180" s="14"/>
      <c r="EF180" s="14"/>
      <c r="EG180" s="14"/>
      <c r="EH180" s="14"/>
      <c r="EI180" s="14"/>
      <c r="EJ180" s="87"/>
      <c r="EK180" s="14"/>
      <c r="EL180" s="233"/>
      <c r="EM180" s="233"/>
      <c r="EN180" s="21"/>
      <c r="EO180" s="21"/>
      <c r="EP180" s="14"/>
      <c r="EQ180" s="14"/>
      <c r="ER180" s="14"/>
      <c r="ES180" s="14"/>
      <c r="ET180" s="14"/>
      <c r="EU180" s="14"/>
      <c r="EV180" s="87"/>
      <c r="EW180" s="14"/>
      <c r="EX180" s="21"/>
      <c r="EY180" s="233"/>
      <c r="EZ180" s="233"/>
      <c r="FA180" s="233"/>
      <c r="FB180" s="233"/>
      <c r="FC180" s="233"/>
      <c r="FD180" s="233"/>
    </row>
    <row r="181" spans="1:160">
      <c r="A181" s="20" t="s">
        <v>3278</v>
      </c>
      <c r="B181" s="14">
        <v>3</v>
      </c>
      <c r="C181" s="14" t="s">
        <v>3320</v>
      </c>
      <c r="D181" s="14">
        <v>1</v>
      </c>
      <c r="E181" s="110" t="s">
        <v>3279</v>
      </c>
      <c r="F181" s="14" t="s">
        <v>3716</v>
      </c>
      <c r="G181" s="44" t="s">
        <v>3843</v>
      </c>
      <c r="H181" s="44" t="s">
        <v>3728</v>
      </c>
      <c r="I181" s="44" t="s">
        <v>3900</v>
      </c>
      <c r="J181" s="28" t="s">
        <v>4369</v>
      </c>
      <c r="L181" s="21"/>
      <c r="M181" s="21"/>
      <c r="N181" s="14"/>
      <c r="O181" s="14"/>
      <c r="P181" s="14"/>
      <c r="Q181" s="14"/>
      <c r="R181" s="14"/>
      <c r="S181" s="14"/>
      <c r="T181" s="87"/>
      <c r="U181" s="14"/>
      <c r="V181" s="21"/>
      <c r="W181" s="21"/>
      <c r="X181" s="21"/>
      <c r="Y181" s="21"/>
      <c r="Z181" s="14"/>
      <c r="AA181" s="14"/>
      <c r="AB181" s="14"/>
      <c r="AC181" s="14"/>
      <c r="AD181" s="14"/>
      <c r="AE181" s="14"/>
      <c r="AF181" s="87"/>
      <c r="AG181" s="14"/>
      <c r="AH181" s="21"/>
      <c r="AI181" s="21"/>
      <c r="AJ181" s="21"/>
      <c r="AK181" s="21"/>
      <c r="AL181" s="14"/>
      <c r="AM181" s="14"/>
      <c r="AN181" s="14"/>
      <c r="AO181" s="14"/>
      <c r="AP181" s="14"/>
      <c r="AQ181" s="14"/>
      <c r="AR181" s="87"/>
      <c r="AS181" s="14"/>
      <c r="AT181" s="21"/>
      <c r="AU181" s="21"/>
      <c r="AV181" s="21"/>
      <c r="AW181" s="21"/>
      <c r="AX181" s="14"/>
      <c r="AY181" s="14"/>
      <c r="AZ181" s="14"/>
      <c r="BA181" s="14"/>
      <c r="BB181" s="14"/>
      <c r="BC181" s="14"/>
      <c r="BD181" s="87"/>
      <c r="BE181" s="14"/>
      <c r="BF181" s="21"/>
      <c r="BG181" s="21"/>
      <c r="BH181" s="21"/>
      <c r="BI181" s="21"/>
      <c r="BJ181" s="14"/>
      <c r="BK181" s="14"/>
      <c r="BL181" s="14"/>
      <c r="BM181" s="14"/>
      <c r="BN181" s="14"/>
      <c r="BO181" s="14"/>
      <c r="BP181" s="87"/>
      <c r="BQ181" s="14"/>
      <c r="BR181" s="21"/>
      <c r="BS181" s="233"/>
      <c r="BT181" s="21" t="s">
        <v>2832</v>
      </c>
      <c r="BU181" s="21"/>
      <c r="BV181" s="14"/>
      <c r="BW181" s="14" t="s">
        <v>2833</v>
      </c>
      <c r="BX181" s="14">
        <v>7</v>
      </c>
      <c r="BY181" s="14" t="s">
        <v>2993</v>
      </c>
      <c r="BZ181" s="14" t="s">
        <v>3898</v>
      </c>
      <c r="CA181" s="87" t="s">
        <v>3706</v>
      </c>
      <c r="CB181" s="87" t="s">
        <v>3351</v>
      </c>
      <c r="CC181" s="233"/>
      <c r="CD181" s="233"/>
      <c r="CE181" s="233"/>
      <c r="CF181" s="21"/>
      <c r="CG181" s="21"/>
      <c r="CH181" s="14"/>
      <c r="CI181" s="14"/>
      <c r="CJ181" s="14"/>
      <c r="CK181" s="14"/>
      <c r="CL181" s="14"/>
      <c r="CM181" s="14"/>
      <c r="CN181" s="87"/>
      <c r="CO181" s="233"/>
      <c r="CP181" s="233"/>
      <c r="CQ181" s="233"/>
      <c r="CR181" s="21"/>
      <c r="CS181" s="21"/>
      <c r="CT181" s="14"/>
      <c r="CU181" s="14"/>
      <c r="CV181" s="14"/>
      <c r="CW181" s="14"/>
      <c r="CX181" s="14"/>
      <c r="CY181" s="14"/>
      <c r="CZ181" s="87"/>
      <c r="DA181" s="14"/>
      <c r="DB181" s="21"/>
      <c r="DC181" s="233"/>
      <c r="DD181" s="21"/>
      <c r="DE181" s="21"/>
      <c r="DF181" s="14"/>
      <c r="DG181" s="14"/>
      <c r="DH181" s="14"/>
      <c r="DI181" s="14"/>
      <c r="DJ181" s="14"/>
      <c r="DK181" s="14"/>
      <c r="DL181" s="87"/>
      <c r="DM181" s="14"/>
      <c r="DN181" s="21"/>
      <c r="DO181" s="233"/>
      <c r="DP181" s="21"/>
      <c r="DQ181" s="21"/>
      <c r="DR181" s="14"/>
      <c r="DS181" s="14"/>
      <c r="DT181" s="14"/>
      <c r="DU181" s="14"/>
      <c r="DV181" s="14"/>
      <c r="DW181" s="14"/>
      <c r="DX181" s="87"/>
      <c r="DY181" s="14"/>
      <c r="DZ181" s="233"/>
      <c r="EA181" s="233"/>
      <c r="EB181" s="21"/>
      <c r="EC181" s="21"/>
      <c r="ED181" s="14"/>
      <c r="EE181" s="14"/>
      <c r="EF181" s="14"/>
      <c r="EG181" s="14"/>
      <c r="EH181" s="14"/>
      <c r="EI181" s="14"/>
      <c r="EJ181" s="87"/>
      <c r="EK181" s="14"/>
      <c r="EL181" s="233"/>
      <c r="EM181" s="233"/>
      <c r="EN181" s="21"/>
      <c r="EO181" s="21"/>
      <c r="EP181" s="14"/>
      <c r="EQ181" s="14"/>
      <c r="ER181" s="14"/>
      <c r="ES181" s="14"/>
      <c r="ET181" s="14"/>
      <c r="EU181" s="14"/>
      <c r="EV181" s="87"/>
      <c r="EW181" s="14"/>
      <c r="EX181" s="21"/>
      <c r="EY181" s="233"/>
      <c r="EZ181" s="233"/>
      <c r="FA181" s="233"/>
      <c r="FB181" s="233"/>
      <c r="FC181" s="233"/>
      <c r="FD181" s="233"/>
    </row>
    <row r="182" spans="1:160">
      <c r="A182" s="20" t="s">
        <v>3403</v>
      </c>
      <c r="B182" s="14">
        <v>3</v>
      </c>
      <c r="C182" s="5" t="s">
        <v>3404</v>
      </c>
      <c r="D182" s="14">
        <v>1</v>
      </c>
      <c r="E182" s="110" t="s">
        <v>3526</v>
      </c>
      <c r="F182" s="14" t="s">
        <v>3487</v>
      </c>
      <c r="G182" s="44" t="s">
        <v>3736</v>
      </c>
      <c r="H182" s="44" t="s">
        <v>3405</v>
      </c>
      <c r="I182" s="44" t="s">
        <v>3900</v>
      </c>
      <c r="J182" s="28" t="s">
        <v>4773</v>
      </c>
      <c r="L182" s="21"/>
      <c r="M182" s="21"/>
      <c r="N182" s="14"/>
      <c r="O182" s="14"/>
      <c r="P182" s="14"/>
      <c r="Q182" s="14"/>
      <c r="R182" s="14"/>
      <c r="S182" s="14"/>
      <c r="T182" s="87"/>
      <c r="U182" s="14"/>
      <c r="V182" s="21"/>
      <c r="W182" s="21"/>
      <c r="X182" s="21"/>
      <c r="Y182" s="21"/>
      <c r="Z182" s="14"/>
      <c r="AA182" s="14"/>
      <c r="AB182" s="14"/>
      <c r="AC182" s="14"/>
      <c r="AD182" s="14"/>
      <c r="AE182" s="14"/>
      <c r="AF182" s="87"/>
      <c r="AG182" s="14"/>
      <c r="AH182" s="21"/>
      <c r="AI182" s="21"/>
      <c r="AJ182" s="21"/>
      <c r="AK182" s="21"/>
      <c r="AL182" s="14"/>
      <c r="AM182" s="14"/>
      <c r="AN182" s="14"/>
      <c r="AO182" s="14"/>
      <c r="AP182" s="14"/>
      <c r="AQ182" s="14"/>
      <c r="AR182" s="87"/>
      <c r="AS182" s="14"/>
      <c r="AT182" s="21"/>
      <c r="AU182" s="21"/>
      <c r="AV182" s="21"/>
      <c r="AW182" s="21"/>
      <c r="AX182" s="14"/>
      <c r="AY182" s="14"/>
      <c r="AZ182" s="14"/>
      <c r="BA182" s="14"/>
      <c r="BB182" s="14"/>
      <c r="BC182" s="14"/>
      <c r="BD182" s="87"/>
      <c r="BE182" s="14"/>
      <c r="BF182" s="21"/>
      <c r="BG182" s="21"/>
      <c r="BH182" s="21"/>
      <c r="BI182" s="21"/>
      <c r="BJ182" s="14"/>
      <c r="BK182" s="14"/>
      <c r="BL182" s="14"/>
      <c r="BM182" s="14"/>
      <c r="BN182" s="14"/>
      <c r="BO182" s="14"/>
      <c r="BP182" s="87"/>
      <c r="BQ182" s="14"/>
      <c r="BR182" s="21"/>
      <c r="BS182" s="233"/>
      <c r="BT182" s="21" t="s">
        <v>2994</v>
      </c>
      <c r="BU182" s="21"/>
      <c r="BV182" s="14"/>
      <c r="BW182" s="14" t="s">
        <v>2537</v>
      </c>
      <c r="BX182" s="14">
        <v>4</v>
      </c>
      <c r="BY182" s="14" t="s">
        <v>2995</v>
      </c>
      <c r="BZ182" s="14" t="s">
        <v>3898</v>
      </c>
      <c r="CA182" s="87" t="s">
        <v>3164</v>
      </c>
      <c r="CB182" s="87" t="s">
        <v>2981</v>
      </c>
      <c r="CC182" s="233"/>
      <c r="CD182" s="233"/>
      <c r="CE182" s="233"/>
      <c r="CF182" s="21"/>
      <c r="CG182" s="21"/>
      <c r="CH182" s="14"/>
      <c r="CI182" s="14"/>
      <c r="CJ182" s="14"/>
      <c r="CK182" s="14"/>
      <c r="CL182" s="14"/>
      <c r="CM182" s="14"/>
      <c r="CN182" s="87"/>
      <c r="CO182" s="233"/>
      <c r="CP182" s="233"/>
      <c r="CQ182" s="233"/>
      <c r="CR182" s="21"/>
      <c r="CS182" s="21"/>
      <c r="CT182" s="14"/>
      <c r="CU182" s="14"/>
      <c r="CV182" s="14"/>
      <c r="CW182" s="14"/>
      <c r="CX182" s="14"/>
      <c r="CY182" s="14"/>
      <c r="CZ182" s="87"/>
      <c r="DA182" s="14"/>
      <c r="DB182" s="21"/>
      <c r="DC182" s="233"/>
      <c r="DD182" s="21"/>
      <c r="DE182" s="21"/>
      <c r="DF182" s="14"/>
      <c r="DG182" s="14"/>
      <c r="DH182" s="14"/>
      <c r="DI182" s="14"/>
      <c r="DJ182" s="14"/>
      <c r="DK182" s="14"/>
      <c r="DL182" s="87"/>
      <c r="DM182" s="14"/>
      <c r="DN182" s="21"/>
      <c r="DO182" s="233"/>
      <c r="DP182" s="21"/>
      <c r="DQ182" s="21"/>
      <c r="DR182" s="14"/>
      <c r="DS182" s="14"/>
      <c r="DT182" s="14"/>
      <c r="DU182" s="14"/>
      <c r="DV182" s="14"/>
      <c r="DW182" s="14"/>
      <c r="DX182" s="87"/>
      <c r="DY182" s="14"/>
      <c r="DZ182" s="233"/>
      <c r="EA182" s="233"/>
      <c r="EB182" s="21"/>
      <c r="EC182" s="21"/>
      <c r="ED182" s="14"/>
      <c r="EE182" s="14"/>
      <c r="EF182" s="14"/>
      <c r="EG182" s="14"/>
      <c r="EH182" s="14"/>
      <c r="EI182" s="14"/>
      <c r="EJ182" s="87"/>
      <c r="EK182" s="14"/>
      <c r="EL182" s="233"/>
      <c r="EM182" s="233"/>
      <c r="EN182" s="21"/>
      <c r="EO182" s="21"/>
      <c r="EP182" s="14"/>
      <c r="EQ182" s="14"/>
      <c r="ER182" s="14"/>
      <c r="ES182" s="14"/>
      <c r="ET182" s="14"/>
      <c r="EU182" s="14"/>
      <c r="EV182" s="87"/>
      <c r="EW182" s="14"/>
      <c r="EX182" s="21"/>
      <c r="EY182" s="233"/>
      <c r="EZ182" s="233"/>
      <c r="FA182" s="233"/>
      <c r="FB182" s="233"/>
      <c r="FC182" s="233"/>
      <c r="FD182" s="233"/>
    </row>
    <row r="183" spans="1:160">
      <c r="A183" s="20" t="s">
        <v>3461</v>
      </c>
      <c r="B183" s="14">
        <v>3</v>
      </c>
      <c r="C183" s="14" t="s">
        <v>3462</v>
      </c>
      <c r="D183" s="14">
        <v>1</v>
      </c>
      <c r="E183" s="110" t="s">
        <v>3205</v>
      </c>
      <c r="F183" s="14" t="s">
        <v>3947</v>
      </c>
      <c r="G183" s="44" t="s">
        <v>3743</v>
      </c>
      <c r="H183" s="44" t="s">
        <v>3859</v>
      </c>
      <c r="I183" s="44" t="s">
        <v>3790</v>
      </c>
      <c r="J183" s="28" t="s">
        <v>4369</v>
      </c>
      <c r="L183" s="26" t="s">
        <v>5216</v>
      </c>
      <c r="M183" s="21"/>
      <c r="N183" s="108" t="s">
        <v>5018</v>
      </c>
      <c r="O183" s="108" t="s">
        <v>5701</v>
      </c>
      <c r="P183" s="108" t="s">
        <v>5019</v>
      </c>
      <c r="Q183" s="108" t="s">
        <v>5020</v>
      </c>
      <c r="R183" s="108" t="s">
        <v>5021</v>
      </c>
      <c r="S183" s="108" t="s">
        <v>5022</v>
      </c>
      <c r="T183" s="282" t="s">
        <v>5316</v>
      </c>
      <c r="U183" s="26"/>
      <c r="V183" s="21"/>
      <c r="W183" s="21"/>
      <c r="X183" s="26" t="s">
        <v>5216</v>
      </c>
      <c r="Y183" s="21"/>
      <c r="Z183" s="108" t="s">
        <v>5018</v>
      </c>
      <c r="AA183" s="108" t="s">
        <v>5701</v>
      </c>
      <c r="AB183" s="108" t="s">
        <v>5019</v>
      </c>
      <c r="AC183" s="108" t="s">
        <v>5020</v>
      </c>
      <c r="AD183" s="108" t="s">
        <v>5021</v>
      </c>
      <c r="AE183" s="108" t="s">
        <v>5022</v>
      </c>
      <c r="AF183" s="282" t="s">
        <v>5316</v>
      </c>
      <c r="AG183" s="26"/>
      <c r="AH183" s="21"/>
      <c r="AI183" s="21"/>
      <c r="AJ183" s="26" t="s">
        <v>5216</v>
      </c>
      <c r="AK183" s="21"/>
      <c r="AL183" s="108" t="s">
        <v>5018</v>
      </c>
      <c r="AM183" s="108" t="s">
        <v>5701</v>
      </c>
      <c r="AN183" s="108" t="s">
        <v>5019</v>
      </c>
      <c r="AO183" s="108" t="s">
        <v>5020</v>
      </c>
      <c r="AP183" s="108" t="s">
        <v>5021</v>
      </c>
      <c r="AQ183" s="108" t="s">
        <v>5022</v>
      </c>
      <c r="AR183" s="282" t="s">
        <v>5316</v>
      </c>
      <c r="AS183" s="26"/>
      <c r="AT183" s="21"/>
      <c r="AU183" s="21"/>
      <c r="AV183" s="26" t="s">
        <v>5216</v>
      </c>
      <c r="AW183" s="21"/>
      <c r="AX183" s="108" t="s">
        <v>5018</v>
      </c>
      <c r="AY183" s="108" t="s">
        <v>5701</v>
      </c>
      <c r="AZ183" s="108" t="s">
        <v>5019</v>
      </c>
      <c r="BA183" s="108" t="s">
        <v>5020</v>
      </c>
      <c r="BB183" s="108" t="s">
        <v>5021</v>
      </c>
      <c r="BC183" s="108" t="s">
        <v>5022</v>
      </c>
      <c r="BD183" s="282" t="s">
        <v>5316</v>
      </c>
      <c r="BE183" s="26"/>
      <c r="BF183" s="21"/>
      <c r="BG183" s="21"/>
      <c r="BH183" s="26" t="s">
        <v>5216</v>
      </c>
      <c r="BI183" s="21"/>
      <c r="BJ183" s="108" t="s">
        <v>5018</v>
      </c>
      <c r="BK183" s="108" t="s">
        <v>5701</v>
      </c>
      <c r="BL183" s="108" t="s">
        <v>5019</v>
      </c>
      <c r="BM183" s="108" t="s">
        <v>5020</v>
      </c>
      <c r="BN183" s="108" t="s">
        <v>5021</v>
      </c>
      <c r="BO183" s="108" t="s">
        <v>5022</v>
      </c>
      <c r="BP183" s="282" t="s">
        <v>5316</v>
      </c>
      <c r="BQ183" s="26"/>
      <c r="BR183" s="21"/>
      <c r="BS183" s="233"/>
      <c r="BT183" s="26" t="s">
        <v>5216</v>
      </c>
      <c r="BU183" s="21"/>
      <c r="BV183" s="108" t="s">
        <v>5018</v>
      </c>
      <c r="BW183" s="108" t="s">
        <v>5701</v>
      </c>
      <c r="BX183" s="108" t="s">
        <v>5019</v>
      </c>
      <c r="BY183" s="108" t="s">
        <v>5020</v>
      </c>
      <c r="BZ183" s="108" t="s">
        <v>5021</v>
      </c>
      <c r="CA183" s="108" t="s">
        <v>5022</v>
      </c>
      <c r="CB183" s="282" t="s">
        <v>5316</v>
      </c>
      <c r="CC183" s="233"/>
      <c r="CD183" s="233"/>
      <c r="CE183" s="233"/>
      <c r="CF183" s="26" t="s">
        <v>5216</v>
      </c>
      <c r="CG183" s="21"/>
      <c r="CH183" s="108" t="s">
        <v>5018</v>
      </c>
      <c r="CI183" s="108" t="s">
        <v>5701</v>
      </c>
      <c r="CJ183" s="108" t="s">
        <v>5019</v>
      </c>
      <c r="CK183" s="108" t="s">
        <v>5020</v>
      </c>
      <c r="CL183" s="108" t="s">
        <v>5021</v>
      </c>
      <c r="CM183" s="108" t="s">
        <v>5022</v>
      </c>
      <c r="CN183" s="282" t="s">
        <v>5316</v>
      </c>
      <c r="CO183" s="233"/>
      <c r="CP183" s="233"/>
      <c r="CQ183" s="233"/>
      <c r="CR183" s="26" t="s">
        <v>5216</v>
      </c>
      <c r="CS183" s="21"/>
      <c r="CT183" s="108" t="s">
        <v>5018</v>
      </c>
      <c r="CU183" s="108" t="s">
        <v>5701</v>
      </c>
      <c r="CV183" s="108" t="s">
        <v>5019</v>
      </c>
      <c r="CW183" s="108" t="s">
        <v>5020</v>
      </c>
      <c r="CX183" s="108" t="s">
        <v>5021</v>
      </c>
      <c r="CY183" s="108" t="s">
        <v>5022</v>
      </c>
      <c r="CZ183" s="282" t="s">
        <v>5316</v>
      </c>
      <c r="DA183" s="26"/>
      <c r="DB183" s="21"/>
      <c r="DC183" s="233"/>
      <c r="DD183" s="26" t="s">
        <v>5216</v>
      </c>
      <c r="DE183" s="21"/>
      <c r="DF183" s="108" t="s">
        <v>5018</v>
      </c>
      <c r="DG183" s="108" t="s">
        <v>5701</v>
      </c>
      <c r="DH183" s="108" t="s">
        <v>5019</v>
      </c>
      <c r="DI183" s="108" t="s">
        <v>5020</v>
      </c>
      <c r="DJ183" s="108" t="s">
        <v>5021</v>
      </c>
      <c r="DK183" s="108" t="s">
        <v>5022</v>
      </c>
      <c r="DL183" s="282" t="s">
        <v>5316</v>
      </c>
      <c r="DM183" s="26"/>
      <c r="DN183" s="21"/>
      <c r="DO183" s="233"/>
      <c r="DP183" s="26" t="s">
        <v>5216</v>
      </c>
      <c r="DQ183" s="21"/>
      <c r="DR183" s="108" t="s">
        <v>5018</v>
      </c>
      <c r="DS183" s="108" t="s">
        <v>5701</v>
      </c>
      <c r="DT183" s="108" t="s">
        <v>5019</v>
      </c>
      <c r="DU183" s="108" t="s">
        <v>5020</v>
      </c>
      <c r="DV183" s="108" t="s">
        <v>5021</v>
      </c>
      <c r="DW183" s="108" t="s">
        <v>5022</v>
      </c>
      <c r="DX183" s="282" t="s">
        <v>5316</v>
      </c>
      <c r="DY183" s="26"/>
      <c r="DZ183" s="233"/>
      <c r="EA183" s="233"/>
      <c r="EB183" s="26" t="s">
        <v>5216</v>
      </c>
      <c r="EC183" s="21"/>
      <c r="ED183" s="108" t="s">
        <v>5018</v>
      </c>
      <c r="EE183" s="108" t="s">
        <v>5701</v>
      </c>
      <c r="EF183" s="108" t="s">
        <v>5019</v>
      </c>
      <c r="EG183" s="108" t="s">
        <v>5020</v>
      </c>
      <c r="EH183" s="108" t="s">
        <v>5021</v>
      </c>
      <c r="EI183" s="108" t="s">
        <v>5022</v>
      </c>
      <c r="EJ183" s="282" t="s">
        <v>5316</v>
      </c>
      <c r="EK183" s="26"/>
      <c r="EL183" s="233"/>
      <c r="EM183" s="233"/>
      <c r="EN183" s="26" t="s">
        <v>5216</v>
      </c>
      <c r="EO183" s="21"/>
      <c r="EP183" s="108" t="s">
        <v>5018</v>
      </c>
      <c r="EQ183" s="108" t="s">
        <v>5701</v>
      </c>
      <c r="ER183" s="108" t="s">
        <v>5019</v>
      </c>
      <c r="ES183" s="108" t="s">
        <v>5020</v>
      </c>
      <c r="ET183" s="108" t="s">
        <v>5021</v>
      </c>
      <c r="EU183" s="108" t="s">
        <v>5022</v>
      </c>
      <c r="EV183" s="282" t="s">
        <v>5316</v>
      </c>
      <c r="EW183" s="26"/>
      <c r="EX183" s="21"/>
      <c r="EY183" s="233"/>
      <c r="EZ183" s="233"/>
      <c r="FA183" s="233"/>
      <c r="FB183" s="233"/>
      <c r="FC183" s="233"/>
      <c r="FD183" s="233"/>
    </row>
    <row r="184" spans="1:160">
      <c r="A184" s="20" t="s">
        <v>3464</v>
      </c>
      <c r="B184" s="14">
        <v>3</v>
      </c>
      <c r="C184" s="14" t="s">
        <v>3210</v>
      </c>
      <c r="D184" s="14">
        <v>1</v>
      </c>
      <c r="E184" s="110" t="s">
        <v>3749</v>
      </c>
      <c r="F184" s="14" t="s">
        <v>3898</v>
      </c>
      <c r="G184" s="44" t="s">
        <v>3467</v>
      </c>
      <c r="H184" s="107" t="s">
        <v>3108</v>
      </c>
      <c r="I184" s="44" t="s">
        <v>3916</v>
      </c>
      <c r="J184" s="28" t="s">
        <v>4555</v>
      </c>
      <c r="L184" s="21" t="s">
        <v>2389</v>
      </c>
      <c r="M184" s="21"/>
      <c r="N184" s="14"/>
      <c r="O184" s="14" t="s">
        <v>2390</v>
      </c>
      <c r="P184" s="14">
        <v>8</v>
      </c>
      <c r="Q184" s="14" t="s">
        <v>2543</v>
      </c>
      <c r="R184" s="14" t="s">
        <v>3898</v>
      </c>
      <c r="S184" s="14" t="s">
        <v>2860</v>
      </c>
      <c r="T184" s="87" t="s">
        <v>2396</v>
      </c>
      <c r="U184" s="14"/>
      <c r="V184" s="21"/>
      <c r="W184" s="21"/>
      <c r="X184" s="21" t="s">
        <v>2389</v>
      </c>
      <c r="Y184" s="21"/>
      <c r="Z184" s="14"/>
      <c r="AA184" s="14" t="s">
        <v>2390</v>
      </c>
      <c r="AB184" s="14">
        <v>8</v>
      </c>
      <c r="AC184" s="14" t="s">
        <v>2543</v>
      </c>
      <c r="AD184" s="14" t="s">
        <v>3898</v>
      </c>
      <c r="AE184" s="87" t="s">
        <v>2860</v>
      </c>
      <c r="AF184" s="87" t="s">
        <v>2396</v>
      </c>
      <c r="AG184" s="14"/>
      <c r="AH184" s="21"/>
      <c r="AI184" s="21"/>
      <c r="AJ184" s="21"/>
      <c r="AK184" s="21"/>
      <c r="AL184" s="14"/>
      <c r="AM184" s="14"/>
      <c r="AN184" s="14"/>
      <c r="AO184" s="14"/>
      <c r="AP184" s="14"/>
      <c r="AQ184" s="14"/>
      <c r="AR184" s="87"/>
      <c r="AS184" s="14"/>
      <c r="AT184" s="21"/>
      <c r="AU184" s="21"/>
      <c r="AV184" s="21" t="s">
        <v>2397</v>
      </c>
      <c r="AW184" s="21"/>
      <c r="AX184" s="14"/>
      <c r="AY184" s="14" t="s">
        <v>2519</v>
      </c>
      <c r="AZ184" s="14">
        <v>7</v>
      </c>
      <c r="BA184" s="14" t="s">
        <v>2398</v>
      </c>
      <c r="BB184" s="14" t="s">
        <v>3898</v>
      </c>
      <c r="BC184" s="87" t="s">
        <v>2521</v>
      </c>
      <c r="BD184" s="87" t="s">
        <v>2399</v>
      </c>
      <c r="BE184" s="14"/>
      <c r="BF184" s="21"/>
      <c r="BG184" s="21"/>
      <c r="BH184" s="21" t="s">
        <v>2400</v>
      </c>
      <c r="BI184" s="21"/>
      <c r="BJ184" s="14"/>
      <c r="BK184" s="14" t="s">
        <v>2467</v>
      </c>
      <c r="BL184" s="14">
        <v>8</v>
      </c>
      <c r="BM184" s="14" t="s">
        <v>2468</v>
      </c>
      <c r="BN184" s="14" t="s">
        <v>3898</v>
      </c>
      <c r="BO184" s="87" t="s">
        <v>3736</v>
      </c>
      <c r="BP184" s="87" t="s">
        <v>3706</v>
      </c>
      <c r="BQ184" s="14"/>
      <c r="BR184" s="21"/>
      <c r="BS184" s="233"/>
      <c r="BT184" s="21" t="s">
        <v>2400</v>
      </c>
      <c r="BU184" s="21"/>
      <c r="BV184" s="14"/>
      <c r="BW184" s="14" t="s">
        <v>2467</v>
      </c>
      <c r="BX184" s="14">
        <v>8</v>
      </c>
      <c r="BY184" s="14" t="s">
        <v>2468</v>
      </c>
      <c r="BZ184" s="14" t="s">
        <v>3898</v>
      </c>
      <c r="CA184" s="87" t="s">
        <v>3736</v>
      </c>
      <c r="CB184" s="87" t="s">
        <v>3706</v>
      </c>
      <c r="CC184" s="233"/>
      <c r="CD184" s="233"/>
      <c r="CE184" s="233"/>
      <c r="CF184" s="21" t="s">
        <v>2400</v>
      </c>
      <c r="CG184" s="21"/>
      <c r="CH184" s="14"/>
      <c r="CI184" s="14" t="s">
        <v>2467</v>
      </c>
      <c r="CJ184" s="14">
        <v>8</v>
      </c>
      <c r="CK184" s="14" t="s">
        <v>2468</v>
      </c>
      <c r="CL184" s="14" t="s">
        <v>3898</v>
      </c>
      <c r="CM184" s="87" t="s">
        <v>3736</v>
      </c>
      <c r="CN184" s="87" t="s">
        <v>3706</v>
      </c>
      <c r="CO184" s="233"/>
      <c r="CP184" s="233"/>
      <c r="CQ184" s="233"/>
      <c r="CR184" s="21" t="s">
        <v>2389</v>
      </c>
      <c r="CS184" s="21"/>
      <c r="CT184" s="14"/>
      <c r="CU184" s="14" t="s">
        <v>2390</v>
      </c>
      <c r="CV184" s="14">
        <v>8</v>
      </c>
      <c r="CW184" s="14" t="s">
        <v>2543</v>
      </c>
      <c r="CX184" s="14" t="s">
        <v>3898</v>
      </c>
      <c r="CY184" s="87" t="s">
        <v>2860</v>
      </c>
      <c r="CZ184" s="87" t="s">
        <v>2396</v>
      </c>
      <c r="DA184" s="14"/>
      <c r="DB184" s="21"/>
      <c r="DC184" s="233"/>
      <c r="DD184" s="21" t="s">
        <v>2389</v>
      </c>
      <c r="DE184" s="21"/>
      <c r="DF184" s="14"/>
      <c r="DG184" s="14" t="s">
        <v>2390</v>
      </c>
      <c r="DH184" s="14">
        <v>8</v>
      </c>
      <c r="DI184" s="14" t="s">
        <v>2543</v>
      </c>
      <c r="DJ184" s="14" t="s">
        <v>3898</v>
      </c>
      <c r="DK184" s="87" t="s">
        <v>2860</v>
      </c>
      <c r="DL184" s="87" t="s">
        <v>2396</v>
      </c>
      <c r="DM184" s="14"/>
      <c r="DN184" s="21"/>
      <c r="DO184" s="233"/>
      <c r="DP184" s="21"/>
      <c r="DQ184" s="21"/>
      <c r="DR184" s="14"/>
      <c r="DS184" s="14"/>
      <c r="DT184" s="14"/>
      <c r="DU184" s="14"/>
      <c r="DV184" s="14"/>
      <c r="DW184" s="14"/>
      <c r="DX184" s="87"/>
      <c r="DY184" s="14"/>
      <c r="DZ184" s="233"/>
      <c r="EA184" s="233"/>
      <c r="EB184" s="21"/>
      <c r="EC184" s="21"/>
      <c r="ED184" s="14"/>
      <c r="EE184" s="14"/>
      <c r="EF184" s="14"/>
      <c r="EG184" s="14"/>
      <c r="EH184" s="14"/>
      <c r="EI184" s="14"/>
      <c r="EJ184" s="87"/>
      <c r="EK184" s="14"/>
      <c r="EL184" s="233"/>
      <c r="EM184" s="233"/>
      <c r="EN184" s="21" t="s">
        <v>2389</v>
      </c>
      <c r="EO184" s="21"/>
      <c r="EP184" s="14"/>
      <c r="EQ184" s="14" t="s">
        <v>2390</v>
      </c>
      <c r="ER184" s="14">
        <v>8</v>
      </c>
      <c r="ES184" s="14" t="s">
        <v>2543</v>
      </c>
      <c r="ET184" s="14" t="s">
        <v>3898</v>
      </c>
      <c r="EU184" s="87" t="s">
        <v>2860</v>
      </c>
      <c r="EV184" s="87" t="s">
        <v>2396</v>
      </c>
      <c r="EW184" s="14"/>
      <c r="EX184" s="21"/>
      <c r="EY184" s="233"/>
      <c r="EZ184" s="233"/>
      <c r="FA184" s="233"/>
      <c r="FB184" s="233"/>
      <c r="FC184" s="233"/>
      <c r="FD184" s="233"/>
    </row>
    <row r="185" spans="1:160">
      <c r="A185" s="20" t="s">
        <v>3232</v>
      </c>
      <c r="B185" s="14">
        <v>3</v>
      </c>
      <c r="C185" s="14" t="s">
        <v>3494</v>
      </c>
      <c r="D185" s="14">
        <v>2</v>
      </c>
      <c r="E185" s="110" t="s">
        <v>3233</v>
      </c>
      <c r="F185" s="14" t="s">
        <v>3416</v>
      </c>
      <c r="G185" s="44" t="s">
        <v>3417</v>
      </c>
      <c r="H185" s="44" t="s">
        <v>3408</v>
      </c>
      <c r="I185" s="44" t="s">
        <v>3900</v>
      </c>
      <c r="J185" s="28" t="s">
        <v>4773</v>
      </c>
      <c r="L185" s="21"/>
      <c r="M185" s="21"/>
      <c r="N185" s="21"/>
      <c r="O185" s="14"/>
      <c r="P185" s="14"/>
      <c r="Q185" s="14"/>
      <c r="R185" s="14"/>
      <c r="S185" s="14"/>
      <c r="T185" s="87"/>
      <c r="U185" s="21"/>
      <c r="V185" s="21"/>
      <c r="W185" s="21"/>
      <c r="X185" s="21" t="s">
        <v>2401</v>
      </c>
      <c r="Y185" s="21"/>
      <c r="Z185" s="21"/>
      <c r="AA185" s="14" t="s">
        <v>3840</v>
      </c>
      <c r="AB185" s="14">
        <v>4</v>
      </c>
      <c r="AC185" s="106" t="s">
        <v>3526</v>
      </c>
      <c r="AD185" s="14" t="s">
        <v>3548</v>
      </c>
      <c r="AE185" s="87" t="s">
        <v>3407</v>
      </c>
      <c r="AF185" s="44" t="s">
        <v>2402</v>
      </c>
      <c r="AG185" s="21"/>
      <c r="AH185" s="21"/>
      <c r="AI185" s="21"/>
      <c r="AJ185" s="21"/>
      <c r="AK185" s="21"/>
      <c r="AL185" s="21"/>
      <c r="AM185" s="14"/>
      <c r="AN185" s="14"/>
      <c r="AO185" s="14"/>
      <c r="AP185" s="14"/>
      <c r="AQ185" s="14"/>
      <c r="AR185" s="87"/>
      <c r="AS185" s="21"/>
      <c r="AT185" s="21"/>
      <c r="AU185" s="21"/>
      <c r="AV185" s="21" t="s">
        <v>2403</v>
      </c>
      <c r="AW185" s="21"/>
      <c r="AX185" s="14"/>
      <c r="AY185" s="14" t="s">
        <v>2404</v>
      </c>
      <c r="AZ185" s="14">
        <v>10</v>
      </c>
      <c r="BA185" s="14" t="s">
        <v>2405</v>
      </c>
      <c r="BB185" s="14" t="s">
        <v>3898</v>
      </c>
      <c r="BC185" s="87" t="s">
        <v>3945</v>
      </c>
      <c r="BD185" s="87" t="s">
        <v>3706</v>
      </c>
      <c r="BE185" s="14"/>
      <c r="BF185" s="21"/>
      <c r="BG185" s="21"/>
      <c r="BH185" s="21" t="s">
        <v>2406</v>
      </c>
      <c r="BI185" s="21"/>
      <c r="BJ185" s="14"/>
      <c r="BK185" s="14" t="s">
        <v>2833</v>
      </c>
      <c r="BL185" s="14" t="s">
        <v>2407</v>
      </c>
      <c r="BM185" s="14" t="s">
        <v>2408</v>
      </c>
      <c r="BN185" s="14" t="s">
        <v>3979</v>
      </c>
      <c r="BO185" s="87" t="s">
        <v>2409</v>
      </c>
      <c r="BP185" s="87" t="s">
        <v>5483</v>
      </c>
      <c r="BQ185" s="14"/>
      <c r="BR185" s="21"/>
      <c r="BS185" s="233"/>
      <c r="BT185" s="21"/>
      <c r="BU185" s="21"/>
      <c r="BV185" s="14"/>
      <c r="BW185" s="14"/>
      <c r="BX185" s="14"/>
      <c r="BY185" s="14"/>
      <c r="BZ185" s="14"/>
      <c r="CA185" s="14"/>
      <c r="CB185" s="87"/>
      <c r="CC185" s="233"/>
      <c r="CD185" s="233"/>
      <c r="CE185" s="233"/>
      <c r="CF185" s="21" t="s">
        <v>2406</v>
      </c>
      <c r="CG185" s="21"/>
      <c r="CH185" s="14"/>
      <c r="CI185" s="14" t="s">
        <v>2833</v>
      </c>
      <c r="CJ185" s="14" t="s">
        <v>2407</v>
      </c>
      <c r="CK185" s="14" t="s">
        <v>2408</v>
      </c>
      <c r="CL185" s="14" t="s">
        <v>3979</v>
      </c>
      <c r="CM185" s="87" t="s">
        <v>2409</v>
      </c>
      <c r="CN185" s="87" t="s">
        <v>5483</v>
      </c>
      <c r="CO185" s="233"/>
      <c r="CP185" s="233"/>
      <c r="CQ185" s="233"/>
      <c r="CR185" s="21" t="s">
        <v>2401</v>
      </c>
      <c r="CS185" s="21"/>
      <c r="CT185" s="21"/>
      <c r="CU185" s="14" t="s">
        <v>3840</v>
      </c>
      <c r="CV185" s="14">
        <v>4</v>
      </c>
      <c r="CW185" s="106" t="s">
        <v>3526</v>
      </c>
      <c r="CX185" s="14" t="s">
        <v>3548</v>
      </c>
      <c r="CY185" s="87" t="s">
        <v>3407</v>
      </c>
      <c r="CZ185" s="44" t="s">
        <v>2402</v>
      </c>
      <c r="DA185" s="21"/>
      <c r="DB185" s="21"/>
      <c r="DC185" s="233"/>
      <c r="DD185" s="21" t="s">
        <v>2401</v>
      </c>
      <c r="DE185" s="21"/>
      <c r="DF185" s="21"/>
      <c r="DG185" s="14" t="s">
        <v>3840</v>
      </c>
      <c r="DH185" s="14">
        <v>4</v>
      </c>
      <c r="DI185" s="106" t="s">
        <v>3526</v>
      </c>
      <c r="DJ185" s="14" t="s">
        <v>3548</v>
      </c>
      <c r="DK185" s="87" t="s">
        <v>3407</v>
      </c>
      <c r="DL185" s="44" t="s">
        <v>2402</v>
      </c>
      <c r="DM185" s="21"/>
      <c r="DN185" s="21"/>
      <c r="DO185" s="233"/>
      <c r="DP185" s="21"/>
      <c r="DQ185" s="21"/>
      <c r="DR185" s="21"/>
      <c r="DS185" s="14"/>
      <c r="DT185" s="14"/>
      <c r="DU185" s="14"/>
      <c r="DV185" s="14"/>
      <c r="DW185" s="14"/>
      <c r="DX185" s="87"/>
      <c r="DY185" s="21"/>
      <c r="DZ185" s="233"/>
      <c r="EA185" s="233"/>
      <c r="EB185" s="21"/>
      <c r="EC185" s="21"/>
      <c r="ED185" s="21"/>
      <c r="EE185" s="14"/>
      <c r="EF185" s="14"/>
      <c r="EG185" s="14"/>
      <c r="EH185" s="14"/>
      <c r="EI185" s="14"/>
      <c r="EJ185" s="87"/>
      <c r="EK185" s="21"/>
      <c r="EL185" s="233"/>
      <c r="EM185" s="233"/>
      <c r="EN185" s="21" t="s">
        <v>2401</v>
      </c>
      <c r="EO185" s="21"/>
      <c r="EP185" s="21"/>
      <c r="EQ185" s="14" t="s">
        <v>3840</v>
      </c>
      <c r="ER185" s="14">
        <v>4</v>
      </c>
      <c r="ES185" s="106" t="s">
        <v>3526</v>
      </c>
      <c r="ET185" s="14" t="s">
        <v>3548</v>
      </c>
      <c r="EU185" s="87" t="s">
        <v>3407</v>
      </c>
      <c r="EV185" s="44" t="s">
        <v>2402</v>
      </c>
      <c r="EW185" s="21"/>
      <c r="EX185" s="21"/>
      <c r="EY185" s="233"/>
      <c r="EZ185" s="233"/>
      <c r="FA185" s="233"/>
      <c r="FB185" s="233"/>
      <c r="FC185" s="233"/>
      <c r="FD185" s="233"/>
    </row>
    <row r="186" spans="1:160">
      <c r="A186" s="20" t="s">
        <v>2591</v>
      </c>
      <c r="B186" s="14">
        <v>3</v>
      </c>
      <c r="C186" s="14" t="s">
        <v>2593</v>
      </c>
      <c r="D186" s="14">
        <v>1</v>
      </c>
      <c r="E186" s="110" t="s">
        <v>3749</v>
      </c>
      <c r="F186" s="14" t="s">
        <v>2959</v>
      </c>
      <c r="G186" s="44" t="s">
        <v>3312</v>
      </c>
      <c r="H186" s="44" t="s">
        <v>2592</v>
      </c>
      <c r="I186" s="44" t="s">
        <v>3916</v>
      </c>
      <c r="J186" s="196" t="s">
        <v>4555</v>
      </c>
      <c r="L186" s="26"/>
      <c r="M186" s="21"/>
      <c r="N186" s="108"/>
      <c r="O186" s="108"/>
      <c r="P186" s="108"/>
      <c r="Q186" s="108"/>
      <c r="R186" s="108"/>
      <c r="S186" s="108"/>
      <c r="T186" s="282"/>
      <c r="U186" s="26"/>
      <c r="V186" s="21"/>
      <c r="W186" s="21"/>
      <c r="X186" s="26"/>
      <c r="Y186" s="21"/>
      <c r="Z186" s="108"/>
      <c r="AA186" s="108"/>
      <c r="AB186" s="108"/>
      <c r="AC186" s="108"/>
      <c r="AD186" s="108"/>
      <c r="AE186" s="108"/>
      <c r="AF186" s="282"/>
      <c r="AG186" s="26"/>
      <c r="AH186" s="21"/>
      <c r="AI186" s="21"/>
      <c r="AJ186" s="26"/>
      <c r="AK186" s="21"/>
      <c r="AL186" s="108"/>
      <c r="AM186" s="108"/>
      <c r="AN186" s="108"/>
      <c r="AO186" s="108"/>
      <c r="AP186" s="108"/>
      <c r="AQ186" s="108"/>
      <c r="AR186" s="282"/>
      <c r="AS186" s="26"/>
      <c r="AT186" s="21"/>
      <c r="AU186" s="21"/>
      <c r="AV186" s="21" t="s">
        <v>2406</v>
      </c>
      <c r="AW186" s="21"/>
      <c r="AX186" s="14"/>
      <c r="AY186" s="14" t="s">
        <v>2833</v>
      </c>
      <c r="AZ186" s="14" t="s">
        <v>2407</v>
      </c>
      <c r="BA186" s="14" t="s">
        <v>2408</v>
      </c>
      <c r="BB186" s="14" t="s">
        <v>3979</v>
      </c>
      <c r="BC186" s="87" t="s">
        <v>2409</v>
      </c>
      <c r="BD186" s="87" t="s">
        <v>5483</v>
      </c>
      <c r="BE186" s="14"/>
      <c r="BF186" s="21"/>
      <c r="BG186" s="21"/>
      <c r="BH186" s="21"/>
      <c r="BI186" s="21"/>
      <c r="BJ186" s="14"/>
      <c r="BK186" s="108"/>
      <c r="BL186" s="108"/>
      <c r="BM186" s="108"/>
      <c r="BN186" s="108"/>
      <c r="BO186" s="108"/>
      <c r="BP186" s="282"/>
      <c r="BQ186" s="14"/>
      <c r="BR186" s="21"/>
      <c r="BS186" s="233"/>
      <c r="BT186" s="21"/>
      <c r="BU186" s="21"/>
      <c r="BV186" s="14"/>
      <c r="BW186" s="108"/>
      <c r="BX186" s="108"/>
      <c r="BY186" s="108"/>
      <c r="BZ186" s="108"/>
      <c r="CA186" s="108"/>
      <c r="CB186" s="282"/>
      <c r="CC186" s="233"/>
      <c r="CD186" s="233"/>
      <c r="CE186" s="233"/>
      <c r="CF186" s="21"/>
      <c r="CG186" s="21"/>
      <c r="CH186" s="14"/>
      <c r="CI186" s="108"/>
      <c r="CJ186" s="108"/>
      <c r="CK186" s="108"/>
      <c r="CL186" s="108"/>
      <c r="CM186" s="108"/>
      <c r="CN186" s="282"/>
      <c r="CO186" s="233"/>
      <c r="CP186" s="233"/>
      <c r="CQ186" s="233"/>
      <c r="CR186" s="26"/>
      <c r="CS186" s="21"/>
      <c r="CT186" s="108"/>
      <c r="CU186" s="108"/>
      <c r="CV186" s="108"/>
      <c r="CW186" s="108"/>
      <c r="CX186" s="108"/>
      <c r="CY186" s="108"/>
      <c r="CZ186" s="282"/>
      <c r="DA186" s="26"/>
      <c r="DB186" s="21"/>
      <c r="DC186" s="233"/>
      <c r="DD186" s="26"/>
      <c r="DE186" s="21"/>
      <c r="DF186" s="108"/>
      <c r="DG186" s="108"/>
      <c r="DH186" s="108"/>
      <c r="DI186" s="108"/>
      <c r="DJ186" s="108"/>
      <c r="DK186" s="108"/>
      <c r="DL186" s="282"/>
      <c r="DM186" s="26"/>
      <c r="DN186" s="21"/>
      <c r="DO186" s="233"/>
      <c r="DP186" s="26"/>
      <c r="DQ186" s="21"/>
      <c r="DR186" s="108"/>
      <c r="DS186" s="108"/>
      <c r="DT186" s="108"/>
      <c r="DU186" s="108"/>
      <c r="DV186" s="108"/>
      <c r="DW186" s="108"/>
      <c r="DX186" s="282"/>
      <c r="DY186" s="26"/>
      <c r="DZ186" s="233"/>
      <c r="EA186" s="233"/>
      <c r="EB186" s="26"/>
      <c r="EC186" s="21"/>
      <c r="ED186" s="108"/>
      <c r="EE186" s="108"/>
      <c r="EF186" s="108"/>
      <c r="EG186" s="108"/>
      <c r="EH186" s="108"/>
      <c r="EI186" s="108"/>
      <c r="EJ186" s="282"/>
      <c r="EK186" s="26"/>
      <c r="EL186" s="233"/>
      <c r="EM186" s="233"/>
      <c r="EN186" s="26"/>
      <c r="EO186" s="21"/>
      <c r="EP186" s="108"/>
      <c r="EQ186" s="108"/>
      <c r="ER186" s="108"/>
      <c r="ES186" s="108"/>
      <c r="ET186" s="108"/>
      <c r="EU186" s="108"/>
      <c r="EV186" s="282"/>
      <c r="EW186" s="26"/>
      <c r="EX186" s="21"/>
      <c r="EY186" s="233"/>
      <c r="EZ186" s="233"/>
      <c r="FA186" s="233"/>
      <c r="FB186" s="233"/>
      <c r="FC186" s="233"/>
      <c r="FD186" s="233"/>
    </row>
    <row r="187" spans="1:160">
      <c r="A187" s="20" t="s">
        <v>3777</v>
      </c>
      <c r="B187" s="14">
        <v>3</v>
      </c>
      <c r="C187" s="14" t="s">
        <v>3412</v>
      </c>
      <c r="D187" s="14">
        <v>1</v>
      </c>
      <c r="E187" s="110" t="s">
        <v>3778</v>
      </c>
      <c r="F187" s="14" t="s">
        <v>3473</v>
      </c>
      <c r="G187" s="44" t="s">
        <v>3736</v>
      </c>
      <c r="H187" s="44" t="s">
        <v>3779</v>
      </c>
      <c r="I187" s="44">
        <v>2</v>
      </c>
      <c r="J187" s="28" t="s">
        <v>4447</v>
      </c>
      <c r="L187" s="26"/>
      <c r="M187" s="21"/>
      <c r="N187" s="108"/>
      <c r="O187" s="108"/>
      <c r="P187" s="108"/>
      <c r="Q187" s="108"/>
      <c r="R187" s="108"/>
      <c r="S187" s="108"/>
      <c r="T187" s="282"/>
      <c r="U187" s="26"/>
      <c r="V187" s="21"/>
      <c r="W187" s="21"/>
      <c r="X187" s="26"/>
      <c r="Y187" s="21"/>
      <c r="Z187" s="108"/>
      <c r="AA187" s="108"/>
      <c r="AB187" s="108"/>
      <c r="AC187" s="108"/>
      <c r="AD187" s="108"/>
      <c r="AE187" s="108"/>
      <c r="AF187" s="282"/>
      <c r="AG187" s="26"/>
      <c r="AH187" s="21"/>
      <c r="AI187" s="21"/>
      <c r="AJ187" s="26"/>
      <c r="AK187" s="21"/>
      <c r="AL187" s="108"/>
      <c r="AM187" s="108"/>
      <c r="AN187" s="108"/>
      <c r="AO187" s="108"/>
      <c r="AP187" s="108"/>
      <c r="AQ187" s="108"/>
      <c r="AR187" s="282"/>
      <c r="AS187" s="26"/>
      <c r="AT187" s="21"/>
      <c r="AU187" s="21"/>
      <c r="AV187" s="26"/>
      <c r="AW187" s="21"/>
      <c r="AX187" s="108"/>
      <c r="AY187" s="108"/>
      <c r="AZ187" s="108"/>
      <c r="BA187" s="108"/>
      <c r="BB187" s="108"/>
      <c r="BC187" s="108"/>
      <c r="BD187" s="282"/>
      <c r="BE187" s="26"/>
      <c r="BF187" s="21"/>
      <c r="BG187" s="21"/>
      <c r="BH187" s="21"/>
      <c r="BI187" s="21"/>
      <c r="BJ187" s="14"/>
      <c r="BK187" s="108"/>
      <c r="BL187" s="108"/>
      <c r="BM187" s="108"/>
      <c r="BN187" s="108"/>
      <c r="BO187" s="108"/>
      <c r="BP187" s="282"/>
      <c r="BQ187" s="14"/>
      <c r="BR187" s="21"/>
      <c r="BS187" s="233"/>
      <c r="BT187" s="21"/>
      <c r="BU187" s="21"/>
      <c r="BV187" s="14"/>
      <c r="BW187" s="108"/>
      <c r="BX187" s="108"/>
      <c r="BY187" s="108"/>
      <c r="BZ187" s="108"/>
      <c r="CA187" s="108"/>
      <c r="CB187" s="282"/>
      <c r="CC187" s="233"/>
      <c r="CD187" s="233"/>
      <c r="CE187" s="233"/>
      <c r="CF187" s="21"/>
      <c r="CG187" s="21"/>
      <c r="CH187" s="14"/>
      <c r="CI187" s="108"/>
      <c r="CJ187" s="108"/>
      <c r="CK187" s="108"/>
      <c r="CL187" s="108"/>
      <c r="CM187" s="108"/>
      <c r="CN187" s="282"/>
      <c r="CO187" s="233"/>
      <c r="CP187" s="233"/>
      <c r="CQ187" s="233"/>
      <c r="CR187" s="26"/>
      <c r="CS187" s="21"/>
      <c r="CT187" s="108"/>
      <c r="CU187" s="108"/>
      <c r="CV187" s="108"/>
      <c r="CW187" s="108"/>
      <c r="CX187" s="108"/>
      <c r="CY187" s="108"/>
      <c r="CZ187" s="282"/>
      <c r="DA187" s="26"/>
      <c r="DB187" s="21"/>
      <c r="DC187" s="233"/>
      <c r="DD187" s="26"/>
      <c r="DE187" s="21"/>
      <c r="DF187" s="108"/>
      <c r="DG187" s="108"/>
      <c r="DH187" s="108"/>
      <c r="DI187" s="108"/>
      <c r="DJ187" s="108"/>
      <c r="DK187" s="108"/>
      <c r="DL187" s="282"/>
      <c r="DM187" s="26"/>
      <c r="DN187" s="21"/>
      <c r="DO187" s="233"/>
      <c r="DP187" s="26"/>
      <c r="DQ187" s="21"/>
      <c r="DR187" s="108"/>
      <c r="DS187" s="108"/>
      <c r="DT187" s="108"/>
      <c r="DU187" s="108"/>
      <c r="DV187" s="108"/>
      <c r="DW187" s="108"/>
      <c r="DX187" s="282"/>
      <c r="DY187" s="26"/>
      <c r="DZ187" s="233"/>
      <c r="EA187" s="233"/>
      <c r="EB187" s="26"/>
      <c r="EC187" s="21"/>
      <c r="ED187" s="108"/>
      <c r="EE187" s="108"/>
      <c r="EF187" s="108"/>
      <c r="EG187" s="108"/>
      <c r="EH187" s="108"/>
      <c r="EI187" s="108"/>
      <c r="EJ187" s="282"/>
      <c r="EK187" s="26"/>
      <c r="EL187" s="233"/>
      <c r="EM187" s="233"/>
      <c r="EN187" s="26"/>
      <c r="EO187" s="21"/>
      <c r="EP187" s="108"/>
      <c r="EQ187" s="108"/>
      <c r="ER187" s="108"/>
      <c r="ES187" s="108"/>
      <c r="ET187" s="108"/>
      <c r="EU187" s="108"/>
      <c r="EV187" s="282"/>
      <c r="EW187" s="26"/>
      <c r="EX187" s="21"/>
      <c r="EY187" s="233"/>
      <c r="EZ187" s="233"/>
      <c r="FA187" s="233"/>
      <c r="FB187" s="233"/>
      <c r="FC187" s="233"/>
      <c r="FD187" s="233"/>
    </row>
    <row r="188" spans="1:160">
      <c r="A188" s="20" t="s">
        <v>3591</v>
      </c>
      <c r="B188" s="14">
        <v>3</v>
      </c>
      <c r="C188" s="14" t="s">
        <v>3412</v>
      </c>
      <c r="D188" s="14" t="s">
        <v>5036</v>
      </c>
      <c r="E188" s="14" t="s">
        <v>3472</v>
      </c>
      <c r="F188" s="14" t="s">
        <v>3947</v>
      </c>
      <c r="G188" s="44" t="s">
        <v>3759</v>
      </c>
      <c r="H188" s="44" t="s">
        <v>3775</v>
      </c>
      <c r="I188" s="44" t="s">
        <v>3916</v>
      </c>
      <c r="J188" s="28" t="s">
        <v>4037</v>
      </c>
      <c r="L188" s="21"/>
      <c r="M188" s="21"/>
      <c r="N188" s="21"/>
      <c r="O188" s="14"/>
      <c r="P188" s="14"/>
      <c r="Q188" s="14"/>
      <c r="R188" s="14"/>
      <c r="S188" s="14"/>
      <c r="T188" s="87"/>
      <c r="U188" s="21"/>
      <c r="V188" s="21"/>
      <c r="W188" s="21"/>
      <c r="X188" s="21"/>
      <c r="Y188" s="21"/>
      <c r="Z188" s="21"/>
      <c r="AA188" s="14"/>
      <c r="AB188" s="14"/>
      <c r="AC188" s="14"/>
      <c r="AD188" s="14"/>
      <c r="AE188" s="14"/>
      <c r="AF188" s="87"/>
      <c r="AG188" s="21"/>
      <c r="AH188" s="21"/>
      <c r="AI188" s="21"/>
      <c r="AJ188" s="21"/>
      <c r="AK188" s="21"/>
      <c r="AL188" s="21"/>
      <c r="AM188" s="14"/>
      <c r="AN188" s="14"/>
      <c r="AO188" s="14"/>
      <c r="AP188" s="14"/>
      <c r="AQ188" s="14"/>
      <c r="AR188" s="87"/>
      <c r="AS188" s="21"/>
      <c r="AT188" s="21"/>
      <c r="AU188" s="21"/>
      <c r="AV188" s="21"/>
      <c r="AW188" s="21"/>
      <c r="AX188" s="21"/>
      <c r="AY188" s="14"/>
      <c r="AZ188" s="14"/>
      <c r="BA188" s="14"/>
      <c r="BB188" s="14"/>
      <c r="BC188" s="14"/>
      <c r="BD188" s="87"/>
      <c r="BE188" s="21"/>
      <c r="BF188" s="21"/>
      <c r="BG188" s="21"/>
      <c r="BH188" s="21"/>
      <c r="BI188" s="21"/>
      <c r="BJ188" s="21"/>
      <c r="BK188" s="14"/>
      <c r="BL188" s="14"/>
      <c r="BM188" s="14"/>
      <c r="BN188" s="14"/>
      <c r="BO188" s="14"/>
      <c r="BP188" s="87"/>
      <c r="BQ188" s="21"/>
      <c r="BR188" s="21"/>
      <c r="BS188" s="233"/>
      <c r="BT188" s="21"/>
      <c r="BU188" s="21"/>
      <c r="BV188" s="21"/>
      <c r="BW188" s="14"/>
      <c r="BX188" s="14"/>
      <c r="BY188" s="14"/>
      <c r="BZ188" s="14"/>
      <c r="CA188" s="14"/>
      <c r="CB188" s="87"/>
      <c r="CC188" s="233"/>
      <c r="CD188" s="233"/>
      <c r="CE188" s="233"/>
      <c r="CF188" s="21"/>
      <c r="CG188" s="21"/>
      <c r="CH188" s="21"/>
      <c r="CI188" s="14"/>
      <c r="CJ188" s="14"/>
      <c r="CK188" s="14"/>
      <c r="CL188" s="14"/>
      <c r="CM188" s="14"/>
      <c r="CN188" s="87"/>
      <c r="CO188" s="233"/>
      <c r="CP188" s="233"/>
      <c r="CQ188" s="233"/>
      <c r="CR188" s="21"/>
      <c r="CS188" s="21"/>
      <c r="CT188" s="21"/>
      <c r="CU188" s="14"/>
      <c r="CV188" s="14"/>
      <c r="CW188" s="14"/>
      <c r="CX188" s="14"/>
      <c r="CY188" s="14"/>
      <c r="CZ188" s="87"/>
      <c r="DA188" s="21"/>
      <c r="DB188" s="21"/>
      <c r="DC188" s="233"/>
      <c r="DD188" s="21"/>
      <c r="DE188" s="21"/>
      <c r="DF188" s="21"/>
      <c r="DG188" s="14"/>
      <c r="DH188" s="14"/>
      <c r="DI188" s="14"/>
      <c r="DJ188" s="14"/>
      <c r="DK188" s="14"/>
      <c r="DL188" s="87"/>
      <c r="DM188" s="21"/>
      <c r="DN188" s="21"/>
      <c r="DO188" s="233"/>
      <c r="DP188" s="21"/>
      <c r="DQ188" s="21"/>
      <c r="DR188" s="21"/>
      <c r="DS188" s="14"/>
      <c r="DT188" s="14"/>
      <c r="DU188" s="14"/>
      <c r="DV188" s="14"/>
      <c r="DW188" s="14"/>
      <c r="DX188" s="87"/>
      <c r="DY188" s="21"/>
      <c r="DZ188" s="233"/>
      <c r="EA188" s="233"/>
      <c r="EB188" s="21"/>
      <c r="EC188" s="21"/>
      <c r="ED188" s="21"/>
      <c r="EE188" s="14"/>
      <c r="EF188" s="14"/>
      <c r="EG188" s="14"/>
      <c r="EH188" s="14"/>
      <c r="EI188" s="14"/>
      <c r="EJ188" s="87"/>
      <c r="EK188" s="21"/>
      <c r="EL188" s="233"/>
      <c r="EM188" s="233"/>
      <c r="EN188" s="21"/>
      <c r="EO188" s="21"/>
      <c r="EP188" s="21"/>
      <c r="EQ188" s="14"/>
      <c r="ER188" s="14"/>
      <c r="ES188" s="14"/>
      <c r="ET188" s="14"/>
      <c r="EU188" s="14"/>
      <c r="EV188" s="87"/>
      <c r="EW188" s="21"/>
      <c r="EX188" s="21"/>
      <c r="EY188" s="233"/>
      <c r="EZ188" s="233"/>
      <c r="FA188" s="233"/>
      <c r="FB188" s="233"/>
      <c r="FC188" s="233"/>
      <c r="FD188" s="233"/>
    </row>
    <row r="189" spans="1:160">
      <c r="A189" s="20" t="s">
        <v>3783</v>
      </c>
      <c r="B189" s="14">
        <v>3</v>
      </c>
      <c r="C189" s="14" t="s">
        <v>3666</v>
      </c>
      <c r="D189" s="14">
        <v>1</v>
      </c>
      <c r="E189" s="110" t="s">
        <v>3749</v>
      </c>
      <c r="F189" s="14" t="s">
        <v>3947</v>
      </c>
      <c r="G189" s="44" t="s">
        <v>3948</v>
      </c>
      <c r="H189" s="44" t="s">
        <v>3799</v>
      </c>
      <c r="I189" s="44" t="s">
        <v>2477</v>
      </c>
      <c r="J189" s="28" t="s">
        <v>4369</v>
      </c>
      <c r="L189" s="26" t="s">
        <v>5418</v>
      </c>
      <c r="M189" s="21"/>
      <c r="N189" s="108" t="s">
        <v>5018</v>
      </c>
      <c r="O189" s="108" t="s">
        <v>5701</v>
      </c>
      <c r="P189" s="108" t="s">
        <v>5019</v>
      </c>
      <c r="Q189" s="108" t="s">
        <v>5020</v>
      </c>
      <c r="R189" s="108" t="s">
        <v>5021</v>
      </c>
      <c r="S189" s="108" t="s">
        <v>5022</v>
      </c>
      <c r="T189" s="282" t="s">
        <v>5316</v>
      </c>
      <c r="U189" s="26"/>
      <c r="V189" s="21"/>
      <c r="W189" s="21"/>
      <c r="X189" s="26" t="s">
        <v>5418</v>
      </c>
      <c r="Y189" s="21"/>
      <c r="Z189" s="108" t="s">
        <v>5018</v>
      </c>
      <c r="AA189" s="108" t="s">
        <v>5701</v>
      </c>
      <c r="AB189" s="108" t="s">
        <v>5019</v>
      </c>
      <c r="AC189" s="108" t="s">
        <v>5020</v>
      </c>
      <c r="AD189" s="108" t="s">
        <v>5021</v>
      </c>
      <c r="AE189" s="108" t="s">
        <v>5022</v>
      </c>
      <c r="AF189" s="282" t="s">
        <v>5316</v>
      </c>
      <c r="AG189" s="26"/>
      <c r="AH189" s="21"/>
      <c r="AI189" s="21"/>
      <c r="AJ189" s="26" t="s">
        <v>5418</v>
      </c>
      <c r="AK189" s="21"/>
      <c r="AL189" s="108" t="s">
        <v>5018</v>
      </c>
      <c r="AM189" s="108" t="s">
        <v>5701</v>
      </c>
      <c r="AN189" s="108" t="s">
        <v>5019</v>
      </c>
      <c r="AO189" s="108" t="s">
        <v>5020</v>
      </c>
      <c r="AP189" s="108" t="s">
        <v>5021</v>
      </c>
      <c r="AQ189" s="108" t="s">
        <v>5022</v>
      </c>
      <c r="AR189" s="282" t="s">
        <v>5316</v>
      </c>
      <c r="AS189" s="26"/>
      <c r="AT189" s="21"/>
      <c r="AU189" s="21"/>
      <c r="AV189" s="26" t="s">
        <v>5418</v>
      </c>
      <c r="AW189" s="21"/>
      <c r="AX189" s="108" t="s">
        <v>5018</v>
      </c>
      <c r="AY189" s="108" t="s">
        <v>5701</v>
      </c>
      <c r="AZ189" s="108" t="s">
        <v>5019</v>
      </c>
      <c r="BA189" s="108" t="s">
        <v>5020</v>
      </c>
      <c r="BB189" s="108" t="s">
        <v>5021</v>
      </c>
      <c r="BC189" s="108" t="s">
        <v>5022</v>
      </c>
      <c r="BD189" s="282" t="s">
        <v>5316</v>
      </c>
      <c r="BE189" s="26"/>
      <c r="BF189" s="21"/>
      <c r="BG189" s="21"/>
      <c r="BH189" s="26" t="s">
        <v>5418</v>
      </c>
      <c r="BI189" s="21"/>
      <c r="BJ189" s="108" t="s">
        <v>5018</v>
      </c>
      <c r="BK189" s="108" t="s">
        <v>5701</v>
      </c>
      <c r="BL189" s="108" t="s">
        <v>5019</v>
      </c>
      <c r="BM189" s="108" t="s">
        <v>5020</v>
      </c>
      <c r="BN189" s="108" t="s">
        <v>5021</v>
      </c>
      <c r="BO189" s="108" t="s">
        <v>5022</v>
      </c>
      <c r="BP189" s="282" t="s">
        <v>5316</v>
      </c>
      <c r="BQ189" s="26"/>
      <c r="BR189" s="21"/>
      <c r="BS189" s="233"/>
      <c r="BT189" s="26" t="s">
        <v>5418</v>
      </c>
      <c r="BU189" s="21"/>
      <c r="BV189" s="108" t="s">
        <v>5018</v>
      </c>
      <c r="BW189" s="108" t="s">
        <v>5701</v>
      </c>
      <c r="BX189" s="108" t="s">
        <v>5019</v>
      </c>
      <c r="BY189" s="108" t="s">
        <v>5020</v>
      </c>
      <c r="BZ189" s="108" t="s">
        <v>5021</v>
      </c>
      <c r="CA189" s="108" t="s">
        <v>5022</v>
      </c>
      <c r="CB189" s="282" t="s">
        <v>5316</v>
      </c>
      <c r="CC189" s="233"/>
      <c r="CD189" s="233"/>
      <c r="CE189" s="233"/>
      <c r="CF189" s="26" t="s">
        <v>5418</v>
      </c>
      <c r="CG189" s="21"/>
      <c r="CH189" s="108" t="s">
        <v>5018</v>
      </c>
      <c r="CI189" s="108" t="s">
        <v>5701</v>
      </c>
      <c r="CJ189" s="108" t="s">
        <v>5019</v>
      </c>
      <c r="CK189" s="108" t="s">
        <v>5020</v>
      </c>
      <c r="CL189" s="108" t="s">
        <v>5021</v>
      </c>
      <c r="CM189" s="108" t="s">
        <v>5022</v>
      </c>
      <c r="CN189" s="282" t="s">
        <v>5316</v>
      </c>
      <c r="CO189" s="233"/>
      <c r="CP189" s="233"/>
      <c r="CQ189" s="233"/>
      <c r="CR189" s="26" t="s">
        <v>5418</v>
      </c>
      <c r="CS189" s="21"/>
      <c r="CT189" s="108" t="s">
        <v>5018</v>
      </c>
      <c r="CU189" s="108" t="s">
        <v>5701</v>
      </c>
      <c r="CV189" s="108" t="s">
        <v>5019</v>
      </c>
      <c r="CW189" s="108" t="s">
        <v>5020</v>
      </c>
      <c r="CX189" s="108" t="s">
        <v>5021</v>
      </c>
      <c r="CY189" s="108" t="s">
        <v>5022</v>
      </c>
      <c r="CZ189" s="282" t="s">
        <v>5316</v>
      </c>
      <c r="DA189" s="26"/>
      <c r="DB189" s="21"/>
      <c r="DC189" s="233"/>
      <c r="DD189" s="26" t="s">
        <v>5418</v>
      </c>
      <c r="DE189" s="21"/>
      <c r="DF189" s="108" t="s">
        <v>5018</v>
      </c>
      <c r="DG189" s="108" t="s">
        <v>5701</v>
      </c>
      <c r="DH189" s="108" t="s">
        <v>5019</v>
      </c>
      <c r="DI189" s="108" t="s">
        <v>5020</v>
      </c>
      <c r="DJ189" s="108" t="s">
        <v>5021</v>
      </c>
      <c r="DK189" s="108" t="s">
        <v>5022</v>
      </c>
      <c r="DL189" s="282" t="s">
        <v>5316</v>
      </c>
      <c r="DM189" s="26"/>
      <c r="DN189" s="21"/>
      <c r="DO189" s="233"/>
      <c r="DP189" s="26" t="s">
        <v>5418</v>
      </c>
      <c r="DQ189" s="21"/>
      <c r="DR189" s="108" t="s">
        <v>5018</v>
      </c>
      <c r="DS189" s="108" t="s">
        <v>5701</v>
      </c>
      <c r="DT189" s="108" t="s">
        <v>5019</v>
      </c>
      <c r="DU189" s="108" t="s">
        <v>5020</v>
      </c>
      <c r="DV189" s="108" t="s">
        <v>5021</v>
      </c>
      <c r="DW189" s="108" t="s">
        <v>5022</v>
      </c>
      <c r="DX189" s="282" t="s">
        <v>5316</v>
      </c>
      <c r="DY189" s="26"/>
      <c r="DZ189" s="233"/>
      <c r="EA189" s="233"/>
      <c r="EB189" s="26" t="s">
        <v>5418</v>
      </c>
      <c r="EC189" s="21"/>
      <c r="ED189" s="108" t="s">
        <v>5018</v>
      </c>
      <c r="EE189" s="108" t="s">
        <v>5701</v>
      </c>
      <c r="EF189" s="108" t="s">
        <v>5019</v>
      </c>
      <c r="EG189" s="108" t="s">
        <v>5020</v>
      </c>
      <c r="EH189" s="108" t="s">
        <v>5021</v>
      </c>
      <c r="EI189" s="108" t="s">
        <v>5022</v>
      </c>
      <c r="EJ189" s="282" t="s">
        <v>5316</v>
      </c>
      <c r="EK189" s="26"/>
      <c r="EL189" s="233"/>
      <c r="EM189" s="233"/>
      <c r="EN189" s="26" t="s">
        <v>5418</v>
      </c>
      <c r="EO189" s="21"/>
      <c r="EP189" s="108" t="s">
        <v>5018</v>
      </c>
      <c r="EQ189" s="108" t="s">
        <v>5701</v>
      </c>
      <c r="ER189" s="108" t="s">
        <v>5019</v>
      </c>
      <c r="ES189" s="108" t="s">
        <v>5020</v>
      </c>
      <c r="ET189" s="108" t="s">
        <v>5021</v>
      </c>
      <c r="EU189" s="108" t="s">
        <v>5022</v>
      </c>
      <c r="EV189" s="282" t="s">
        <v>5316</v>
      </c>
      <c r="EW189" s="26"/>
      <c r="EX189" s="21"/>
      <c r="EY189" s="233"/>
      <c r="EZ189" s="233"/>
      <c r="FA189" s="233"/>
      <c r="FB189" s="233"/>
      <c r="FC189" s="233"/>
      <c r="FD189" s="233"/>
    </row>
    <row r="190" spans="1:160">
      <c r="A190" s="20" t="s">
        <v>3587</v>
      </c>
      <c r="B190" s="14">
        <v>3</v>
      </c>
      <c r="C190" s="14" t="s">
        <v>3588</v>
      </c>
      <c r="D190" s="14">
        <v>3</v>
      </c>
      <c r="E190" s="110" t="s">
        <v>3663</v>
      </c>
      <c r="F190" s="14" t="s">
        <v>3914</v>
      </c>
      <c r="G190" s="44" t="s">
        <v>3612</v>
      </c>
      <c r="H190" s="44" t="s">
        <v>3859</v>
      </c>
      <c r="I190" s="44">
        <v>2</v>
      </c>
      <c r="J190" s="28" t="s">
        <v>3537</v>
      </c>
      <c r="L190" s="21" t="s">
        <v>2410</v>
      </c>
      <c r="M190" s="21"/>
      <c r="N190" s="14"/>
      <c r="O190" s="14" t="s">
        <v>2404</v>
      </c>
      <c r="P190" s="14">
        <v>6</v>
      </c>
      <c r="Q190" s="14" t="s">
        <v>2411</v>
      </c>
      <c r="R190" s="14" t="s">
        <v>3548</v>
      </c>
      <c r="S190" s="14" t="s">
        <v>2521</v>
      </c>
      <c r="T190" s="87" t="s">
        <v>2412</v>
      </c>
      <c r="U190" s="21"/>
      <c r="V190" s="21"/>
      <c r="W190" s="21"/>
      <c r="X190" s="21"/>
      <c r="Y190" s="21"/>
      <c r="Z190" s="21"/>
      <c r="AA190" s="14"/>
      <c r="AB190" s="14"/>
      <c r="AC190" s="14"/>
      <c r="AD190" s="14"/>
      <c r="AE190" s="14"/>
      <c r="AF190" s="87"/>
      <c r="AG190" s="21"/>
      <c r="AH190" s="21"/>
      <c r="AI190" s="21"/>
      <c r="AJ190" s="21" t="s">
        <v>2814</v>
      </c>
      <c r="AK190" s="21"/>
      <c r="AL190" s="14" t="s">
        <v>2653</v>
      </c>
      <c r="AM190" s="14">
        <v>3</v>
      </c>
      <c r="AN190" s="14">
        <v>3</v>
      </c>
      <c r="AO190" s="14" t="s">
        <v>2654</v>
      </c>
      <c r="AP190" s="14" t="s">
        <v>3898</v>
      </c>
      <c r="AQ190" s="87" t="s">
        <v>3736</v>
      </c>
      <c r="AR190" s="87" t="s">
        <v>3351</v>
      </c>
      <c r="AS190" s="14"/>
      <c r="AT190" s="21"/>
      <c r="AU190" s="21"/>
      <c r="AV190" s="21" t="s">
        <v>2413</v>
      </c>
      <c r="AW190" s="21"/>
      <c r="AX190" s="14"/>
      <c r="AY190" s="14" t="s">
        <v>2404</v>
      </c>
      <c r="AZ190" s="14">
        <v>6</v>
      </c>
      <c r="BA190" s="14" t="s">
        <v>2414</v>
      </c>
      <c r="BB190" s="14" t="s">
        <v>3898</v>
      </c>
      <c r="BC190" s="87" t="s">
        <v>3736</v>
      </c>
      <c r="BD190" s="87" t="s">
        <v>2415</v>
      </c>
      <c r="BE190" s="14"/>
      <c r="BF190" s="21"/>
      <c r="BG190" s="21"/>
      <c r="BH190" s="21" t="s">
        <v>2416</v>
      </c>
      <c r="BI190" s="21"/>
      <c r="BJ190" s="14"/>
      <c r="BK190" s="14" t="s">
        <v>2417</v>
      </c>
      <c r="BL190" s="14">
        <v>5</v>
      </c>
      <c r="BM190" s="14" t="s">
        <v>2418</v>
      </c>
      <c r="BN190" s="14" t="s">
        <v>3898</v>
      </c>
      <c r="BO190" s="87" t="s">
        <v>3736</v>
      </c>
      <c r="BP190" s="87" t="s">
        <v>3047</v>
      </c>
      <c r="BQ190" s="14"/>
      <c r="BR190" s="21"/>
      <c r="BS190" s="233"/>
      <c r="BT190" s="21" t="s">
        <v>2814</v>
      </c>
      <c r="BU190" s="21"/>
      <c r="BV190" s="14" t="s">
        <v>2653</v>
      </c>
      <c r="BW190" s="14">
        <v>3</v>
      </c>
      <c r="BX190" s="14">
        <v>3</v>
      </c>
      <c r="BY190" s="14" t="s">
        <v>2654</v>
      </c>
      <c r="BZ190" s="14" t="s">
        <v>3898</v>
      </c>
      <c r="CA190" s="87" t="s">
        <v>3736</v>
      </c>
      <c r="CB190" s="87" t="s">
        <v>3351</v>
      </c>
      <c r="CC190" s="233"/>
      <c r="CD190" s="233"/>
      <c r="CE190" s="233"/>
      <c r="CF190" s="21" t="s">
        <v>2416</v>
      </c>
      <c r="CG190" s="21"/>
      <c r="CH190" s="14"/>
      <c r="CI190" s="14" t="s">
        <v>2417</v>
      </c>
      <c r="CJ190" s="14">
        <v>5</v>
      </c>
      <c r="CK190" s="14" t="s">
        <v>2418</v>
      </c>
      <c r="CL190" s="14" t="s">
        <v>3898</v>
      </c>
      <c r="CM190" s="87" t="s">
        <v>3736</v>
      </c>
      <c r="CN190" s="87" t="s">
        <v>3047</v>
      </c>
      <c r="CO190" s="233"/>
      <c r="CP190" s="233"/>
      <c r="CQ190" s="233"/>
      <c r="CR190" s="21"/>
      <c r="CS190" s="21"/>
      <c r="CT190" s="21"/>
      <c r="CU190" s="14"/>
      <c r="CV190" s="14"/>
      <c r="CW190" s="14"/>
      <c r="CX190" s="14"/>
      <c r="CY190" s="14"/>
      <c r="CZ190" s="87"/>
      <c r="DA190" s="21"/>
      <c r="DB190" s="21"/>
      <c r="DC190" s="233"/>
      <c r="DD190" s="21"/>
      <c r="DE190" s="21"/>
      <c r="DF190" s="21"/>
      <c r="DG190" s="14"/>
      <c r="DH190" s="14"/>
      <c r="DI190" s="14"/>
      <c r="DJ190" s="14"/>
      <c r="DK190" s="14"/>
      <c r="DL190" s="87"/>
      <c r="DM190" s="21"/>
      <c r="DN190" s="21"/>
      <c r="DO190" s="233"/>
      <c r="DP190" s="21" t="s">
        <v>2814</v>
      </c>
      <c r="DQ190" s="21"/>
      <c r="DR190" s="14" t="s">
        <v>2653</v>
      </c>
      <c r="DS190" s="14">
        <v>3</v>
      </c>
      <c r="DT190" s="14">
        <v>3</v>
      </c>
      <c r="DU190" s="14" t="s">
        <v>2654</v>
      </c>
      <c r="DV190" s="14" t="s">
        <v>3898</v>
      </c>
      <c r="DW190" s="87" t="s">
        <v>3736</v>
      </c>
      <c r="DX190" s="87" t="s">
        <v>3351</v>
      </c>
      <c r="DY190" s="14"/>
      <c r="DZ190" s="233"/>
      <c r="EA190" s="233"/>
      <c r="EB190" s="21" t="s">
        <v>2814</v>
      </c>
      <c r="EC190" s="21"/>
      <c r="ED190" s="14" t="s">
        <v>2653</v>
      </c>
      <c r="EE190" s="14">
        <v>3</v>
      </c>
      <c r="EF190" s="14">
        <v>3</v>
      </c>
      <c r="EG190" s="14" t="s">
        <v>2654</v>
      </c>
      <c r="EH190" s="14" t="s">
        <v>3898</v>
      </c>
      <c r="EI190" s="87" t="s">
        <v>3736</v>
      </c>
      <c r="EJ190" s="87" t="s">
        <v>3351</v>
      </c>
      <c r="EK190" s="14"/>
      <c r="EL190" s="233"/>
      <c r="EM190" s="233"/>
      <c r="EN190" s="21"/>
      <c r="EO190" s="21"/>
      <c r="EP190" s="21"/>
      <c r="EQ190" s="14"/>
      <c r="ER190" s="14"/>
      <c r="ES190" s="14"/>
      <c r="ET190" s="14"/>
      <c r="EU190" s="14"/>
      <c r="EV190" s="87"/>
      <c r="EW190" s="21"/>
      <c r="EX190" s="21"/>
      <c r="EY190" s="233"/>
      <c r="EZ190" s="233"/>
      <c r="FA190" s="233"/>
      <c r="FB190" s="233"/>
      <c r="FC190" s="233"/>
      <c r="FD190" s="233"/>
    </row>
    <row r="191" spans="1:160">
      <c r="A191" s="20" t="s">
        <v>3800</v>
      </c>
      <c r="B191" s="14">
        <v>3</v>
      </c>
      <c r="C191" s="14" t="s">
        <v>3588</v>
      </c>
      <c r="D191" s="14">
        <v>2</v>
      </c>
      <c r="E191" s="110" t="s">
        <v>3801</v>
      </c>
      <c r="F191" s="14" t="s">
        <v>3618</v>
      </c>
      <c r="G191" s="44" t="s">
        <v>3420</v>
      </c>
      <c r="H191" s="44" t="s">
        <v>5483</v>
      </c>
      <c r="I191" s="44">
        <v>2</v>
      </c>
      <c r="J191" s="28" t="s">
        <v>5232</v>
      </c>
      <c r="L191" s="21"/>
      <c r="M191" s="21"/>
      <c r="N191" s="21"/>
      <c r="O191" s="14"/>
      <c r="P191" s="14"/>
      <c r="Q191" s="14"/>
      <c r="R191" s="14"/>
      <c r="S191" s="14"/>
      <c r="T191" s="87"/>
      <c r="U191" s="21"/>
      <c r="V191" s="21"/>
      <c r="W191" s="21"/>
      <c r="X191" s="21"/>
      <c r="Y191" s="21"/>
      <c r="Z191" s="21"/>
      <c r="AA191" s="14"/>
      <c r="AB191" s="14"/>
      <c r="AC191" s="14"/>
      <c r="AD191" s="14"/>
      <c r="AE191" s="14"/>
      <c r="AF191" s="87"/>
      <c r="AG191" s="21"/>
      <c r="AH191" s="21"/>
      <c r="AI191" s="21"/>
      <c r="AJ191" s="21"/>
      <c r="AK191" s="21"/>
      <c r="AL191" s="14"/>
      <c r="AM191" s="14"/>
      <c r="AN191" s="14"/>
      <c r="AO191" s="14"/>
      <c r="AP191" s="14"/>
      <c r="AQ191" s="14"/>
      <c r="AR191" s="87"/>
      <c r="AS191" s="14"/>
      <c r="AT191" s="21"/>
      <c r="AU191" s="21"/>
      <c r="AV191" s="21" t="s">
        <v>2410</v>
      </c>
      <c r="AW191" s="21"/>
      <c r="AX191" s="14"/>
      <c r="AY191" s="14" t="s">
        <v>2404</v>
      </c>
      <c r="AZ191" s="14">
        <v>6</v>
      </c>
      <c r="BA191" s="14" t="s">
        <v>2411</v>
      </c>
      <c r="BB191" s="14" t="s">
        <v>3548</v>
      </c>
      <c r="BC191" s="87" t="s">
        <v>2521</v>
      </c>
      <c r="BD191" s="87" t="s">
        <v>2412</v>
      </c>
      <c r="BE191" s="14"/>
      <c r="BF191" s="21"/>
      <c r="BG191" s="21"/>
      <c r="BH191" s="21"/>
      <c r="BI191" s="21"/>
      <c r="BJ191" s="14"/>
      <c r="BK191" s="14"/>
      <c r="BL191" s="14"/>
      <c r="BM191" s="14"/>
      <c r="BN191" s="14"/>
      <c r="BO191" s="14"/>
      <c r="BP191" s="87"/>
      <c r="BQ191" s="14"/>
      <c r="BR191" s="21"/>
      <c r="BS191" s="233"/>
      <c r="BT191" s="21"/>
      <c r="BU191" s="21"/>
      <c r="BV191" s="14"/>
      <c r="BW191" s="14"/>
      <c r="BX191" s="14"/>
      <c r="BY191" s="14"/>
      <c r="BZ191" s="14"/>
      <c r="CA191" s="14"/>
      <c r="CB191" s="87"/>
      <c r="CC191" s="233"/>
      <c r="CD191" s="233"/>
      <c r="CE191" s="233"/>
      <c r="CF191" s="21"/>
      <c r="CG191" s="21"/>
      <c r="CH191" s="14"/>
      <c r="CI191" s="14"/>
      <c r="CJ191" s="14"/>
      <c r="CK191" s="14"/>
      <c r="CL191" s="14"/>
      <c r="CM191" s="14"/>
      <c r="CN191" s="87"/>
      <c r="CO191" s="233"/>
      <c r="CP191" s="233"/>
      <c r="CQ191" s="233"/>
      <c r="CR191" s="21"/>
      <c r="CS191" s="21"/>
      <c r="CT191" s="21"/>
      <c r="CU191" s="14"/>
      <c r="CV191" s="14"/>
      <c r="CW191" s="14"/>
      <c r="CX191" s="14"/>
      <c r="CY191" s="14"/>
      <c r="CZ191" s="87"/>
      <c r="DA191" s="21"/>
      <c r="DB191" s="21"/>
      <c r="DC191" s="233"/>
      <c r="DD191" s="21"/>
      <c r="DE191" s="21"/>
      <c r="DF191" s="21"/>
      <c r="DG191" s="14"/>
      <c r="DH191" s="14"/>
      <c r="DI191" s="14"/>
      <c r="DJ191" s="14"/>
      <c r="DK191" s="14"/>
      <c r="DL191" s="87"/>
      <c r="DM191" s="21"/>
      <c r="DN191" s="21"/>
      <c r="DO191" s="233"/>
      <c r="DP191" s="21" t="s">
        <v>2410</v>
      </c>
      <c r="DQ191" s="21"/>
      <c r="DR191" s="14"/>
      <c r="DS191" s="14" t="s">
        <v>2404</v>
      </c>
      <c r="DT191" s="14">
        <v>6</v>
      </c>
      <c r="DU191" s="14" t="s">
        <v>2411</v>
      </c>
      <c r="DV191" s="14" t="s">
        <v>3548</v>
      </c>
      <c r="DW191" s="87" t="s">
        <v>2521</v>
      </c>
      <c r="DX191" s="87" t="s">
        <v>2412</v>
      </c>
      <c r="DY191" s="14"/>
      <c r="DZ191" s="233"/>
      <c r="EA191" s="233"/>
      <c r="EB191" s="21"/>
      <c r="EC191" s="21"/>
      <c r="ED191" s="14"/>
      <c r="EE191" s="14"/>
      <c r="EF191" s="14"/>
      <c r="EG191" s="14"/>
      <c r="EH191" s="14"/>
      <c r="EI191" s="14"/>
      <c r="EJ191" s="87"/>
      <c r="EK191" s="14"/>
      <c r="EL191" s="233"/>
      <c r="EM191" s="233"/>
      <c r="EN191" s="21"/>
      <c r="EO191" s="21"/>
      <c r="EP191" s="21"/>
      <c r="EQ191" s="14"/>
      <c r="ER191" s="14"/>
      <c r="ES191" s="14"/>
      <c r="ET191" s="14"/>
      <c r="EU191" s="14"/>
      <c r="EV191" s="87"/>
      <c r="EW191" s="21"/>
      <c r="EX191" s="21"/>
      <c r="EY191" s="233"/>
      <c r="EZ191" s="233"/>
      <c r="FA191" s="233"/>
      <c r="FB191" s="233"/>
      <c r="FC191" s="233"/>
      <c r="FD191" s="233"/>
    </row>
    <row r="192" spans="1:160">
      <c r="A192" s="20" t="s">
        <v>3448</v>
      </c>
      <c r="B192" s="14">
        <v>3</v>
      </c>
      <c r="C192" s="14" t="s">
        <v>3371</v>
      </c>
      <c r="D192" s="14">
        <v>2</v>
      </c>
      <c r="E192" s="110" t="s">
        <v>3858</v>
      </c>
      <c r="F192" s="14" t="s">
        <v>3898</v>
      </c>
      <c r="G192" s="44" t="s">
        <v>3420</v>
      </c>
      <c r="H192" s="44" t="s">
        <v>3275</v>
      </c>
      <c r="I192" s="44">
        <v>2</v>
      </c>
      <c r="J192" s="28" t="s">
        <v>4447</v>
      </c>
      <c r="L192" s="21"/>
      <c r="M192" s="21"/>
      <c r="N192" s="21"/>
      <c r="O192" s="14"/>
      <c r="P192" s="14"/>
      <c r="Q192" s="14"/>
      <c r="R192" s="14"/>
      <c r="S192" s="14"/>
      <c r="T192" s="87"/>
      <c r="U192" s="21"/>
      <c r="V192" s="21"/>
      <c r="W192" s="21"/>
      <c r="X192" s="21"/>
      <c r="Y192" s="21"/>
      <c r="Z192" s="21"/>
      <c r="AA192" s="14"/>
      <c r="AB192" s="14"/>
      <c r="AC192" s="14"/>
      <c r="AD192" s="14"/>
      <c r="AE192" s="14"/>
      <c r="AF192" s="87"/>
      <c r="AG192" s="21"/>
      <c r="AH192" s="21"/>
      <c r="AI192" s="21"/>
      <c r="AJ192" s="21"/>
      <c r="AK192" s="21"/>
      <c r="AL192" s="21"/>
      <c r="AM192" s="14"/>
      <c r="AN192" s="14"/>
      <c r="AO192" s="14"/>
      <c r="AP192" s="14"/>
      <c r="AQ192" s="14"/>
      <c r="AR192" s="87"/>
      <c r="AS192" s="21"/>
      <c r="AT192" s="21"/>
      <c r="AU192" s="21"/>
      <c r="AV192" s="21"/>
      <c r="AW192" s="21"/>
      <c r="AX192" s="14"/>
      <c r="AY192" s="14"/>
      <c r="AZ192" s="14"/>
      <c r="BA192" s="14"/>
      <c r="BB192" s="14"/>
      <c r="BC192" s="14"/>
      <c r="BD192" s="87"/>
      <c r="BE192" s="14"/>
      <c r="BF192" s="21"/>
      <c r="BG192" s="21"/>
      <c r="BH192" s="21"/>
      <c r="BI192" s="21"/>
      <c r="BJ192" s="14"/>
      <c r="BK192" s="14"/>
      <c r="BL192" s="14"/>
      <c r="BM192" s="14"/>
      <c r="BN192" s="14"/>
      <c r="BO192" s="14"/>
      <c r="BP192" s="87"/>
      <c r="BQ192" s="14"/>
      <c r="BR192" s="21"/>
      <c r="BS192" s="233"/>
      <c r="BT192" s="21"/>
      <c r="BU192" s="21"/>
      <c r="BV192" s="14"/>
      <c r="BW192" s="14"/>
      <c r="BX192" s="14"/>
      <c r="BY192" s="14"/>
      <c r="BZ192" s="14"/>
      <c r="CA192" s="14"/>
      <c r="CB192" s="87"/>
      <c r="CC192" s="233"/>
      <c r="CD192" s="233"/>
      <c r="CE192" s="233"/>
      <c r="CF192" s="21"/>
      <c r="CG192" s="21"/>
      <c r="CH192" s="14"/>
      <c r="CI192" s="14"/>
      <c r="CJ192" s="14"/>
      <c r="CK192" s="14"/>
      <c r="CL192" s="14"/>
      <c r="CM192" s="14"/>
      <c r="CN192" s="87"/>
      <c r="CO192" s="233"/>
      <c r="CP192" s="233"/>
      <c r="CQ192" s="233"/>
      <c r="CR192" s="21"/>
      <c r="CS192" s="21"/>
      <c r="CT192" s="21"/>
      <c r="CU192" s="14"/>
      <c r="CV192" s="14"/>
      <c r="CW192" s="14"/>
      <c r="CX192" s="14"/>
      <c r="CY192" s="14"/>
      <c r="CZ192" s="87"/>
      <c r="DA192" s="21"/>
      <c r="DB192" s="21"/>
      <c r="DC192" s="233"/>
      <c r="DD192" s="21"/>
      <c r="DE192" s="21"/>
      <c r="DF192" s="21"/>
      <c r="DG192" s="14"/>
      <c r="DH192" s="14"/>
      <c r="DI192" s="14"/>
      <c r="DJ192" s="14"/>
      <c r="DK192" s="14"/>
      <c r="DL192" s="87"/>
      <c r="DM192" s="21"/>
      <c r="DN192" s="21"/>
      <c r="DO192" s="233"/>
      <c r="DP192" s="21"/>
      <c r="DQ192" s="21"/>
      <c r="DR192" s="21"/>
      <c r="DS192" s="14"/>
      <c r="DT192" s="14"/>
      <c r="DU192" s="14"/>
      <c r="DV192" s="14"/>
      <c r="DW192" s="14"/>
      <c r="DX192" s="87"/>
      <c r="DY192" s="21"/>
      <c r="DZ192" s="233"/>
      <c r="EA192" s="233"/>
      <c r="EB192" s="21"/>
      <c r="EC192" s="21"/>
      <c r="ED192" s="21"/>
      <c r="EE192" s="14"/>
      <c r="EF192" s="14"/>
      <c r="EG192" s="14"/>
      <c r="EH192" s="14"/>
      <c r="EI192" s="14"/>
      <c r="EJ192" s="87"/>
      <c r="EK192" s="21"/>
      <c r="EL192" s="233"/>
      <c r="EM192" s="233"/>
      <c r="EN192" s="21"/>
      <c r="EO192" s="21"/>
      <c r="EP192" s="21"/>
      <c r="EQ192" s="14"/>
      <c r="ER192" s="14"/>
      <c r="ES192" s="14"/>
      <c r="ET192" s="14"/>
      <c r="EU192" s="14"/>
      <c r="EV192" s="87"/>
      <c r="EW192" s="21"/>
      <c r="EX192" s="21"/>
      <c r="EY192" s="233"/>
      <c r="EZ192" s="233"/>
      <c r="FA192" s="233"/>
      <c r="FB192" s="233"/>
      <c r="FC192" s="233"/>
      <c r="FD192" s="233"/>
    </row>
    <row r="193" spans="1:160">
      <c r="A193" s="20" t="s">
        <v>3280</v>
      </c>
      <c r="B193" s="14">
        <v>3</v>
      </c>
      <c r="C193" s="14" t="s">
        <v>3281</v>
      </c>
      <c r="D193" s="14">
        <v>3</v>
      </c>
      <c r="E193" s="110" t="s">
        <v>3282</v>
      </c>
      <c r="F193" s="14" t="s">
        <v>3898</v>
      </c>
      <c r="G193" s="44" t="s">
        <v>3420</v>
      </c>
      <c r="H193" s="44" t="s">
        <v>3283</v>
      </c>
      <c r="I193" s="44">
        <v>2</v>
      </c>
      <c r="J193" s="28" t="s">
        <v>4447</v>
      </c>
      <c r="L193" s="26"/>
      <c r="M193" s="21"/>
      <c r="N193" s="108"/>
      <c r="O193" s="108"/>
      <c r="P193" s="108"/>
      <c r="Q193" s="108"/>
      <c r="R193" s="108"/>
      <c r="S193" s="108"/>
      <c r="T193" s="282"/>
      <c r="U193" s="26"/>
      <c r="V193" s="21"/>
      <c r="W193" s="21"/>
      <c r="X193" s="26"/>
      <c r="Y193" s="21"/>
      <c r="Z193" s="108"/>
      <c r="AA193" s="108"/>
      <c r="AB193" s="108"/>
      <c r="AC193" s="108"/>
      <c r="AD193" s="108"/>
      <c r="AE193" s="108"/>
      <c r="AF193" s="282"/>
      <c r="AG193" s="26"/>
      <c r="AH193" s="21"/>
      <c r="AI193" s="21"/>
      <c r="AJ193" s="26"/>
      <c r="AK193" s="21"/>
      <c r="AL193" s="108"/>
      <c r="AM193" s="108"/>
      <c r="AN193" s="108"/>
      <c r="AO193" s="108"/>
      <c r="AP193" s="108"/>
      <c r="AQ193" s="108"/>
      <c r="AR193" s="282"/>
      <c r="AS193" s="26"/>
      <c r="AT193" s="21"/>
      <c r="AU193" s="21"/>
      <c r="AV193" s="26"/>
      <c r="AW193" s="21"/>
      <c r="AX193" s="108"/>
      <c r="AY193" s="108"/>
      <c r="AZ193" s="108"/>
      <c r="BA193" s="108"/>
      <c r="BB193" s="108"/>
      <c r="BC193" s="108"/>
      <c r="BD193" s="282"/>
      <c r="BE193" s="26"/>
      <c r="BF193" s="21"/>
      <c r="BG193" s="21"/>
      <c r="BH193" s="26"/>
      <c r="BI193" s="21"/>
      <c r="BJ193" s="108"/>
      <c r="BK193" s="108"/>
      <c r="BL193" s="108"/>
      <c r="BM193" s="108"/>
      <c r="BN193" s="108"/>
      <c r="BO193" s="108"/>
      <c r="BP193" s="282"/>
      <c r="BQ193" s="26"/>
      <c r="BR193" s="21"/>
      <c r="BS193" s="233"/>
      <c r="BT193" s="26"/>
      <c r="BU193" s="21"/>
      <c r="BV193" s="108"/>
      <c r="BW193" s="108"/>
      <c r="BX193" s="108"/>
      <c r="BY193" s="108"/>
      <c r="BZ193" s="108"/>
      <c r="CA193" s="108"/>
      <c r="CB193" s="282"/>
      <c r="CC193" s="233"/>
      <c r="CD193" s="233"/>
      <c r="CE193" s="233"/>
      <c r="CF193" s="26"/>
      <c r="CG193" s="21"/>
      <c r="CH193" s="108"/>
      <c r="CI193" s="108"/>
      <c r="CJ193" s="108"/>
      <c r="CK193" s="108"/>
      <c r="CL193" s="108"/>
      <c r="CM193" s="108"/>
      <c r="CN193" s="282"/>
      <c r="CO193" s="233"/>
      <c r="CP193" s="233"/>
      <c r="CQ193" s="233"/>
      <c r="CR193" s="26"/>
      <c r="CS193" s="21"/>
      <c r="CT193" s="108"/>
      <c r="CU193" s="108"/>
      <c r="CV193" s="108"/>
      <c r="CW193" s="108"/>
      <c r="CX193" s="108"/>
      <c r="CY193" s="108"/>
      <c r="CZ193" s="282"/>
      <c r="DA193" s="26"/>
      <c r="DB193" s="21"/>
      <c r="DC193" s="233"/>
      <c r="DD193" s="26"/>
      <c r="DE193" s="21"/>
      <c r="DF193" s="108"/>
      <c r="DG193" s="108"/>
      <c r="DH193" s="108"/>
      <c r="DI193" s="108"/>
      <c r="DJ193" s="108"/>
      <c r="DK193" s="108"/>
      <c r="DL193" s="282"/>
      <c r="DM193" s="26"/>
      <c r="DN193" s="21"/>
      <c r="DO193" s="233"/>
      <c r="DP193" s="26"/>
      <c r="DQ193" s="21"/>
      <c r="DR193" s="108"/>
      <c r="DS193" s="108"/>
      <c r="DT193" s="108"/>
      <c r="DU193" s="108"/>
      <c r="DV193" s="108"/>
      <c r="DW193" s="108"/>
      <c r="DX193" s="282"/>
      <c r="DY193" s="26"/>
      <c r="DZ193" s="233"/>
      <c r="EA193" s="233"/>
      <c r="EB193" s="26"/>
      <c r="EC193" s="21"/>
      <c r="ED193" s="108"/>
      <c r="EE193" s="108"/>
      <c r="EF193" s="108"/>
      <c r="EG193" s="108"/>
      <c r="EH193" s="108"/>
      <c r="EI193" s="108"/>
      <c r="EJ193" s="282"/>
      <c r="EK193" s="26"/>
      <c r="EL193" s="233"/>
      <c r="EM193" s="233"/>
      <c r="EN193" s="26"/>
      <c r="EO193" s="21"/>
      <c r="EP193" s="108"/>
      <c r="EQ193" s="108"/>
      <c r="ER193" s="108"/>
      <c r="ES193" s="108"/>
      <c r="ET193" s="108"/>
      <c r="EU193" s="108"/>
      <c r="EV193" s="282"/>
      <c r="EW193" s="26"/>
      <c r="EX193" s="21"/>
      <c r="EY193" s="233"/>
      <c r="EZ193" s="233"/>
      <c r="FA193" s="233"/>
      <c r="FB193" s="233"/>
      <c r="FC193" s="233"/>
      <c r="FD193" s="233"/>
    </row>
    <row r="194" spans="1:160">
      <c r="A194" s="20" t="s">
        <v>3782</v>
      </c>
      <c r="B194" s="14">
        <v>3</v>
      </c>
      <c r="C194" s="14" t="s">
        <v>3588</v>
      </c>
      <c r="D194" s="14">
        <v>1</v>
      </c>
      <c r="E194" s="110" t="s">
        <v>3749</v>
      </c>
      <c r="F194" s="14" t="s">
        <v>3618</v>
      </c>
      <c r="G194" s="44" t="s">
        <v>3765</v>
      </c>
      <c r="H194" s="44" t="s">
        <v>5483</v>
      </c>
      <c r="I194" s="44">
        <v>2</v>
      </c>
      <c r="J194" s="28" t="s">
        <v>3537</v>
      </c>
      <c r="L194" s="26"/>
      <c r="M194" s="21"/>
      <c r="N194" s="108"/>
      <c r="O194" s="108"/>
      <c r="P194" s="108"/>
      <c r="Q194" s="108"/>
      <c r="R194" s="108"/>
      <c r="S194" s="108"/>
      <c r="T194" s="282"/>
      <c r="U194" s="26"/>
      <c r="V194" s="21"/>
      <c r="W194" s="21"/>
      <c r="X194" s="26"/>
      <c r="Y194" s="21"/>
      <c r="Z194" s="108"/>
      <c r="AA194" s="108"/>
      <c r="AB194" s="108"/>
      <c r="AC194" s="108"/>
      <c r="AD194" s="108"/>
      <c r="AE194" s="108"/>
      <c r="AF194" s="282"/>
      <c r="AG194" s="26"/>
      <c r="AH194" s="21"/>
      <c r="AI194" s="21"/>
      <c r="AJ194" s="26"/>
      <c r="AK194" s="21"/>
      <c r="AL194" s="108"/>
      <c r="AM194" s="108"/>
      <c r="AN194" s="108"/>
      <c r="AO194" s="108"/>
      <c r="AP194" s="108"/>
      <c r="AQ194" s="108"/>
      <c r="AR194" s="282"/>
      <c r="AS194" s="26"/>
      <c r="AT194" s="21"/>
      <c r="AU194" s="21"/>
      <c r="AV194" s="26"/>
      <c r="AW194" s="21"/>
      <c r="AX194" s="108"/>
      <c r="AY194" s="108"/>
      <c r="AZ194" s="108"/>
      <c r="BA194" s="108"/>
      <c r="BB194" s="108"/>
      <c r="BC194" s="108"/>
      <c r="BD194" s="282"/>
      <c r="BE194" s="26"/>
      <c r="BF194" s="21"/>
      <c r="BG194" s="21"/>
      <c r="BH194" s="26"/>
      <c r="BI194" s="21"/>
      <c r="BJ194" s="108"/>
      <c r="BK194" s="108"/>
      <c r="BL194" s="108"/>
      <c r="BM194" s="108"/>
      <c r="BN194" s="108"/>
      <c r="BO194" s="108"/>
      <c r="BP194" s="282"/>
      <c r="BQ194" s="26"/>
      <c r="BR194" s="21"/>
      <c r="BS194" s="233"/>
      <c r="BT194" s="26"/>
      <c r="BU194" s="21"/>
      <c r="BV194" s="108"/>
      <c r="BW194" s="108"/>
      <c r="BX194" s="108"/>
      <c r="BY194" s="108"/>
      <c r="BZ194" s="108"/>
      <c r="CA194" s="108"/>
      <c r="CB194" s="282"/>
      <c r="CC194" s="233"/>
      <c r="CD194" s="233"/>
      <c r="CE194" s="233"/>
      <c r="CF194" s="26"/>
      <c r="CG194" s="21"/>
      <c r="CH194" s="108"/>
      <c r="CI194" s="108"/>
      <c r="CJ194" s="108"/>
      <c r="CK194" s="108"/>
      <c r="CL194" s="108"/>
      <c r="CM194" s="108"/>
      <c r="CN194" s="282"/>
      <c r="CO194" s="233"/>
      <c r="CP194" s="233"/>
      <c r="CQ194" s="233"/>
      <c r="CR194" s="26"/>
      <c r="CS194" s="21"/>
      <c r="CT194" s="108"/>
      <c r="CU194" s="108"/>
      <c r="CV194" s="108"/>
      <c r="CW194" s="108"/>
      <c r="CX194" s="108"/>
      <c r="CY194" s="108"/>
      <c r="CZ194" s="282"/>
      <c r="DA194" s="26"/>
      <c r="DB194" s="21"/>
      <c r="DC194" s="233"/>
      <c r="DD194" s="26"/>
      <c r="DE194" s="21"/>
      <c r="DF194" s="108"/>
      <c r="DG194" s="108"/>
      <c r="DH194" s="108"/>
      <c r="DI194" s="108"/>
      <c r="DJ194" s="108"/>
      <c r="DK194" s="108"/>
      <c r="DL194" s="282"/>
      <c r="DM194" s="26"/>
      <c r="DN194" s="21"/>
      <c r="DO194" s="233"/>
      <c r="DP194" s="26"/>
      <c r="DQ194" s="21"/>
      <c r="DR194" s="108"/>
      <c r="DS194" s="108"/>
      <c r="DT194" s="108"/>
      <c r="DU194" s="108"/>
      <c r="DV194" s="108"/>
      <c r="DW194" s="108"/>
      <c r="DX194" s="282"/>
      <c r="DY194" s="26"/>
      <c r="DZ194" s="233"/>
      <c r="EA194" s="233"/>
      <c r="EB194" s="26"/>
      <c r="EC194" s="21"/>
      <c r="ED194" s="108"/>
      <c r="EE194" s="108"/>
      <c r="EF194" s="108"/>
      <c r="EG194" s="108"/>
      <c r="EH194" s="108"/>
      <c r="EI194" s="108"/>
      <c r="EJ194" s="282"/>
      <c r="EK194" s="26"/>
      <c r="EL194" s="233"/>
      <c r="EM194" s="233"/>
      <c r="EN194" s="26"/>
      <c r="EO194" s="21"/>
      <c r="EP194" s="108"/>
      <c r="EQ194" s="108"/>
      <c r="ER194" s="108"/>
      <c r="ES194" s="108"/>
      <c r="ET194" s="108"/>
      <c r="EU194" s="108"/>
      <c r="EV194" s="282"/>
      <c r="EW194" s="26"/>
      <c r="EX194" s="21"/>
      <c r="EY194" s="233"/>
      <c r="EZ194" s="233"/>
      <c r="FA194" s="233"/>
      <c r="FB194" s="233"/>
      <c r="FC194" s="233"/>
      <c r="FD194" s="233"/>
    </row>
    <row r="195" spans="1:160">
      <c r="A195" s="20" t="s">
        <v>3458</v>
      </c>
      <c r="B195" s="14">
        <v>3</v>
      </c>
      <c r="C195" s="14" t="s">
        <v>3210</v>
      </c>
      <c r="D195" s="14">
        <v>2</v>
      </c>
      <c r="E195" s="110" t="s">
        <v>3459</v>
      </c>
      <c r="F195" s="14" t="s">
        <v>3898</v>
      </c>
      <c r="G195" s="44" t="s">
        <v>3460</v>
      </c>
      <c r="H195" s="44" t="s">
        <v>3915</v>
      </c>
      <c r="I195" s="44" t="s">
        <v>3916</v>
      </c>
      <c r="J195" s="28" t="s">
        <v>3890</v>
      </c>
      <c r="L195" s="26" t="s">
        <v>5419</v>
      </c>
      <c r="M195" s="21"/>
      <c r="N195" s="108" t="s">
        <v>5018</v>
      </c>
      <c r="O195" s="108" t="s">
        <v>5701</v>
      </c>
      <c r="P195" s="108" t="s">
        <v>5019</v>
      </c>
      <c r="Q195" s="108" t="s">
        <v>5020</v>
      </c>
      <c r="R195" s="108" t="s">
        <v>5021</v>
      </c>
      <c r="S195" s="108" t="s">
        <v>5022</v>
      </c>
      <c r="T195" s="282" t="s">
        <v>5316</v>
      </c>
      <c r="U195" s="26"/>
      <c r="V195" s="21"/>
      <c r="W195" s="21"/>
      <c r="X195" s="26" t="s">
        <v>5419</v>
      </c>
      <c r="Y195" s="21"/>
      <c r="Z195" s="108" t="s">
        <v>5018</v>
      </c>
      <c r="AA195" s="108" t="s">
        <v>5701</v>
      </c>
      <c r="AB195" s="108" t="s">
        <v>5019</v>
      </c>
      <c r="AC195" s="108" t="s">
        <v>5020</v>
      </c>
      <c r="AD195" s="108" t="s">
        <v>5021</v>
      </c>
      <c r="AE195" s="108" t="s">
        <v>5022</v>
      </c>
      <c r="AF195" s="282" t="s">
        <v>5316</v>
      </c>
      <c r="AG195" s="26"/>
      <c r="AH195" s="21"/>
      <c r="AI195" s="21"/>
      <c r="AJ195" s="26" t="s">
        <v>5419</v>
      </c>
      <c r="AK195" s="21"/>
      <c r="AL195" s="108" t="s">
        <v>5018</v>
      </c>
      <c r="AM195" s="108" t="s">
        <v>5701</v>
      </c>
      <c r="AN195" s="108" t="s">
        <v>5019</v>
      </c>
      <c r="AO195" s="108" t="s">
        <v>5020</v>
      </c>
      <c r="AP195" s="108" t="s">
        <v>5021</v>
      </c>
      <c r="AQ195" s="108" t="s">
        <v>5022</v>
      </c>
      <c r="AR195" s="282" t="s">
        <v>5316</v>
      </c>
      <c r="AS195" s="26"/>
      <c r="AT195" s="21"/>
      <c r="AU195" s="21"/>
      <c r="AV195" s="26" t="s">
        <v>5419</v>
      </c>
      <c r="AW195" s="21"/>
      <c r="AX195" s="108" t="s">
        <v>5018</v>
      </c>
      <c r="AY195" s="108" t="s">
        <v>5701</v>
      </c>
      <c r="AZ195" s="108" t="s">
        <v>5019</v>
      </c>
      <c r="BA195" s="108" t="s">
        <v>5020</v>
      </c>
      <c r="BB195" s="108" t="s">
        <v>5021</v>
      </c>
      <c r="BC195" s="108" t="s">
        <v>5022</v>
      </c>
      <c r="BD195" s="282" t="s">
        <v>5316</v>
      </c>
      <c r="BE195" s="26"/>
      <c r="BF195" s="21"/>
      <c r="BG195" s="21"/>
      <c r="BH195" s="26" t="s">
        <v>5419</v>
      </c>
      <c r="BI195" s="21"/>
      <c r="BJ195" s="108" t="s">
        <v>5018</v>
      </c>
      <c r="BK195" s="108" t="s">
        <v>5701</v>
      </c>
      <c r="BL195" s="108" t="s">
        <v>5019</v>
      </c>
      <c r="BM195" s="108" t="s">
        <v>5020</v>
      </c>
      <c r="BN195" s="108" t="s">
        <v>5021</v>
      </c>
      <c r="BO195" s="108" t="s">
        <v>5022</v>
      </c>
      <c r="BP195" s="282" t="s">
        <v>5316</v>
      </c>
      <c r="BQ195" s="26"/>
      <c r="BR195" s="21"/>
      <c r="BS195" s="233"/>
      <c r="BT195" s="26" t="s">
        <v>5419</v>
      </c>
      <c r="BU195" s="21"/>
      <c r="BV195" s="108" t="s">
        <v>5018</v>
      </c>
      <c r="BW195" s="108" t="s">
        <v>5701</v>
      </c>
      <c r="BX195" s="108" t="s">
        <v>5019</v>
      </c>
      <c r="BY195" s="108" t="s">
        <v>5020</v>
      </c>
      <c r="BZ195" s="108" t="s">
        <v>5021</v>
      </c>
      <c r="CA195" s="108" t="s">
        <v>5022</v>
      </c>
      <c r="CB195" s="282" t="s">
        <v>5316</v>
      </c>
      <c r="CC195" s="233"/>
      <c r="CD195" s="233"/>
      <c r="CE195" s="233"/>
      <c r="CF195" s="26" t="s">
        <v>5419</v>
      </c>
      <c r="CG195" s="21"/>
      <c r="CH195" s="108" t="s">
        <v>5018</v>
      </c>
      <c r="CI195" s="108" t="s">
        <v>5701</v>
      </c>
      <c r="CJ195" s="108" t="s">
        <v>5019</v>
      </c>
      <c r="CK195" s="108" t="s">
        <v>5020</v>
      </c>
      <c r="CL195" s="108" t="s">
        <v>5021</v>
      </c>
      <c r="CM195" s="108" t="s">
        <v>5022</v>
      </c>
      <c r="CN195" s="282" t="s">
        <v>5316</v>
      </c>
      <c r="CO195" s="233"/>
      <c r="CP195" s="233"/>
      <c r="CQ195" s="233"/>
      <c r="CR195" s="26" t="s">
        <v>5419</v>
      </c>
      <c r="CS195" s="21"/>
      <c r="CT195" s="108" t="s">
        <v>5018</v>
      </c>
      <c r="CU195" s="108" t="s">
        <v>5701</v>
      </c>
      <c r="CV195" s="108" t="s">
        <v>5019</v>
      </c>
      <c r="CW195" s="108" t="s">
        <v>5020</v>
      </c>
      <c r="CX195" s="108" t="s">
        <v>5021</v>
      </c>
      <c r="CY195" s="108" t="s">
        <v>5022</v>
      </c>
      <c r="CZ195" s="282" t="s">
        <v>5316</v>
      </c>
      <c r="DA195" s="26"/>
      <c r="DB195" s="21"/>
      <c r="DC195" s="233"/>
      <c r="DD195" s="26" t="s">
        <v>5419</v>
      </c>
      <c r="DE195" s="21"/>
      <c r="DF195" s="108" t="s">
        <v>5018</v>
      </c>
      <c r="DG195" s="108" t="s">
        <v>5701</v>
      </c>
      <c r="DH195" s="108" t="s">
        <v>5019</v>
      </c>
      <c r="DI195" s="108" t="s">
        <v>5020</v>
      </c>
      <c r="DJ195" s="108" t="s">
        <v>5021</v>
      </c>
      <c r="DK195" s="108" t="s">
        <v>5022</v>
      </c>
      <c r="DL195" s="282" t="s">
        <v>5316</v>
      </c>
      <c r="DM195" s="26"/>
      <c r="DN195" s="21"/>
      <c r="DO195" s="233"/>
      <c r="DP195" s="26" t="s">
        <v>5419</v>
      </c>
      <c r="DQ195" s="21"/>
      <c r="DR195" s="108" t="s">
        <v>5018</v>
      </c>
      <c r="DS195" s="108" t="s">
        <v>5701</v>
      </c>
      <c r="DT195" s="108" t="s">
        <v>5019</v>
      </c>
      <c r="DU195" s="108" t="s">
        <v>5020</v>
      </c>
      <c r="DV195" s="108" t="s">
        <v>5021</v>
      </c>
      <c r="DW195" s="108" t="s">
        <v>5022</v>
      </c>
      <c r="DX195" s="282" t="s">
        <v>5316</v>
      </c>
      <c r="DY195" s="26"/>
      <c r="DZ195" s="233"/>
      <c r="EA195" s="233"/>
      <c r="EB195" s="26" t="s">
        <v>5419</v>
      </c>
      <c r="EC195" s="21"/>
      <c r="ED195" s="108" t="s">
        <v>5018</v>
      </c>
      <c r="EE195" s="108" t="s">
        <v>5701</v>
      </c>
      <c r="EF195" s="108" t="s">
        <v>5019</v>
      </c>
      <c r="EG195" s="108" t="s">
        <v>5020</v>
      </c>
      <c r="EH195" s="108" t="s">
        <v>5021</v>
      </c>
      <c r="EI195" s="108" t="s">
        <v>5022</v>
      </c>
      <c r="EJ195" s="282" t="s">
        <v>5316</v>
      </c>
      <c r="EK195" s="26"/>
      <c r="EL195" s="233"/>
      <c r="EM195" s="233"/>
      <c r="EN195" s="26" t="s">
        <v>5419</v>
      </c>
      <c r="EO195" s="21"/>
      <c r="EP195" s="108" t="s">
        <v>5018</v>
      </c>
      <c r="EQ195" s="108" t="s">
        <v>5701</v>
      </c>
      <c r="ER195" s="108" t="s">
        <v>5019</v>
      </c>
      <c r="ES195" s="108" t="s">
        <v>5020</v>
      </c>
      <c r="ET195" s="108" t="s">
        <v>5021</v>
      </c>
      <c r="EU195" s="108" t="s">
        <v>5022</v>
      </c>
      <c r="EV195" s="282" t="s">
        <v>5316</v>
      </c>
      <c r="EW195" s="26"/>
      <c r="EX195" s="21"/>
      <c r="EY195" s="233"/>
      <c r="EZ195" s="233"/>
      <c r="FA195" s="233"/>
      <c r="FB195" s="233"/>
      <c r="FC195" s="233"/>
      <c r="FD195" s="233"/>
    </row>
    <row r="196" spans="1:160">
      <c r="A196" s="20" t="s">
        <v>3443</v>
      </c>
      <c r="B196" s="14">
        <v>3</v>
      </c>
      <c r="C196" s="14" t="s">
        <v>3588</v>
      </c>
      <c r="D196" s="14">
        <v>1</v>
      </c>
      <c r="E196" s="110" t="s">
        <v>3530</v>
      </c>
      <c r="F196" s="14" t="s">
        <v>3898</v>
      </c>
      <c r="G196" s="44" t="s">
        <v>3444</v>
      </c>
      <c r="H196" s="44" t="s">
        <v>3746</v>
      </c>
      <c r="I196" s="44">
        <v>2</v>
      </c>
      <c r="J196" s="28" t="s">
        <v>3739</v>
      </c>
      <c r="L196" s="21" t="s">
        <v>2554</v>
      </c>
      <c r="M196" s="21"/>
      <c r="N196" s="14"/>
      <c r="O196" s="14" t="s">
        <v>2390</v>
      </c>
      <c r="P196" s="14">
        <v>9</v>
      </c>
      <c r="Q196" s="14" t="s">
        <v>2555</v>
      </c>
      <c r="R196" s="14" t="s">
        <v>2556</v>
      </c>
      <c r="S196" s="14" t="s">
        <v>3432</v>
      </c>
      <c r="T196" s="87" t="s">
        <v>2557</v>
      </c>
      <c r="U196" s="14"/>
      <c r="V196" s="21"/>
      <c r="W196" s="21"/>
      <c r="X196" s="21" t="s">
        <v>2554</v>
      </c>
      <c r="Y196" s="21"/>
      <c r="Z196" s="14"/>
      <c r="AA196" s="14" t="s">
        <v>2390</v>
      </c>
      <c r="AB196" s="14">
        <v>9</v>
      </c>
      <c r="AC196" s="14" t="s">
        <v>2555</v>
      </c>
      <c r="AD196" s="14" t="s">
        <v>2556</v>
      </c>
      <c r="AE196" s="87" t="s">
        <v>3432</v>
      </c>
      <c r="AF196" s="87" t="s">
        <v>2557</v>
      </c>
      <c r="AG196" s="14"/>
      <c r="AH196" s="21"/>
      <c r="AI196" s="21"/>
      <c r="AJ196" s="21" t="s">
        <v>2819</v>
      </c>
      <c r="AK196" s="21"/>
      <c r="AL196" s="14"/>
      <c r="AM196" s="14" t="s">
        <v>2653</v>
      </c>
      <c r="AN196" s="14">
        <v>6</v>
      </c>
      <c r="AO196" s="14" t="s">
        <v>2820</v>
      </c>
      <c r="AP196" s="14" t="s">
        <v>3898</v>
      </c>
      <c r="AQ196" s="87" t="s">
        <v>3651</v>
      </c>
      <c r="AR196" s="87" t="s">
        <v>3286</v>
      </c>
      <c r="AS196" s="14"/>
      <c r="AT196" s="21"/>
      <c r="AU196" s="21"/>
      <c r="AV196" s="21" t="s">
        <v>2724</v>
      </c>
      <c r="AW196" s="21"/>
      <c r="AX196" s="14"/>
      <c r="AY196" s="14" t="s">
        <v>2404</v>
      </c>
      <c r="AZ196" s="14">
        <v>8</v>
      </c>
      <c r="BA196" s="14" t="s">
        <v>2560</v>
      </c>
      <c r="BB196" s="14" t="s">
        <v>2561</v>
      </c>
      <c r="BC196" s="87" t="s">
        <v>3420</v>
      </c>
      <c r="BD196" s="87" t="s">
        <v>2562</v>
      </c>
      <c r="BE196" s="14"/>
      <c r="BF196" s="21"/>
      <c r="BG196" s="21"/>
      <c r="BH196" s="21"/>
      <c r="BI196" s="21"/>
      <c r="BJ196" s="14"/>
      <c r="BK196" s="14"/>
      <c r="BL196" s="14"/>
      <c r="BM196" s="14"/>
      <c r="BN196" s="14"/>
      <c r="BO196" s="14"/>
      <c r="BP196" s="87"/>
      <c r="BQ196" s="14"/>
      <c r="BR196" s="21"/>
      <c r="BS196" s="233"/>
      <c r="BT196" s="21" t="s">
        <v>2729</v>
      </c>
      <c r="BU196" s="21"/>
      <c r="BV196" s="14"/>
      <c r="BW196" s="14" t="s">
        <v>3446</v>
      </c>
      <c r="BX196" s="14" t="s">
        <v>3884</v>
      </c>
      <c r="BY196" s="106" t="s">
        <v>2730</v>
      </c>
      <c r="BZ196" s="14" t="s">
        <v>3898</v>
      </c>
      <c r="CA196" s="44" t="s">
        <v>3420</v>
      </c>
      <c r="CB196" s="44" t="s">
        <v>2731</v>
      </c>
      <c r="CC196" s="233"/>
      <c r="CD196" s="233"/>
      <c r="CE196" s="233"/>
      <c r="CF196" s="21"/>
      <c r="CG196" s="21"/>
      <c r="CH196" s="14"/>
      <c r="CI196" s="14"/>
      <c r="CJ196" s="14"/>
      <c r="CK196" s="14"/>
      <c r="CL196" s="14"/>
      <c r="CM196" s="14"/>
      <c r="CN196" s="87"/>
      <c r="CO196" s="233"/>
      <c r="CP196" s="233"/>
      <c r="CQ196" s="233"/>
      <c r="CR196" s="21" t="s">
        <v>2554</v>
      </c>
      <c r="CS196" s="21"/>
      <c r="CT196" s="14"/>
      <c r="CU196" s="14" t="s">
        <v>2390</v>
      </c>
      <c r="CV196" s="14">
        <v>9</v>
      </c>
      <c r="CW196" s="14" t="s">
        <v>2555</v>
      </c>
      <c r="CX196" s="14" t="s">
        <v>2556</v>
      </c>
      <c r="CY196" s="87" t="s">
        <v>3432</v>
      </c>
      <c r="CZ196" s="87" t="s">
        <v>2557</v>
      </c>
      <c r="DA196" s="14"/>
      <c r="DB196" s="21"/>
      <c r="DC196" s="233"/>
      <c r="DD196" s="21" t="s">
        <v>2554</v>
      </c>
      <c r="DE196" s="21"/>
      <c r="DF196" s="14"/>
      <c r="DG196" s="14" t="s">
        <v>2390</v>
      </c>
      <c r="DH196" s="14">
        <v>9</v>
      </c>
      <c r="DI196" s="14" t="s">
        <v>2555</v>
      </c>
      <c r="DJ196" s="14" t="s">
        <v>2556</v>
      </c>
      <c r="DK196" s="87" t="s">
        <v>3432</v>
      </c>
      <c r="DL196" s="87" t="s">
        <v>2557</v>
      </c>
      <c r="DM196" s="14"/>
      <c r="DN196" s="21"/>
      <c r="DO196" s="233"/>
      <c r="DP196" s="21"/>
      <c r="DQ196" s="21"/>
      <c r="DR196" s="14"/>
      <c r="DS196" s="14"/>
      <c r="DT196" s="14"/>
      <c r="DU196" s="14"/>
      <c r="DV196" s="14"/>
      <c r="DW196" s="87"/>
      <c r="DX196" s="87"/>
      <c r="DY196" s="14"/>
      <c r="DZ196" s="233"/>
      <c r="EA196" s="233"/>
      <c r="EB196" s="21" t="s">
        <v>2819</v>
      </c>
      <c r="EC196" s="21"/>
      <c r="ED196" s="14"/>
      <c r="EE196" s="14" t="s">
        <v>2653</v>
      </c>
      <c r="EF196" s="14">
        <v>6</v>
      </c>
      <c r="EG196" s="14" t="s">
        <v>2820</v>
      </c>
      <c r="EH196" s="14" t="s">
        <v>3898</v>
      </c>
      <c r="EI196" s="87" t="s">
        <v>3651</v>
      </c>
      <c r="EJ196" s="87" t="s">
        <v>3286</v>
      </c>
      <c r="EK196" s="14"/>
      <c r="EL196" s="233"/>
      <c r="EM196" s="233"/>
      <c r="EN196" s="21" t="s">
        <v>2554</v>
      </c>
      <c r="EO196" s="21"/>
      <c r="EP196" s="14"/>
      <c r="EQ196" s="14" t="s">
        <v>2390</v>
      </c>
      <c r="ER196" s="14">
        <v>9</v>
      </c>
      <c r="ES196" s="14" t="s">
        <v>2555</v>
      </c>
      <c r="ET196" s="14" t="s">
        <v>2556</v>
      </c>
      <c r="EU196" s="87" t="s">
        <v>3432</v>
      </c>
      <c r="EV196" s="87" t="s">
        <v>2557</v>
      </c>
      <c r="EW196" s="14"/>
      <c r="EX196" s="21"/>
      <c r="EY196" s="233"/>
      <c r="EZ196" s="233"/>
      <c r="FA196" s="233"/>
      <c r="FB196" s="233"/>
      <c r="FC196" s="233"/>
      <c r="FD196" s="233"/>
    </row>
    <row r="197" spans="1:160">
      <c r="A197" s="20" t="s">
        <v>3276</v>
      </c>
      <c r="B197" s="14">
        <v>3</v>
      </c>
      <c r="C197" s="14" t="s">
        <v>3410</v>
      </c>
      <c r="D197" s="14">
        <v>0</v>
      </c>
      <c r="E197" s="14" t="s">
        <v>5361</v>
      </c>
      <c r="F197" s="14" t="s">
        <v>3979</v>
      </c>
      <c r="G197" s="44" t="s">
        <v>3736</v>
      </c>
      <c r="H197" s="44" t="s">
        <v>3277</v>
      </c>
      <c r="I197" s="44" t="s">
        <v>3900</v>
      </c>
      <c r="J197" s="28" t="s">
        <v>3739</v>
      </c>
      <c r="L197" s="21"/>
      <c r="M197" s="21"/>
      <c r="N197" s="21"/>
      <c r="O197" s="14"/>
      <c r="P197" s="14"/>
      <c r="Q197" s="14"/>
      <c r="R197" s="14"/>
      <c r="S197" s="14"/>
      <c r="T197" s="87"/>
      <c r="U197" s="21"/>
      <c r="V197" s="21"/>
      <c r="W197" s="21"/>
      <c r="X197" s="21"/>
      <c r="Y197" s="21"/>
      <c r="Z197" s="21"/>
      <c r="AA197" s="14"/>
      <c r="AB197" s="14"/>
      <c r="AC197" s="14"/>
      <c r="AD197" s="14"/>
      <c r="AE197" s="14"/>
      <c r="AF197" s="87"/>
      <c r="AG197" s="21"/>
      <c r="AH197" s="21"/>
      <c r="AI197" s="21"/>
      <c r="AJ197" s="21"/>
      <c r="AK197" s="21"/>
      <c r="AL197" s="21"/>
      <c r="AM197" s="14"/>
      <c r="AN197" s="14"/>
      <c r="AO197" s="14"/>
      <c r="AP197" s="14"/>
      <c r="AQ197" s="14"/>
      <c r="AR197" s="87"/>
      <c r="AS197" s="21"/>
      <c r="AT197" s="21"/>
      <c r="AU197" s="21"/>
      <c r="AV197" s="21"/>
      <c r="AW197" s="21"/>
      <c r="AX197" s="21"/>
      <c r="AY197" s="14"/>
      <c r="AZ197" s="14"/>
      <c r="BA197" s="14"/>
      <c r="BB197" s="14"/>
      <c r="BC197" s="14"/>
      <c r="BD197" s="87"/>
      <c r="BE197" s="21"/>
      <c r="BF197" s="21"/>
      <c r="BG197" s="21"/>
      <c r="BH197" s="21"/>
      <c r="BI197" s="21"/>
      <c r="BJ197" s="21"/>
      <c r="BK197" s="14"/>
      <c r="BL197" s="14"/>
      <c r="BM197" s="14"/>
      <c r="BN197" s="14"/>
      <c r="BO197" s="14"/>
      <c r="BP197" s="87"/>
      <c r="BQ197" s="21"/>
      <c r="BR197" s="21"/>
      <c r="BS197" s="233"/>
      <c r="BT197" s="21"/>
      <c r="BU197" s="21"/>
      <c r="BV197" s="21"/>
      <c r="BW197" s="14"/>
      <c r="BX197" s="14"/>
      <c r="BY197" s="14"/>
      <c r="BZ197" s="14"/>
      <c r="CA197" s="14"/>
      <c r="CB197" s="87"/>
      <c r="CC197" s="233"/>
      <c r="CD197" s="233"/>
      <c r="CE197" s="233"/>
      <c r="CF197" s="21"/>
      <c r="CG197" s="21"/>
      <c r="CH197" s="21"/>
      <c r="CI197" s="14"/>
      <c r="CJ197" s="14"/>
      <c r="CK197" s="14"/>
      <c r="CL197" s="14"/>
      <c r="CM197" s="14"/>
      <c r="CN197" s="87"/>
      <c r="CO197" s="233"/>
      <c r="CP197" s="233"/>
      <c r="CQ197" s="233"/>
      <c r="CR197" s="21"/>
      <c r="CS197" s="21"/>
      <c r="CT197" s="21"/>
      <c r="CU197" s="14"/>
      <c r="CV197" s="14"/>
      <c r="CW197" s="14"/>
      <c r="CX197" s="14"/>
      <c r="CY197" s="14"/>
      <c r="CZ197" s="87"/>
      <c r="DA197" s="21"/>
      <c r="DB197" s="21"/>
      <c r="DC197" s="233"/>
      <c r="DD197" s="21"/>
      <c r="DE197" s="21"/>
      <c r="DF197" s="21"/>
      <c r="DG197" s="14"/>
      <c r="DH197" s="14"/>
      <c r="DI197" s="14"/>
      <c r="DJ197" s="14"/>
      <c r="DK197" s="14"/>
      <c r="DL197" s="87"/>
      <c r="DM197" s="21"/>
      <c r="DN197" s="21"/>
      <c r="DO197" s="233"/>
      <c r="DP197" s="21"/>
      <c r="DQ197" s="21"/>
      <c r="DR197" s="21"/>
      <c r="DS197" s="14"/>
      <c r="DT197" s="14"/>
      <c r="DU197" s="14"/>
      <c r="DV197" s="14"/>
      <c r="DW197" s="14"/>
      <c r="DX197" s="87"/>
      <c r="DY197" s="21"/>
      <c r="DZ197" s="233"/>
      <c r="EA197" s="233"/>
      <c r="EB197" s="21"/>
      <c r="EC197" s="21"/>
      <c r="ED197" s="21"/>
      <c r="EE197" s="14"/>
      <c r="EF197" s="14"/>
      <c r="EG197" s="14"/>
      <c r="EH197" s="14"/>
      <c r="EI197" s="14"/>
      <c r="EJ197" s="87"/>
      <c r="EK197" s="21"/>
      <c r="EL197" s="233"/>
      <c r="EM197" s="233"/>
      <c r="EN197" s="21"/>
      <c r="EO197" s="21"/>
      <c r="EP197" s="21"/>
      <c r="EQ197" s="14"/>
      <c r="ER197" s="14"/>
      <c r="ES197" s="14"/>
      <c r="ET197" s="14"/>
      <c r="EU197" s="14"/>
      <c r="EV197" s="87"/>
      <c r="EW197" s="21"/>
      <c r="EX197" s="21"/>
      <c r="EY197" s="233"/>
      <c r="EZ197" s="233"/>
      <c r="FA197" s="233"/>
      <c r="FB197" s="233"/>
      <c r="FC197" s="233"/>
      <c r="FD197" s="233"/>
    </row>
    <row r="198" spans="1:160">
      <c r="A198" s="20" t="s">
        <v>3119</v>
      </c>
      <c r="B198" s="14">
        <v>3</v>
      </c>
      <c r="C198" s="14" t="s">
        <v>3301</v>
      </c>
      <c r="D198" s="14">
        <v>2</v>
      </c>
      <c r="E198" s="106" t="s">
        <v>3682</v>
      </c>
      <c r="F198" s="14" t="s">
        <v>3302</v>
      </c>
      <c r="G198" s="44" t="s">
        <v>3303</v>
      </c>
      <c r="H198" s="44" t="s">
        <v>3728</v>
      </c>
      <c r="I198" s="44" t="s">
        <v>3900</v>
      </c>
      <c r="J198" s="28" t="s">
        <v>4369</v>
      </c>
      <c r="L198" s="21"/>
      <c r="M198" s="21"/>
      <c r="N198" s="21"/>
      <c r="O198" s="14"/>
      <c r="P198" s="14"/>
      <c r="Q198" s="14"/>
      <c r="R198" s="14"/>
      <c r="S198" s="14"/>
      <c r="T198" s="87"/>
      <c r="U198" s="21"/>
      <c r="V198" s="21"/>
      <c r="W198" s="21"/>
      <c r="X198" s="21"/>
      <c r="Y198" s="21"/>
      <c r="Z198" s="21"/>
      <c r="AA198" s="14"/>
      <c r="AB198" s="14"/>
      <c r="AC198" s="14"/>
      <c r="AD198" s="14"/>
      <c r="AE198" s="14"/>
      <c r="AF198" s="87"/>
      <c r="AG198" s="21"/>
      <c r="AH198" s="21"/>
      <c r="AI198" s="21"/>
      <c r="AJ198" s="21"/>
      <c r="AK198" s="21"/>
      <c r="AL198" s="21"/>
      <c r="AM198" s="14"/>
      <c r="AN198" s="14"/>
      <c r="AO198" s="14"/>
      <c r="AP198" s="14"/>
      <c r="AQ198" s="14"/>
      <c r="AR198" s="87"/>
      <c r="AS198" s="21"/>
      <c r="AT198" s="21"/>
      <c r="AU198" s="21"/>
      <c r="AV198" s="21"/>
      <c r="AW198" s="21"/>
      <c r="AX198" s="21"/>
      <c r="AY198" s="14"/>
      <c r="AZ198" s="14"/>
      <c r="BA198" s="14"/>
      <c r="BB198" s="14"/>
      <c r="BC198" s="14"/>
      <c r="BD198" s="87"/>
      <c r="BE198" s="21"/>
      <c r="BF198" s="21"/>
      <c r="BG198" s="21"/>
      <c r="BH198" s="21"/>
      <c r="BI198" s="21"/>
      <c r="BJ198" s="21"/>
      <c r="BK198" s="14"/>
      <c r="BL198" s="14"/>
      <c r="BM198" s="14"/>
      <c r="BN198" s="14"/>
      <c r="BO198" s="14"/>
      <c r="BP198" s="87"/>
      <c r="BQ198" s="21"/>
      <c r="BR198" s="21"/>
      <c r="BS198" s="233"/>
      <c r="BT198" s="21"/>
      <c r="BU198" s="21"/>
      <c r="BV198" s="21"/>
      <c r="BW198" s="14"/>
      <c r="BX198" s="14"/>
      <c r="BY198" s="14"/>
      <c r="BZ198" s="14"/>
      <c r="CA198" s="14"/>
      <c r="CB198" s="87"/>
      <c r="CC198" s="233"/>
      <c r="CD198" s="233"/>
      <c r="CE198" s="233"/>
      <c r="CF198" s="21"/>
      <c r="CG198" s="21"/>
      <c r="CH198" s="21"/>
      <c r="CI198" s="14"/>
      <c r="CJ198" s="14"/>
      <c r="CK198" s="14"/>
      <c r="CL198" s="14"/>
      <c r="CM198" s="14"/>
      <c r="CN198" s="87"/>
      <c r="CO198" s="233"/>
      <c r="CP198" s="233"/>
      <c r="CQ198" s="233"/>
      <c r="CR198" s="21"/>
      <c r="CS198" s="21"/>
      <c r="CT198" s="21"/>
      <c r="CU198" s="14"/>
      <c r="CV198" s="14"/>
      <c r="CW198" s="14"/>
      <c r="CX198" s="14"/>
      <c r="CY198" s="14"/>
      <c r="CZ198" s="87"/>
      <c r="DA198" s="21"/>
      <c r="DB198" s="21"/>
      <c r="DC198" s="233"/>
      <c r="DD198" s="21"/>
      <c r="DE198" s="21"/>
      <c r="DF198" s="21"/>
      <c r="DG198" s="14"/>
      <c r="DH198" s="14"/>
      <c r="DI198" s="14"/>
      <c r="DJ198" s="14"/>
      <c r="DK198" s="14"/>
      <c r="DL198" s="87"/>
      <c r="DM198" s="21"/>
      <c r="DN198" s="21"/>
      <c r="DO198" s="233"/>
      <c r="DP198" s="21"/>
      <c r="DQ198" s="21"/>
      <c r="DR198" s="21"/>
      <c r="DS198" s="14"/>
      <c r="DT198" s="14"/>
      <c r="DU198" s="14"/>
      <c r="DV198" s="14"/>
      <c r="DW198" s="14"/>
      <c r="DX198" s="87"/>
      <c r="DY198" s="21"/>
      <c r="DZ198" s="233"/>
      <c r="EA198" s="233"/>
      <c r="EB198" s="21"/>
      <c r="EC198" s="21"/>
      <c r="ED198" s="21"/>
      <c r="EE198" s="14"/>
      <c r="EF198" s="14"/>
      <c r="EG198" s="14"/>
      <c r="EH198" s="14"/>
      <c r="EI198" s="14"/>
      <c r="EJ198" s="87"/>
      <c r="EK198" s="21"/>
      <c r="EL198" s="233"/>
      <c r="EM198" s="233"/>
      <c r="EN198" s="21"/>
      <c r="EO198" s="21"/>
      <c r="EP198" s="21"/>
      <c r="EQ198" s="14"/>
      <c r="ER198" s="14"/>
      <c r="ES198" s="14"/>
      <c r="ET198" s="14"/>
      <c r="EU198" s="14"/>
      <c r="EV198" s="87"/>
      <c r="EW198" s="21"/>
      <c r="EX198" s="21"/>
      <c r="EY198" s="233"/>
      <c r="EZ198" s="233"/>
      <c r="FA198" s="233"/>
      <c r="FB198" s="233"/>
      <c r="FC198" s="233"/>
      <c r="FD198" s="233"/>
    </row>
    <row r="199" spans="1:160">
      <c r="A199" s="20" t="s">
        <v>3111</v>
      </c>
      <c r="B199" s="14">
        <v>3</v>
      </c>
      <c r="C199" s="14" t="s">
        <v>3666</v>
      </c>
      <c r="D199" s="14">
        <v>1</v>
      </c>
      <c r="E199" s="110" t="s">
        <v>3749</v>
      </c>
      <c r="F199" s="14" t="s">
        <v>3898</v>
      </c>
      <c r="G199" s="44" t="s">
        <v>3901</v>
      </c>
      <c r="H199" s="107" t="s">
        <v>3112</v>
      </c>
      <c r="I199" s="44" t="s">
        <v>3900</v>
      </c>
      <c r="J199" s="28" t="s">
        <v>4369</v>
      </c>
      <c r="L199" s="21"/>
      <c r="M199" s="21"/>
      <c r="N199" s="21"/>
      <c r="O199" s="14"/>
      <c r="P199" s="14"/>
      <c r="Q199" s="14"/>
      <c r="R199" s="14"/>
      <c r="S199" s="14"/>
      <c r="T199" s="87"/>
      <c r="U199" s="21"/>
      <c r="V199" s="21"/>
      <c r="W199" s="21"/>
      <c r="X199" s="21"/>
      <c r="Y199" s="21"/>
      <c r="Z199" s="21"/>
      <c r="AA199" s="14"/>
      <c r="AB199" s="14"/>
      <c r="AC199" s="14"/>
      <c r="AD199" s="14"/>
      <c r="AE199" s="14"/>
      <c r="AF199" s="87"/>
      <c r="AG199" s="21"/>
      <c r="AH199" s="21"/>
      <c r="AI199" s="21"/>
      <c r="AJ199" s="21"/>
      <c r="AK199" s="21"/>
      <c r="AL199" s="21"/>
      <c r="AM199" s="14"/>
      <c r="AN199" s="14"/>
      <c r="AO199" s="14"/>
      <c r="AP199" s="14"/>
      <c r="AQ199" s="14"/>
      <c r="AR199" s="87"/>
      <c r="AS199" s="21"/>
      <c r="AT199" s="21"/>
      <c r="AU199" s="21"/>
      <c r="AV199" s="21"/>
      <c r="AW199" s="21"/>
      <c r="AX199" s="21"/>
      <c r="AY199" s="14"/>
      <c r="AZ199" s="14"/>
      <c r="BA199" s="14"/>
      <c r="BB199" s="14"/>
      <c r="BC199" s="14"/>
      <c r="BD199" s="87"/>
      <c r="BE199" s="21"/>
      <c r="BF199" s="21"/>
      <c r="BG199" s="21"/>
      <c r="BH199" s="21"/>
      <c r="BI199" s="21"/>
      <c r="BJ199" s="21"/>
      <c r="BK199" s="14"/>
      <c r="BL199" s="14"/>
      <c r="BM199" s="14"/>
      <c r="BN199" s="14"/>
      <c r="BO199" s="14"/>
      <c r="BP199" s="87"/>
      <c r="BQ199" s="21"/>
      <c r="BR199" s="21"/>
      <c r="BS199" s="233"/>
      <c r="BT199" s="21"/>
      <c r="BU199" s="21"/>
      <c r="BV199" s="21"/>
      <c r="BW199" s="14"/>
      <c r="BX199" s="14"/>
      <c r="BY199" s="14"/>
      <c r="BZ199" s="14"/>
      <c r="CA199" s="14"/>
      <c r="CB199" s="87"/>
      <c r="CC199" s="233"/>
      <c r="CD199" s="233"/>
      <c r="CE199" s="233"/>
      <c r="CF199" s="21"/>
      <c r="CG199" s="21"/>
      <c r="CH199" s="21"/>
      <c r="CI199" s="14"/>
      <c r="CJ199" s="14"/>
      <c r="CK199" s="14"/>
      <c r="CL199" s="14"/>
      <c r="CM199" s="14"/>
      <c r="CN199" s="87"/>
      <c r="CO199" s="233"/>
      <c r="CP199" s="233"/>
      <c r="CQ199" s="233"/>
      <c r="CR199" s="21"/>
      <c r="CS199" s="21"/>
      <c r="CT199" s="21"/>
      <c r="CU199" s="14"/>
      <c r="CV199" s="14"/>
      <c r="CW199" s="14"/>
      <c r="CX199" s="14"/>
      <c r="CY199" s="14"/>
      <c r="CZ199" s="87"/>
      <c r="DA199" s="21"/>
      <c r="DB199" s="21"/>
      <c r="DC199" s="233"/>
      <c r="DD199" s="21"/>
      <c r="DE199" s="21"/>
      <c r="DF199" s="21"/>
      <c r="DG199" s="14"/>
      <c r="DH199" s="14"/>
      <c r="DI199" s="14"/>
      <c r="DJ199" s="14"/>
      <c r="DK199" s="14"/>
      <c r="DL199" s="87"/>
      <c r="DM199" s="21"/>
      <c r="DN199" s="21"/>
      <c r="DO199" s="233"/>
      <c r="DP199" s="21"/>
      <c r="DQ199" s="21"/>
      <c r="DR199" s="21"/>
      <c r="DS199" s="14"/>
      <c r="DT199" s="14"/>
      <c r="DU199" s="14"/>
      <c r="DV199" s="14"/>
      <c r="DW199" s="14"/>
      <c r="DX199" s="87"/>
      <c r="DY199" s="21"/>
      <c r="DZ199" s="233"/>
      <c r="EA199" s="233"/>
      <c r="EB199" s="21"/>
      <c r="EC199" s="21"/>
      <c r="ED199" s="21"/>
      <c r="EE199" s="14"/>
      <c r="EF199" s="14"/>
      <c r="EG199" s="14"/>
      <c r="EH199" s="14"/>
      <c r="EI199" s="14"/>
      <c r="EJ199" s="87"/>
      <c r="EK199" s="21"/>
      <c r="EL199" s="233"/>
      <c r="EM199" s="233"/>
      <c r="EN199" s="21"/>
      <c r="EO199" s="21"/>
      <c r="EP199" s="21"/>
      <c r="EQ199" s="14"/>
      <c r="ER199" s="14"/>
      <c r="ES199" s="14"/>
      <c r="ET199" s="14"/>
      <c r="EU199" s="14"/>
      <c r="EV199" s="87"/>
      <c r="EW199" s="21"/>
      <c r="EX199" s="21"/>
      <c r="EY199" s="233"/>
      <c r="EZ199" s="233"/>
      <c r="FA199" s="233"/>
      <c r="FB199" s="233"/>
      <c r="FC199" s="233"/>
      <c r="FD199" s="233"/>
    </row>
    <row r="200" spans="1:160">
      <c r="A200" s="20" t="s">
        <v>3307</v>
      </c>
      <c r="B200" s="14">
        <v>3</v>
      </c>
      <c r="C200" s="14" t="s">
        <v>3210</v>
      </c>
      <c r="D200" s="14">
        <v>1</v>
      </c>
      <c r="E200" s="110" t="s">
        <v>3749</v>
      </c>
      <c r="F200" s="14" t="s">
        <v>3898</v>
      </c>
      <c r="G200" s="44" t="s">
        <v>3467</v>
      </c>
      <c r="H200" s="107" t="s">
        <v>3486</v>
      </c>
      <c r="I200" s="44" t="s">
        <v>3916</v>
      </c>
      <c r="J200" s="28" t="s">
        <v>4555</v>
      </c>
      <c r="L200" s="26"/>
      <c r="M200" s="21"/>
      <c r="N200" s="108"/>
      <c r="O200" s="108"/>
      <c r="P200" s="108"/>
      <c r="Q200" s="108"/>
      <c r="R200" s="108"/>
      <c r="S200" s="108"/>
      <c r="T200" s="282"/>
      <c r="U200" s="26"/>
      <c r="V200" s="21"/>
      <c r="W200" s="21"/>
      <c r="X200" s="26"/>
      <c r="Y200" s="21"/>
      <c r="Z200" s="108"/>
      <c r="AA200" s="108"/>
      <c r="AB200" s="108"/>
      <c r="AC200" s="108"/>
      <c r="AD200" s="108"/>
      <c r="AE200" s="108"/>
      <c r="AF200" s="282"/>
      <c r="AG200" s="26"/>
      <c r="AH200" s="21"/>
      <c r="AI200" s="21"/>
      <c r="AJ200" s="26"/>
      <c r="AK200" s="21"/>
      <c r="AL200" s="108"/>
      <c r="AM200" s="108"/>
      <c r="AN200" s="108"/>
      <c r="AO200" s="108"/>
      <c r="AP200" s="108"/>
      <c r="AQ200" s="108"/>
      <c r="AR200" s="282"/>
      <c r="AS200" s="26"/>
      <c r="AT200" s="21"/>
      <c r="AU200" s="21"/>
      <c r="AV200" s="26"/>
      <c r="AW200" s="21"/>
      <c r="AX200" s="108"/>
      <c r="AY200" s="108"/>
      <c r="AZ200" s="108"/>
      <c r="BA200" s="108"/>
      <c r="BB200" s="108"/>
      <c r="BC200" s="108"/>
      <c r="BD200" s="282"/>
      <c r="BE200" s="26"/>
      <c r="BF200" s="21"/>
      <c r="BG200" s="21"/>
      <c r="BH200" s="26"/>
      <c r="BI200" s="21"/>
      <c r="BJ200" s="108"/>
      <c r="BK200" s="108"/>
      <c r="BL200" s="108"/>
      <c r="BM200" s="108"/>
      <c r="BN200" s="108"/>
      <c r="BO200" s="108"/>
      <c r="BP200" s="282"/>
      <c r="BQ200" s="26"/>
      <c r="BR200" s="21"/>
      <c r="BS200" s="233"/>
      <c r="BT200" s="26"/>
      <c r="BU200" s="21"/>
      <c r="BV200" s="108"/>
      <c r="BW200" s="108"/>
      <c r="BX200" s="108"/>
      <c r="BY200" s="108"/>
      <c r="BZ200" s="108"/>
      <c r="CA200" s="108"/>
      <c r="CB200" s="282"/>
      <c r="CC200" s="233"/>
      <c r="CD200" s="233"/>
      <c r="CE200" s="233"/>
      <c r="CF200" s="26"/>
      <c r="CG200" s="21"/>
      <c r="CH200" s="108"/>
      <c r="CI200" s="108"/>
      <c r="CJ200" s="108"/>
      <c r="CK200" s="108"/>
      <c r="CL200" s="108"/>
      <c r="CM200" s="108"/>
      <c r="CN200" s="282"/>
      <c r="CO200" s="233"/>
      <c r="CP200" s="233"/>
      <c r="CQ200" s="233"/>
      <c r="CR200" s="26"/>
      <c r="CS200" s="21"/>
      <c r="CT200" s="108"/>
      <c r="CU200" s="108"/>
      <c r="CV200" s="108"/>
      <c r="CW200" s="108"/>
      <c r="CX200" s="108"/>
      <c r="CY200" s="108"/>
      <c r="CZ200" s="282"/>
      <c r="DA200" s="26"/>
      <c r="DB200" s="21"/>
      <c r="DC200" s="233"/>
      <c r="DD200" s="26"/>
      <c r="DE200" s="21"/>
      <c r="DF200" s="108"/>
      <c r="DG200" s="108"/>
      <c r="DH200" s="108"/>
      <c r="DI200" s="108"/>
      <c r="DJ200" s="108"/>
      <c r="DK200" s="108"/>
      <c r="DL200" s="282"/>
      <c r="DM200" s="26"/>
      <c r="DN200" s="21"/>
      <c r="DO200" s="233"/>
      <c r="DP200" s="26"/>
      <c r="DQ200" s="21"/>
      <c r="DR200" s="108"/>
      <c r="DS200" s="108"/>
      <c r="DT200" s="108"/>
      <c r="DU200" s="108"/>
      <c r="DV200" s="108"/>
      <c r="DW200" s="108"/>
      <c r="DX200" s="282"/>
      <c r="DY200" s="26"/>
      <c r="DZ200" s="233"/>
      <c r="EA200" s="233"/>
      <c r="EB200" s="26"/>
      <c r="EC200" s="21"/>
      <c r="ED200" s="108"/>
      <c r="EE200" s="108"/>
      <c r="EF200" s="108"/>
      <c r="EG200" s="108"/>
      <c r="EH200" s="108"/>
      <c r="EI200" s="108"/>
      <c r="EJ200" s="282"/>
      <c r="EK200" s="26"/>
      <c r="EL200" s="233"/>
      <c r="EM200" s="233"/>
      <c r="EN200" s="26"/>
      <c r="EO200" s="21"/>
      <c r="EP200" s="108"/>
      <c r="EQ200" s="108"/>
      <c r="ER200" s="108"/>
      <c r="ES200" s="108"/>
      <c r="ET200" s="108"/>
      <c r="EU200" s="108"/>
      <c r="EV200" s="282"/>
      <c r="EW200" s="26"/>
      <c r="EX200" s="21"/>
      <c r="EY200" s="233"/>
      <c r="EZ200" s="233"/>
      <c r="FA200" s="233"/>
      <c r="FB200" s="233"/>
      <c r="FC200" s="233"/>
      <c r="FD200" s="233"/>
    </row>
    <row r="201" spans="1:160">
      <c r="A201" s="20" t="s">
        <v>3463</v>
      </c>
      <c r="B201" s="14">
        <v>3</v>
      </c>
      <c r="C201" s="14" t="s">
        <v>3371</v>
      </c>
      <c r="D201" s="14">
        <v>2</v>
      </c>
      <c r="E201" s="110" t="s">
        <v>3749</v>
      </c>
      <c r="F201" s="14" t="s">
        <v>3898</v>
      </c>
      <c r="G201" s="44" t="s">
        <v>3550</v>
      </c>
      <c r="H201" s="44" t="s">
        <v>3728</v>
      </c>
      <c r="I201" s="44" t="s">
        <v>3900</v>
      </c>
      <c r="J201" s="28" t="s">
        <v>4447</v>
      </c>
      <c r="L201" s="26" t="s">
        <v>5420</v>
      </c>
      <c r="M201" s="21"/>
      <c r="N201" s="108" t="s">
        <v>5018</v>
      </c>
      <c r="O201" s="108" t="s">
        <v>5701</v>
      </c>
      <c r="P201" s="108" t="s">
        <v>5019</v>
      </c>
      <c r="Q201" s="108" t="s">
        <v>5020</v>
      </c>
      <c r="R201" s="108" t="s">
        <v>5021</v>
      </c>
      <c r="S201" s="108" t="s">
        <v>5022</v>
      </c>
      <c r="T201" s="282" t="s">
        <v>5316</v>
      </c>
      <c r="U201" s="26"/>
      <c r="V201" s="21"/>
      <c r="W201" s="21"/>
      <c r="X201" s="26" t="s">
        <v>5420</v>
      </c>
      <c r="Y201" s="21"/>
      <c r="Z201" s="108" t="s">
        <v>5018</v>
      </c>
      <c r="AA201" s="108" t="s">
        <v>5701</v>
      </c>
      <c r="AB201" s="108" t="s">
        <v>5019</v>
      </c>
      <c r="AC201" s="108" t="s">
        <v>5020</v>
      </c>
      <c r="AD201" s="108" t="s">
        <v>5021</v>
      </c>
      <c r="AE201" s="108" t="s">
        <v>5022</v>
      </c>
      <c r="AF201" s="282" t="s">
        <v>5316</v>
      </c>
      <c r="AG201" s="26"/>
      <c r="AH201" s="21"/>
      <c r="AI201" s="21"/>
      <c r="AJ201" s="26" t="s">
        <v>5420</v>
      </c>
      <c r="AK201" s="21"/>
      <c r="AL201" s="108" t="s">
        <v>5018</v>
      </c>
      <c r="AM201" s="108" t="s">
        <v>5701</v>
      </c>
      <c r="AN201" s="108" t="s">
        <v>5019</v>
      </c>
      <c r="AO201" s="108" t="s">
        <v>5020</v>
      </c>
      <c r="AP201" s="108" t="s">
        <v>5021</v>
      </c>
      <c r="AQ201" s="108" t="s">
        <v>5022</v>
      </c>
      <c r="AR201" s="282" t="s">
        <v>5316</v>
      </c>
      <c r="AS201" s="26"/>
      <c r="AT201" s="21"/>
      <c r="AU201" s="21"/>
      <c r="AV201" s="26" t="s">
        <v>5420</v>
      </c>
      <c r="AW201" s="21"/>
      <c r="AX201" s="108" t="s">
        <v>5018</v>
      </c>
      <c r="AY201" s="108" t="s">
        <v>5701</v>
      </c>
      <c r="AZ201" s="108" t="s">
        <v>5019</v>
      </c>
      <c r="BA201" s="108" t="s">
        <v>5020</v>
      </c>
      <c r="BB201" s="108" t="s">
        <v>5021</v>
      </c>
      <c r="BC201" s="108" t="s">
        <v>5022</v>
      </c>
      <c r="BD201" s="282" t="s">
        <v>5316</v>
      </c>
      <c r="BE201" s="26"/>
      <c r="BF201" s="21"/>
      <c r="BG201" s="21"/>
      <c r="BH201" s="26" t="s">
        <v>5420</v>
      </c>
      <c r="BI201" s="21"/>
      <c r="BJ201" s="108" t="s">
        <v>5018</v>
      </c>
      <c r="BK201" s="108" t="s">
        <v>5701</v>
      </c>
      <c r="BL201" s="108" t="s">
        <v>5019</v>
      </c>
      <c r="BM201" s="108" t="s">
        <v>5020</v>
      </c>
      <c r="BN201" s="108" t="s">
        <v>5021</v>
      </c>
      <c r="BO201" s="108" t="s">
        <v>5022</v>
      </c>
      <c r="BP201" s="282" t="s">
        <v>5316</v>
      </c>
      <c r="BQ201" s="26"/>
      <c r="BR201" s="21"/>
      <c r="BS201" s="233"/>
      <c r="BT201" s="26" t="s">
        <v>5420</v>
      </c>
      <c r="BU201" s="21"/>
      <c r="BV201" s="108" t="s">
        <v>5018</v>
      </c>
      <c r="BW201" s="108" t="s">
        <v>5701</v>
      </c>
      <c r="BX201" s="108" t="s">
        <v>5019</v>
      </c>
      <c r="BY201" s="108" t="s">
        <v>5020</v>
      </c>
      <c r="BZ201" s="108" t="s">
        <v>5021</v>
      </c>
      <c r="CA201" s="108" t="s">
        <v>5022</v>
      </c>
      <c r="CB201" s="282" t="s">
        <v>5316</v>
      </c>
      <c r="CC201" s="233"/>
      <c r="CD201" s="233"/>
      <c r="CE201" s="233"/>
      <c r="CF201" s="26" t="s">
        <v>5420</v>
      </c>
      <c r="CG201" s="21"/>
      <c r="CH201" s="108" t="s">
        <v>5018</v>
      </c>
      <c r="CI201" s="108" t="s">
        <v>5701</v>
      </c>
      <c r="CJ201" s="108" t="s">
        <v>5019</v>
      </c>
      <c r="CK201" s="108" t="s">
        <v>5020</v>
      </c>
      <c r="CL201" s="108" t="s">
        <v>5021</v>
      </c>
      <c r="CM201" s="108" t="s">
        <v>5022</v>
      </c>
      <c r="CN201" s="282" t="s">
        <v>5316</v>
      </c>
      <c r="CO201" s="233"/>
      <c r="CP201" s="233"/>
      <c r="CQ201" s="233"/>
      <c r="CR201" s="26" t="s">
        <v>5420</v>
      </c>
      <c r="CS201" s="21"/>
      <c r="CT201" s="108" t="s">
        <v>5018</v>
      </c>
      <c r="CU201" s="108" t="s">
        <v>5701</v>
      </c>
      <c r="CV201" s="108" t="s">
        <v>5019</v>
      </c>
      <c r="CW201" s="108" t="s">
        <v>5020</v>
      </c>
      <c r="CX201" s="108" t="s">
        <v>5021</v>
      </c>
      <c r="CY201" s="108" t="s">
        <v>5022</v>
      </c>
      <c r="CZ201" s="282" t="s">
        <v>5316</v>
      </c>
      <c r="DA201" s="26"/>
      <c r="DB201" s="21"/>
      <c r="DC201" s="233"/>
      <c r="DD201" s="26" t="s">
        <v>5420</v>
      </c>
      <c r="DE201" s="21"/>
      <c r="DF201" s="108" t="s">
        <v>5018</v>
      </c>
      <c r="DG201" s="108" t="s">
        <v>5701</v>
      </c>
      <c r="DH201" s="108" t="s">
        <v>5019</v>
      </c>
      <c r="DI201" s="108" t="s">
        <v>5020</v>
      </c>
      <c r="DJ201" s="108" t="s">
        <v>5021</v>
      </c>
      <c r="DK201" s="108" t="s">
        <v>5022</v>
      </c>
      <c r="DL201" s="282" t="s">
        <v>5316</v>
      </c>
      <c r="DM201" s="26"/>
      <c r="DN201" s="21"/>
      <c r="DO201" s="233"/>
      <c r="DP201" s="26" t="s">
        <v>5420</v>
      </c>
      <c r="DQ201" s="21"/>
      <c r="DR201" s="108" t="s">
        <v>5018</v>
      </c>
      <c r="DS201" s="108" t="s">
        <v>5701</v>
      </c>
      <c r="DT201" s="108" t="s">
        <v>5019</v>
      </c>
      <c r="DU201" s="108" t="s">
        <v>5020</v>
      </c>
      <c r="DV201" s="108" t="s">
        <v>5021</v>
      </c>
      <c r="DW201" s="108" t="s">
        <v>5022</v>
      </c>
      <c r="DX201" s="282" t="s">
        <v>5316</v>
      </c>
      <c r="DY201" s="26"/>
      <c r="DZ201" s="233"/>
      <c r="EA201" s="233"/>
      <c r="EB201" s="26" t="s">
        <v>5420</v>
      </c>
      <c r="EC201" s="21"/>
      <c r="ED201" s="108" t="s">
        <v>5018</v>
      </c>
      <c r="EE201" s="108" t="s">
        <v>5701</v>
      </c>
      <c r="EF201" s="108" t="s">
        <v>5019</v>
      </c>
      <c r="EG201" s="108" t="s">
        <v>5020</v>
      </c>
      <c r="EH201" s="108" t="s">
        <v>5021</v>
      </c>
      <c r="EI201" s="108" t="s">
        <v>5022</v>
      </c>
      <c r="EJ201" s="282" t="s">
        <v>5316</v>
      </c>
      <c r="EK201" s="26"/>
      <c r="EL201" s="233"/>
      <c r="EM201" s="233"/>
      <c r="EN201" s="26" t="s">
        <v>5420</v>
      </c>
      <c r="EO201" s="21"/>
      <c r="EP201" s="108" t="s">
        <v>5018</v>
      </c>
      <c r="EQ201" s="108" t="s">
        <v>5701</v>
      </c>
      <c r="ER201" s="108" t="s">
        <v>5019</v>
      </c>
      <c r="ES201" s="108" t="s">
        <v>5020</v>
      </c>
      <c r="ET201" s="108" t="s">
        <v>5021</v>
      </c>
      <c r="EU201" s="108" t="s">
        <v>5022</v>
      </c>
      <c r="EV201" s="282" t="s">
        <v>5316</v>
      </c>
      <c r="EW201" s="26"/>
      <c r="EX201" s="21"/>
      <c r="EY201" s="233"/>
      <c r="EZ201" s="233"/>
      <c r="FA201" s="233"/>
      <c r="FB201" s="233"/>
      <c r="FC201" s="233"/>
      <c r="FD201" s="233"/>
    </row>
    <row r="202" spans="1:160">
      <c r="A202" s="20" t="s">
        <v>3457</v>
      </c>
      <c r="B202" s="14">
        <v>3</v>
      </c>
      <c r="C202" s="14" t="s">
        <v>3210</v>
      </c>
      <c r="D202" s="14">
        <v>2</v>
      </c>
      <c r="E202" s="110" t="s">
        <v>3807</v>
      </c>
      <c r="F202" s="14" t="s">
        <v>3473</v>
      </c>
      <c r="G202" s="44" t="s">
        <v>3736</v>
      </c>
      <c r="H202" s="44" t="s">
        <v>3859</v>
      </c>
      <c r="I202" s="44" t="s">
        <v>3916</v>
      </c>
      <c r="J202" s="28" t="s">
        <v>4946</v>
      </c>
      <c r="L202" s="21" t="s">
        <v>2732</v>
      </c>
      <c r="M202" s="21"/>
      <c r="N202" s="14"/>
      <c r="O202" s="14" t="s">
        <v>2390</v>
      </c>
      <c r="P202" s="14">
        <v>6</v>
      </c>
      <c r="Q202" s="14" t="s">
        <v>2733</v>
      </c>
      <c r="R202" s="14" t="s">
        <v>2734</v>
      </c>
      <c r="S202" s="14" t="s">
        <v>3651</v>
      </c>
      <c r="T202" s="87" t="s">
        <v>2735</v>
      </c>
      <c r="U202" s="14"/>
      <c r="V202" s="21"/>
      <c r="W202" s="21"/>
      <c r="X202" s="21" t="s">
        <v>2732</v>
      </c>
      <c r="Y202" s="21"/>
      <c r="Z202" s="14"/>
      <c r="AA202" s="14" t="s">
        <v>2390</v>
      </c>
      <c r="AB202" s="14">
        <v>6</v>
      </c>
      <c r="AC202" s="14" t="s">
        <v>2733</v>
      </c>
      <c r="AD202" s="14" t="s">
        <v>2734</v>
      </c>
      <c r="AE202" s="87" t="s">
        <v>3651</v>
      </c>
      <c r="AF202" s="87" t="s">
        <v>2735</v>
      </c>
      <c r="AG202" s="14"/>
      <c r="AH202" s="21"/>
      <c r="AI202" s="21"/>
      <c r="AJ202" s="21"/>
      <c r="AK202" s="21"/>
      <c r="AL202" s="14"/>
      <c r="AM202" s="14"/>
      <c r="AN202" s="14"/>
      <c r="AO202" s="14"/>
      <c r="AP202" s="14"/>
      <c r="AQ202" s="14"/>
      <c r="AR202" s="87"/>
      <c r="AS202" s="14"/>
      <c r="AT202" s="21"/>
      <c r="AU202" s="21"/>
      <c r="AV202" s="21" t="s">
        <v>2569</v>
      </c>
      <c r="AW202" s="21"/>
      <c r="AX202" s="14"/>
      <c r="AY202" s="14" t="s">
        <v>2570</v>
      </c>
      <c r="AZ202" s="14">
        <v>1</v>
      </c>
      <c r="BA202" s="106" t="s">
        <v>2986</v>
      </c>
      <c r="BB202" s="14" t="s">
        <v>2571</v>
      </c>
      <c r="BC202" s="87" t="s">
        <v>2572</v>
      </c>
      <c r="BD202" s="87" t="s">
        <v>2573</v>
      </c>
      <c r="BE202" s="14"/>
      <c r="BF202" s="21"/>
      <c r="BG202" s="21"/>
      <c r="BH202" s="21" t="s">
        <v>2739</v>
      </c>
      <c r="BI202" s="21"/>
      <c r="BJ202" s="14"/>
      <c r="BK202" s="14" t="s">
        <v>2417</v>
      </c>
      <c r="BL202" s="14">
        <v>8</v>
      </c>
      <c r="BM202" s="14" t="s">
        <v>2740</v>
      </c>
      <c r="BN202" s="14" t="s">
        <v>2741</v>
      </c>
      <c r="BO202" s="87" t="s">
        <v>3945</v>
      </c>
      <c r="BP202" s="87" t="s">
        <v>2742</v>
      </c>
      <c r="BQ202" s="14"/>
      <c r="BR202" s="21"/>
      <c r="BS202" s="233"/>
      <c r="BT202" s="21"/>
      <c r="BU202" s="21"/>
      <c r="BV202" s="21"/>
      <c r="BW202" s="21"/>
      <c r="BX202" s="21"/>
      <c r="BY202" s="21"/>
      <c r="BZ202" s="21"/>
      <c r="CA202" s="21"/>
      <c r="CB202" s="21"/>
      <c r="CC202" s="233"/>
      <c r="CD202" s="233"/>
      <c r="CE202" s="233"/>
      <c r="CF202" s="21" t="s">
        <v>2739</v>
      </c>
      <c r="CG202" s="21"/>
      <c r="CH202" s="14"/>
      <c r="CI202" s="14" t="s">
        <v>2417</v>
      </c>
      <c r="CJ202" s="14">
        <v>8</v>
      </c>
      <c r="CK202" s="14" t="s">
        <v>2740</v>
      </c>
      <c r="CL202" s="14" t="s">
        <v>2741</v>
      </c>
      <c r="CM202" s="87" t="s">
        <v>3945</v>
      </c>
      <c r="CN202" s="87" t="s">
        <v>2742</v>
      </c>
      <c r="CO202" s="233"/>
      <c r="CP202" s="233"/>
      <c r="CQ202" s="233"/>
      <c r="CR202" s="21" t="s">
        <v>2732</v>
      </c>
      <c r="CS202" s="21"/>
      <c r="CT202" s="14"/>
      <c r="CU202" s="14" t="s">
        <v>2390</v>
      </c>
      <c r="CV202" s="14">
        <v>6</v>
      </c>
      <c r="CW202" s="14" t="s">
        <v>2733</v>
      </c>
      <c r="CX202" s="14" t="s">
        <v>2734</v>
      </c>
      <c r="CY202" s="87" t="s">
        <v>3651</v>
      </c>
      <c r="CZ202" s="87" t="s">
        <v>2735</v>
      </c>
      <c r="DA202" s="14"/>
      <c r="DB202" s="21"/>
      <c r="DC202" s="233"/>
      <c r="DD202" s="21" t="s">
        <v>2732</v>
      </c>
      <c r="DE202" s="21"/>
      <c r="DF202" s="14"/>
      <c r="DG202" s="14" t="s">
        <v>2390</v>
      </c>
      <c r="DH202" s="14">
        <v>6</v>
      </c>
      <c r="DI202" s="14" t="s">
        <v>2733</v>
      </c>
      <c r="DJ202" s="14" t="s">
        <v>2734</v>
      </c>
      <c r="DK202" s="87" t="s">
        <v>3651</v>
      </c>
      <c r="DL202" s="87" t="s">
        <v>2735</v>
      </c>
      <c r="DM202" s="14"/>
      <c r="DN202" s="21"/>
      <c r="DO202" s="233"/>
      <c r="DP202" s="21"/>
      <c r="DQ202" s="21"/>
      <c r="DR202" s="14"/>
      <c r="DS202" s="14"/>
      <c r="DT202" s="14"/>
      <c r="DU202" s="14"/>
      <c r="DV202" s="14"/>
      <c r="DW202" s="14"/>
      <c r="DX202" s="87"/>
      <c r="DY202" s="14"/>
      <c r="DZ202" s="233"/>
      <c r="EA202" s="233"/>
      <c r="EB202" s="21"/>
      <c r="EC202" s="21"/>
      <c r="ED202" s="14"/>
      <c r="EE202" s="14"/>
      <c r="EF202" s="14"/>
      <c r="EG202" s="14"/>
      <c r="EH202" s="14"/>
      <c r="EI202" s="14"/>
      <c r="EJ202" s="87"/>
      <c r="EK202" s="14"/>
      <c r="EL202" s="233"/>
      <c r="EM202" s="233"/>
      <c r="EN202" s="21" t="s">
        <v>2732</v>
      </c>
      <c r="EO202" s="21"/>
      <c r="EP202" s="14"/>
      <c r="EQ202" s="14" t="s">
        <v>2390</v>
      </c>
      <c r="ER202" s="14">
        <v>6</v>
      </c>
      <c r="ES202" s="14" t="s">
        <v>2733</v>
      </c>
      <c r="ET202" s="14" t="s">
        <v>2734</v>
      </c>
      <c r="EU202" s="87" t="s">
        <v>3651</v>
      </c>
      <c r="EV202" s="87" t="s">
        <v>2735</v>
      </c>
      <c r="EW202" s="14"/>
      <c r="EX202" s="21"/>
      <c r="EY202" s="233"/>
      <c r="EZ202" s="233"/>
      <c r="FA202" s="233"/>
      <c r="FB202" s="233"/>
      <c r="FC202" s="233"/>
      <c r="FD202" s="233"/>
    </row>
    <row r="203" spans="1:160">
      <c r="A203" s="20" t="s">
        <v>3113</v>
      </c>
      <c r="B203" s="14">
        <v>3</v>
      </c>
      <c r="C203" s="14" t="s">
        <v>3588</v>
      </c>
      <c r="D203" s="14">
        <v>3</v>
      </c>
      <c r="E203" s="110" t="s">
        <v>3682</v>
      </c>
      <c r="F203" s="14" t="s">
        <v>3735</v>
      </c>
      <c r="G203" s="44" t="s">
        <v>3730</v>
      </c>
      <c r="H203" s="44" t="s">
        <v>3488</v>
      </c>
      <c r="I203" s="44">
        <v>2</v>
      </c>
      <c r="J203" s="28" t="s">
        <v>3535</v>
      </c>
      <c r="L203" s="21" t="s">
        <v>2743</v>
      </c>
      <c r="M203" s="21"/>
      <c r="N203" s="14"/>
      <c r="O203" s="14" t="s">
        <v>2390</v>
      </c>
      <c r="P203" s="14">
        <v>12</v>
      </c>
      <c r="Q203" s="14" t="s">
        <v>2744</v>
      </c>
      <c r="R203" s="14" t="s">
        <v>3947</v>
      </c>
      <c r="S203" s="14" t="s">
        <v>3736</v>
      </c>
      <c r="T203" s="87" t="s">
        <v>3706</v>
      </c>
      <c r="U203" s="14"/>
      <c r="V203" s="21"/>
      <c r="W203" s="21"/>
      <c r="X203" s="21" t="s">
        <v>2743</v>
      </c>
      <c r="Y203" s="21"/>
      <c r="Z203" s="14"/>
      <c r="AA203" s="14" t="s">
        <v>2390</v>
      </c>
      <c r="AB203" s="14">
        <v>12</v>
      </c>
      <c r="AC203" s="14" t="s">
        <v>2744</v>
      </c>
      <c r="AD203" s="14" t="s">
        <v>3947</v>
      </c>
      <c r="AE203" s="87" t="s">
        <v>3736</v>
      </c>
      <c r="AF203" s="87" t="s">
        <v>3706</v>
      </c>
      <c r="AG203" s="14"/>
      <c r="AH203" s="21"/>
      <c r="AI203" s="21"/>
      <c r="AJ203" s="21"/>
      <c r="AK203" s="21"/>
      <c r="AL203" s="14"/>
      <c r="AM203" s="14"/>
      <c r="AN203" s="14"/>
      <c r="AO203" s="14"/>
      <c r="AP203" s="14"/>
      <c r="AQ203" s="14"/>
      <c r="AR203" s="87"/>
      <c r="AS203" s="14"/>
      <c r="AT203" s="21"/>
      <c r="AU203" s="21"/>
      <c r="AV203" s="21"/>
      <c r="AW203" s="21"/>
      <c r="AX203" s="14"/>
      <c r="AY203" s="14"/>
      <c r="AZ203" s="14"/>
      <c r="BA203" s="14"/>
      <c r="BB203" s="14"/>
      <c r="BC203" s="14"/>
      <c r="BD203" s="87"/>
      <c r="BE203" s="14"/>
      <c r="BF203" s="21"/>
      <c r="BG203" s="21"/>
      <c r="BH203" s="21"/>
      <c r="BI203" s="21"/>
      <c r="BJ203" s="14"/>
      <c r="BK203" s="14"/>
      <c r="BL203" s="14"/>
      <c r="BM203" s="14"/>
      <c r="BN203" s="14"/>
      <c r="BO203" s="14"/>
      <c r="BP203" s="87"/>
      <c r="BQ203" s="14"/>
      <c r="BR203" s="21"/>
      <c r="BS203" s="233"/>
      <c r="BT203" s="21"/>
      <c r="BU203" s="21"/>
      <c r="BV203" s="14"/>
      <c r="BW203" s="14"/>
      <c r="BX203" s="14"/>
      <c r="BY203" s="14"/>
      <c r="BZ203" s="14"/>
      <c r="CA203" s="14"/>
      <c r="CB203" s="87"/>
      <c r="CC203" s="233"/>
      <c r="CD203" s="233"/>
      <c r="CE203" s="233"/>
      <c r="CF203" s="21"/>
      <c r="CG203" s="21"/>
      <c r="CH203" s="14"/>
      <c r="CI203" s="14"/>
      <c r="CJ203" s="14"/>
      <c r="CK203" s="14"/>
      <c r="CL203" s="14"/>
      <c r="CM203" s="14"/>
      <c r="CN203" s="87"/>
      <c r="CO203" s="233"/>
      <c r="CP203" s="233"/>
      <c r="CQ203" s="233"/>
      <c r="CR203" s="21" t="s">
        <v>2743</v>
      </c>
      <c r="CS203" s="21"/>
      <c r="CT203" s="14"/>
      <c r="CU203" s="14" t="s">
        <v>2390</v>
      </c>
      <c r="CV203" s="14">
        <v>12</v>
      </c>
      <c r="CW203" s="14" t="s">
        <v>2744</v>
      </c>
      <c r="CX203" s="14" t="s">
        <v>3947</v>
      </c>
      <c r="CY203" s="87" t="s">
        <v>3736</v>
      </c>
      <c r="CZ203" s="87" t="s">
        <v>3706</v>
      </c>
      <c r="DA203" s="14"/>
      <c r="DB203" s="21"/>
      <c r="DC203" s="233"/>
      <c r="DD203" s="21" t="s">
        <v>2743</v>
      </c>
      <c r="DE203" s="21"/>
      <c r="DF203" s="14"/>
      <c r="DG203" s="14" t="s">
        <v>2390</v>
      </c>
      <c r="DH203" s="14">
        <v>12</v>
      </c>
      <c r="DI203" s="14" t="s">
        <v>2744</v>
      </c>
      <c r="DJ203" s="14" t="s">
        <v>3947</v>
      </c>
      <c r="DK203" s="87" t="s">
        <v>3736</v>
      </c>
      <c r="DL203" s="87" t="s">
        <v>3706</v>
      </c>
      <c r="DM203" s="14"/>
      <c r="DN203" s="21"/>
      <c r="DO203" s="233"/>
      <c r="DP203" s="21"/>
      <c r="DQ203" s="21"/>
      <c r="DR203" s="14"/>
      <c r="DS203" s="14"/>
      <c r="DT203" s="14"/>
      <c r="DU203" s="14"/>
      <c r="DV203" s="14"/>
      <c r="DW203" s="14"/>
      <c r="DX203" s="87"/>
      <c r="DY203" s="14"/>
      <c r="DZ203" s="233"/>
      <c r="EA203" s="233"/>
      <c r="EB203" s="21"/>
      <c r="EC203" s="21"/>
      <c r="ED203" s="14"/>
      <c r="EE203" s="14"/>
      <c r="EF203" s="14"/>
      <c r="EG203" s="14"/>
      <c r="EH203" s="14"/>
      <c r="EI203" s="14"/>
      <c r="EJ203" s="87"/>
      <c r="EK203" s="14"/>
      <c r="EL203" s="233"/>
      <c r="EM203" s="233"/>
      <c r="EN203" s="21" t="s">
        <v>2743</v>
      </c>
      <c r="EO203" s="21"/>
      <c r="EP203" s="14"/>
      <c r="EQ203" s="14" t="s">
        <v>2390</v>
      </c>
      <c r="ER203" s="14">
        <v>12</v>
      </c>
      <c r="ES203" s="14" t="s">
        <v>2744</v>
      </c>
      <c r="ET203" s="14" t="s">
        <v>3947</v>
      </c>
      <c r="EU203" s="87" t="s">
        <v>3736</v>
      </c>
      <c r="EV203" s="87" t="s">
        <v>3706</v>
      </c>
      <c r="EW203" s="14"/>
      <c r="EX203" s="21"/>
      <c r="EY203" s="233"/>
      <c r="EZ203" s="233"/>
      <c r="FA203" s="233"/>
      <c r="FB203" s="233"/>
      <c r="FC203" s="233"/>
      <c r="FD203" s="233"/>
    </row>
    <row r="204" spans="1:160">
      <c r="A204" s="20" t="s">
        <v>3117</v>
      </c>
      <c r="B204" s="14">
        <v>3</v>
      </c>
      <c r="C204" s="14" t="s">
        <v>3410</v>
      </c>
      <c r="D204" s="14">
        <v>1</v>
      </c>
      <c r="E204" s="110" t="s">
        <v>3667</v>
      </c>
      <c r="F204" s="14" t="s">
        <v>3947</v>
      </c>
      <c r="G204" s="44" t="s">
        <v>3490</v>
      </c>
      <c r="H204" s="44" t="s">
        <v>3118</v>
      </c>
      <c r="I204" s="44">
        <v>6</v>
      </c>
      <c r="J204" s="28" t="s">
        <v>5232</v>
      </c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33"/>
      <c r="BT204" s="21"/>
      <c r="BU204" s="21"/>
      <c r="BV204" s="21"/>
      <c r="BW204" s="21"/>
      <c r="BX204" s="21"/>
      <c r="BY204" s="21"/>
      <c r="BZ204" s="21"/>
      <c r="CA204" s="21"/>
      <c r="CB204" s="21"/>
      <c r="CC204" s="233"/>
      <c r="CD204" s="233"/>
      <c r="CE204" s="233"/>
      <c r="CF204" s="21"/>
      <c r="CG204" s="21"/>
      <c r="CH204" s="21"/>
      <c r="CI204" s="21"/>
      <c r="CJ204" s="21"/>
      <c r="CK204" s="21"/>
      <c r="CL204" s="21"/>
      <c r="CM204" s="21"/>
      <c r="CN204" s="21"/>
      <c r="CO204" s="233"/>
      <c r="CP204" s="233"/>
      <c r="CQ204" s="233"/>
      <c r="CR204" s="21"/>
      <c r="CS204" s="21"/>
      <c r="CT204" s="21"/>
      <c r="CU204" s="21"/>
      <c r="CV204" s="21"/>
      <c r="CW204" s="21"/>
      <c r="CX204" s="21"/>
      <c r="CY204" s="21"/>
      <c r="CZ204" s="21"/>
      <c r="DA204" s="21"/>
      <c r="DB204" s="21"/>
      <c r="DC204" s="233"/>
      <c r="DD204" s="21"/>
      <c r="DE204" s="21"/>
      <c r="DF204" s="21"/>
      <c r="DG204" s="21"/>
      <c r="DH204" s="21"/>
      <c r="DI204" s="21"/>
      <c r="DJ204" s="21"/>
      <c r="DK204" s="21"/>
      <c r="DL204" s="21"/>
      <c r="DM204" s="21"/>
      <c r="DN204" s="21"/>
      <c r="DO204" s="233"/>
      <c r="DP204" s="21"/>
      <c r="DQ204" s="21"/>
      <c r="DR204" s="21"/>
      <c r="DS204" s="21"/>
      <c r="DT204" s="21"/>
      <c r="DU204" s="21"/>
      <c r="DV204" s="21"/>
      <c r="DW204" s="21"/>
      <c r="DX204" s="21"/>
      <c r="DY204" s="21"/>
      <c r="DZ204" s="233"/>
      <c r="EA204" s="233"/>
      <c r="EB204" s="21"/>
      <c r="EC204" s="21"/>
      <c r="ED204" s="21"/>
      <c r="EE204" s="21"/>
      <c r="EF204" s="21"/>
      <c r="EG204" s="21"/>
      <c r="EH204" s="21"/>
      <c r="EI204" s="21"/>
      <c r="EJ204" s="21"/>
      <c r="EK204" s="21"/>
      <c r="EL204" s="233"/>
      <c r="EM204" s="233"/>
      <c r="EN204" s="21"/>
      <c r="EO204" s="21"/>
      <c r="EP204" s="21"/>
      <c r="EQ204" s="21"/>
      <c r="ER204" s="21"/>
      <c r="ES204" s="21"/>
      <c r="ET204" s="21"/>
      <c r="EU204" s="21"/>
      <c r="EV204" s="21"/>
      <c r="EW204" s="21"/>
      <c r="EX204" s="21"/>
      <c r="EY204" s="233"/>
      <c r="EZ204" s="233"/>
      <c r="FA204" s="233"/>
      <c r="FB204" s="233"/>
      <c r="FC204" s="233"/>
      <c r="FD204" s="233"/>
    </row>
    <row r="205" spans="1:160">
      <c r="A205" s="20" t="s">
        <v>3311</v>
      </c>
      <c r="B205" s="14">
        <v>3</v>
      </c>
      <c r="C205" s="14" t="s">
        <v>3410</v>
      </c>
      <c r="D205" s="14">
        <v>2</v>
      </c>
      <c r="E205" s="110" t="s">
        <v>3749</v>
      </c>
      <c r="F205" s="14" t="s">
        <v>3898</v>
      </c>
      <c r="G205" s="44" t="s">
        <v>3312</v>
      </c>
      <c r="H205" s="44" t="s">
        <v>3746</v>
      </c>
      <c r="I205" s="44" t="s">
        <v>2388</v>
      </c>
      <c r="J205" s="28" t="s">
        <v>5232</v>
      </c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33"/>
      <c r="BT205" s="21"/>
      <c r="BU205" s="21"/>
      <c r="BV205" s="21"/>
      <c r="BW205" s="21"/>
      <c r="BX205" s="21"/>
      <c r="BY205" s="21"/>
      <c r="BZ205" s="21"/>
      <c r="CA205" s="21"/>
      <c r="CB205" s="21"/>
      <c r="CC205" s="233"/>
      <c r="CD205" s="233"/>
      <c r="CE205" s="233"/>
      <c r="CF205" s="21"/>
      <c r="CG205" s="21"/>
      <c r="CH205" s="21"/>
      <c r="CI205" s="21"/>
      <c r="CJ205" s="21"/>
      <c r="CK205" s="21"/>
      <c r="CL205" s="21"/>
      <c r="CM205" s="21"/>
      <c r="CN205" s="21"/>
      <c r="CO205" s="233"/>
      <c r="CP205" s="233"/>
      <c r="CQ205" s="233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  <c r="DC205" s="233"/>
      <c r="DD205" s="21"/>
      <c r="DE205" s="21"/>
      <c r="DF205" s="21"/>
      <c r="DG205" s="21"/>
      <c r="DH205" s="21"/>
      <c r="DI205" s="21"/>
      <c r="DJ205" s="21"/>
      <c r="DK205" s="21"/>
      <c r="DL205" s="21"/>
      <c r="DM205" s="21"/>
      <c r="DN205" s="21"/>
      <c r="DO205" s="233"/>
      <c r="DP205" s="21"/>
      <c r="DQ205" s="21"/>
      <c r="DR205" s="21"/>
      <c r="DS205" s="21"/>
      <c r="DT205" s="21"/>
      <c r="DU205" s="21"/>
      <c r="DV205" s="21"/>
      <c r="DW205" s="21"/>
      <c r="DX205" s="21"/>
      <c r="DY205" s="21"/>
      <c r="DZ205" s="233"/>
      <c r="EA205" s="233"/>
      <c r="EB205" s="21"/>
      <c r="EC205" s="21"/>
      <c r="ED205" s="21"/>
      <c r="EE205" s="21"/>
      <c r="EF205" s="21"/>
      <c r="EG205" s="21"/>
      <c r="EH205" s="21"/>
      <c r="EI205" s="21"/>
      <c r="EJ205" s="21"/>
      <c r="EK205" s="21"/>
      <c r="EL205" s="233"/>
      <c r="EM205" s="233"/>
      <c r="EN205" s="21"/>
      <c r="EO205" s="21"/>
      <c r="EP205" s="21"/>
      <c r="EQ205" s="21"/>
      <c r="ER205" s="21"/>
      <c r="ES205" s="21"/>
      <c r="ET205" s="21"/>
      <c r="EU205" s="21"/>
      <c r="EV205" s="21"/>
      <c r="EW205" s="21"/>
      <c r="EX205" s="21"/>
      <c r="EY205" s="233"/>
      <c r="EZ205" s="233"/>
      <c r="FA205" s="233"/>
      <c r="FB205" s="233"/>
      <c r="FC205" s="233"/>
      <c r="FD205" s="233"/>
    </row>
    <row r="206" spans="1:160">
      <c r="A206" s="20" t="s">
        <v>3317</v>
      </c>
      <c r="B206" s="14">
        <v>3</v>
      </c>
      <c r="C206" s="14" t="s">
        <v>3666</v>
      </c>
      <c r="D206" s="14">
        <v>1</v>
      </c>
      <c r="E206" s="110" t="s">
        <v>3749</v>
      </c>
      <c r="F206" s="14" t="s">
        <v>3947</v>
      </c>
      <c r="G206" s="44" t="s">
        <v>3765</v>
      </c>
      <c r="H206" s="44" t="s">
        <v>3135</v>
      </c>
      <c r="I206" s="44" t="s">
        <v>3900</v>
      </c>
      <c r="J206" s="28" t="s">
        <v>4369</v>
      </c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33"/>
      <c r="BT206" s="21"/>
      <c r="BU206" s="21"/>
      <c r="BV206" s="21"/>
      <c r="BW206" s="21"/>
      <c r="BX206" s="21"/>
      <c r="BY206" s="21"/>
      <c r="BZ206" s="21"/>
      <c r="CA206" s="21"/>
      <c r="CB206" s="21"/>
      <c r="CC206" s="233"/>
      <c r="CD206" s="233"/>
      <c r="CE206" s="233"/>
      <c r="CF206" s="21"/>
      <c r="CG206" s="21"/>
      <c r="CH206" s="21"/>
      <c r="CI206" s="21"/>
      <c r="CJ206" s="21"/>
      <c r="CK206" s="21"/>
      <c r="CL206" s="21"/>
      <c r="CM206" s="21"/>
      <c r="CN206" s="21"/>
      <c r="CO206" s="233"/>
      <c r="CP206" s="233"/>
      <c r="CQ206" s="233"/>
      <c r="CR206" s="21"/>
      <c r="CS206" s="21"/>
      <c r="CT206" s="21"/>
      <c r="CU206" s="21"/>
      <c r="CV206" s="21"/>
      <c r="CW206" s="21"/>
      <c r="CX206" s="21"/>
      <c r="CY206" s="21"/>
      <c r="CZ206" s="21"/>
      <c r="DA206" s="233"/>
      <c r="DB206" s="233"/>
      <c r="DC206" s="233"/>
      <c r="DD206" s="21"/>
      <c r="DE206" s="21"/>
      <c r="DF206" s="21"/>
      <c r="DG206" s="21"/>
      <c r="DH206" s="21"/>
      <c r="DI206" s="21"/>
      <c r="DJ206" s="21"/>
      <c r="DK206" s="21"/>
      <c r="DL206" s="21"/>
      <c r="DM206" s="233"/>
      <c r="DN206" s="233"/>
      <c r="DO206" s="233"/>
      <c r="DP206" s="21"/>
      <c r="DQ206" s="21"/>
      <c r="DR206" s="21"/>
      <c r="DS206" s="21"/>
      <c r="DT206" s="21"/>
      <c r="DU206" s="21"/>
      <c r="DV206" s="21"/>
      <c r="DW206" s="21"/>
      <c r="DX206" s="21"/>
      <c r="DY206" s="21"/>
      <c r="DZ206" s="233"/>
      <c r="EA206" s="233"/>
      <c r="EB206" s="21"/>
      <c r="EC206" s="21"/>
      <c r="ED206" s="21"/>
      <c r="EE206" s="21"/>
      <c r="EF206" s="21"/>
      <c r="EG206" s="21"/>
      <c r="EH206" s="21"/>
      <c r="EI206" s="21"/>
      <c r="EJ206" s="21"/>
      <c r="EK206" s="21"/>
      <c r="EL206" s="233"/>
      <c r="EM206" s="233"/>
      <c r="EN206" s="21"/>
      <c r="EO206" s="21"/>
      <c r="EP206" s="21"/>
      <c r="EQ206" s="21"/>
      <c r="ER206" s="21"/>
      <c r="ES206" s="21"/>
      <c r="ET206" s="21"/>
      <c r="EU206" s="21"/>
      <c r="EV206" s="21"/>
      <c r="EW206" s="21"/>
      <c r="EX206" s="21"/>
      <c r="EY206" s="233"/>
      <c r="EZ206" s="233"/>
      <c r="FA206" s="233"/>
      <c r="FB206" s="233"/>
      <c r="FC206" s="233"/>
      <c r="FD206" s="233"/>
    </row>
    <row r="207" spans="1:160">
      <c r="A207" s="20" t="s">
        <v>3325</v>
      </c>
      <c r="B207" s="14">
        <v>3</v>
      </c>
      <c r="C207" s="14" t="s">
        <v>3708</v>
      </c>
      <c r="D207" s="14">
        <v>1</v>
      </c>
      <c r="E207" s="110" t="s">
        <v>3749</v>
      </c>
      <c r="F207" s="14" t="s">
        <v>3548</v>
      </c>
      <c r="G207" s="111" t="s">
        <v>3326</v>
      </c>
      <c r="H207" s="111" t="s">
        <v>3500</v>
      </c>
      <c r="I207" s="44">
        <v>11</v>
      </c>
      <c r="J207" s="28" t="s">
        <v>4369</v>
      </c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33"/>
      <c r="BT207" s="21"/>
      <c r="BU207" s="21"/>
      <c r="BV207" s="21"/>
      <c r="BW207" s="21"/>
      <c r="BX207" s="21"/>
      <c r="BY207" s="21"/>
      <c r="BZ207" s="21"/>
      <c r="CA207" s="21"/>
      <c r="CB207" s="21"/>
      <c r="CC207" s="233"/>
      <c r="CD207" s="233"/>
      <c r="CE207" s="233"/>
      <c r="CF207" s="21"/>
      <c r="CG207" s="21"/>
      <c r="CH207" s="21"/>
      <c r="CI207" s="21"/>
      <c r="CJ207" s="21"/>
      <c r="CK207" s="21"/>
      <c r="CL207" s="21"/>
      <c r="CM207" s="21"/>
      <c r="CN207" s="21"/>
      <c r="CO207" s="233"/>
      <c r="CP207" s="233"/>
      <c r="CQ207" s="233"/>
      <c r="CR207" s="21"/>
      <c r="CS207" s="21"/>
      <c r="CT207" s="21"/>
      <c r="CU207" s="21"/>
      <c r="CV207" s="21"/>
      <c r="CW207" s="21"/>
      <c r="CX207" s="21"/>
      <c r="CY207" s="21"/>
      <c r="CZ207" s="21"/>
      <c r="DA207" s="233"/>
      <c r="DB207" s="233"/>
      <c r="DC207" s="233"/>
      <c r="DD207" s="21"/>
      <c r="DE207" s="21"/>
      <c r="DF207" s="21"/>
      <c r="DG207" s="21"/>
      <c r="DH207" s="21"/>
      <c r="DI207" s="21"/>
      <c r="DJ207" s="21"/>
      <c r="DK207" s="21"/>
      <c r="DL207" s="21"/>
      <c r="DM207" s="233"/>
      <c r="DN207" s="233"/>
      <c r="DO207" s="233"/>
      <c r="DP207" s="21"/>
      <c r="DQ207" s="21"/>
      <c r="DR207" s="21"/>
      <c r="DS207" s="21"/>
      <c r="DT207" s="21"/>
      <c r="DU207" s="21"/>
      <c r="DV207" s="21"/>
      <c r="DW207" s="21"/>
      <c r="DX207" s="21"/>
      <c r="DY207" s="21"/>
      <c r="DZ207" s="233"/>
      <c r="EA207" s="233"/>
      <c r="EB207" s="21"/>
      <c r="EC207" s="21"/>
      <c r="ED207" s="21"/>
      <c r="EE207" s="21"/>
      <c r="EF207" s="21"/>
      <c r="EG207" s="21"/>
      <c r="EH207" s="21"/>
      <c r="EI207" s="21"/>
      <c r="EJ207" s="21"/>
      <c r="EK207" s="21"/>
      <c r="EL207" s="233"/>
      <c r="EM207" s="233"/>
      <c r="EN207" s="21"/>
      <c r="EO207" s="21"/>
      <c r="EP207" s="21"/>
      <c r="EQ207" s="21"/>
      <c r="ER207" s="21"/>
      <c r="ES207" s="21"/>
      <c r="ET207" s="21"/>
      <c r="EU207" s="21"/>
      <c r="EV207" s="21"/>
      <c r="EW207" s="21"/>
      <c r="EX207" s="21"/>
      <c r="EY207" s="233"/>
      <c r="EZ207" s="233"/>
      <c r="FA207" s="233"/>
      <c r="FB207" s="233"/>
      <c r="FC207" s="233"/>
      <c r="FD207" s="233"/>
    </row>
    <row r="208" spans="1:160">
      <c r="A208" s="20" t="s">
        <v>3114</v>
      </c>
      <c r="B208" s="14">
        <v>3</v>
      </c>
      <c r="C208" s="14" t="s">
        <v>3115</v>
      </c>
      <c r="D208" s="14">
        <v>0</v>
      </c>
      <c r="E208" s="197" t="s">
        <v>3930</v>
      </c>
      <c r="F208" s="14" t="s">
        <v>3947</v>
      </c>
      <c r="G208" s="111" t="s">
        <v>3948</v>
      </c>
      <c r="H208" s="111" t="s">
        <v>3116</v>
      </c>
      <c r="I208" s="44">
        <v>8</v>
      </c>
      <c r="J208" s="28" t="s">
        <v>4447</v>
      </c>
      <c r="L208" s="233"/>
      <c r="M208" s="233"/>
      <c r="N208" s="233"/>
      <c r="O208" s="233"/>
      <c r="P208" s="233"/>
      <c r="Q208" s="233"/>
      <c r="R208" s="233"/>
      <c r="S208" s="233"/>
      <c r="T208" s="233"/>
      <c r="U208" s="233"/>
      <c r="V208" s="233"/>
      <c r="W208" s="233"/>
      <c r="X208" s="233"/>
      <c r="Y208" s="233"/>
      <c r="Z208" s="233"/>
      <c r="AA208" s="233"/>
      <c r="AB208" s="233"/>
      <c r="AC208" s="233"/>
      <c r="AD208" s="233"/>
      <c r="AE208" s="233"/>
      <c r="AF208" s="233"/>
      <c r="AG208" s="233"/>
      <c r="AH208" s="233"/>
      <c r="AI208" s="233"/>
      <c r="AJ208" s="233"/>
      <c r="AK208" s="233"/>
      <c r="AL208" s="233"/>
      <c r="AM208" s="233"/>
      <c r="AN208" s="233"/>
      <c r="AO208" s="233"/>
      <c r="AP208" s="233"/>
      <c r="AQ208" s="233"/>
      <c r="AR208" s="233"/>
      <c r="AS208" s="233"/>
      <c r="AT208" s="233"/>
      <c r="AU208" s="233"/>
      <c r="AV208" s="233"/>
      <c r="AW208" s="233"/>
      <c r="AX208" s="233"/>
      <c r="AY208" s="233"/>
      <c r="AZ208" s="233"/>
      <c r="BA208" s="233"/>
      <c r="BB208" s="233"/>
      <c r="BC208" s="233"/>
      <c r="BD208" s="233"/>
      <c r="BE208" s="233"/>
      <c r="BF208" s="233"/>
      <c r="BG208" s="233"/>
      <c r="BH208" s="233"/>
      <c r="BI208" s="233"/>
      <c r="BJ208" s="233"/>
      <c r="BK208" s="233"/>
      <c r="BL208" s="233"/>
      <c r="BM208" s="233"/>
      <c r="BN208" s="233"/>
      <c r="BO208" s="233"/>
      <c r="BP208" s="233"/>
      <c r="BQ208" s="233"/>
      <c r="BR208" s="233"/>
      <c r="BS208" s="233"/>
      <c r="BT208" s="233"/>
      <c r="BU208" s="233"/>
      <c r="BV208" s="233"/>
      <c r="BW208" s="233"/>
      <c r="BX208" s="233"/>
      <c r="BY208" s="233"/>
      <c r="BZ208" s="233"/>
      <c r="CA208" s="233"/>
      <c r="CB208" s="233"/>
      <c r="CC208" s="233"/>
      <c r="CD208" s="233"/>
      <c r="CE208" s="233"/>
      <c r="CF208" s="233"/>
      <c r="CG208" s="233"/>
      <c r="CH208" s="233"/>
      <c r="CI208" s="233"/>
      <c r="CJ208" s="233"/>
      <c r="CK208" s="233"/>
      <c r="CL208" s="233"/>
      <c r="CM208" s="233"/>
      <c r="CN208" s="233"/>
      <c r="CO208" s="233"/>
      <c r="CP208" s="233"/>
      <c r="CQ208" s="233"/>
      <c r="CR208" s="233"/>
      <c r="CS208" s="233"/>
      <c r="CT208" s="233"/>
      <c r="CU208" s="233"/>
      <c r="CV208" s="233"/>
      <c r="CW208" s="233"/>
      <c r="CX208" s="233"/>
      <c r="CY208" s="233"/>
      <c r="CZ208" s="233"/>
      <c r="DA208" s="233"/>
      <c r="DB208" s="233"/>
      <c r="DC208" s="233"/>
      <c r="DD208" s="233"/>
      <c r="DE208" s="233"/>
      <c r="DF208" s="233"/>
      <c r="DG208" s="233"/>
      <c r="DH208" s="233"/>
      <c r="DI208" s="233"/>
      <c r="DJ208" s="233"/>
      <c r="DK208" s="233"/>
      <c r="DL208" s="233"/>
      <c r="DM208" s="233"/>
      <c r="DN208" s="233"/>
      <c r="DO208" s="233"/>
      <c r="DP208" s="233"/>
      <c r="DQ208" s="233"/>
      <c r="DR208" s="233"/>
      <c r="DS208" s="233"/>
      <c r="DT208" s="233"/>
      <c r="DU208" s="233"/>
      <c r="DV208" s="233"/>
      <c r="DW208" s="233"/>
      <c r="DX208" s="233"/>
      <c r="DY208" s="233"/>
      <c r="DZ208" s="233"/>
      <c r="EA208" s="233"/>
      <c r="EB208" s="233"/>
      <c r="EC208" s="233"/>
      <c r="ED208" s="233"/>
      <c r="EE208" s="233"/>
      <c r="EF208" s="233"/>
      <c r="EG208" s="233"/>
      <c r="EH208" s="233"/>
      <c r="EI208" s="233"/>
      <c r="EJ208" s="233"/>
      <c r="EK208" s="233"/>
      <c r="EL208" s="233"/>
      <c r="EM208" s="233"/>
      <c r="EN208" s="233"/>
      <c r="EO208" s="233"/>
      <c r="EP208" s="233"/>
      <c r="EQ208" s="233"/>
      <c r="ER208" s="233"/>
      <c r="ES208" s="233"/>
      <c r="ET208" s="233"/>
      <c r="EU208" s="233"/>
      <c r="EV208" s="233"/>
      <c r="EW208" s="233"/>
      <c r="EX208" s="233"/>
      <c r="EY208" s="233"/>
      <c r="EZ208" s="233"/>
      <c r="FA208" s="233"/>
      <c r="FB208" s="233"/>
      <c r="FC208" s="233"/>
      <c r="FD208" s="233"/>
    </row>
    <row r="209" spans="1:160">
      <c r="A209" s="20" t="s">
        <v>3304</v>
      </c>
      <c r="B209" s="14">
        <v>3</v>
      </c>
      <c r="C209" s="14" t="s">
        <v>3412</v>
      </c>
      <c r="D209" s="14">
        <v>1</v>
      </c>
      <c r="E209" s="110" t="s">
        <v>3305</v>
      </c>
      <c r="F209" s="14" t="s">
        <v>3898</v>
      </c>
      <c r="G209" s="44" t="s">
        <v>3809</v>
      </c>
      <c r="H209" s="44" t="s">
        <v>3306</v>
      </c>
      <c r="I209" s="44">
        <v>10</v>
      </c>
      <c r="J209" s="28" t="s">
        <v>4447</v>
      </c>
      <c r="L209" s="233"/>
      <c r="M209" s="233"/>
      <c r="N209" s="233"/>
      <c r="O209" s="233"/>
      <c r="P209" s="233"/>
      <c r="Q209" s="233"/>
      <c r="R209" s="233"/>
      <c r="S209" s="233"/>
      <c r="T209" s="233"/>
      <c r="U209" s="233"/>
      <c r="V209" s="233"/>
      <c r="W209" s="233"/>
      <c r="X209" s="233"/>
      <c r="Y209" s="233"/>
      <c r="Z209" s="233"/>
      <c r="AA209" s="233"/>
      <c r="AB209" s="233"/>
      <c r="AC209" s="233"/>
      <c r="AD209" s="233"/>
      <c r="AE209" s="233"/>
      <c r="AF209" s="233"/>
      <c r="AG209" s="233"/>
      <c r="AH209" s="233"/>
      <c r="AI209" s="233"/>
      <c r="AJ209" s="233"/>
      <c r="AK209" s="233"/>
      <c r="AL209" s="233"/>
      <c r="AM209" s="233"/>
      <c r="AN209" s="233"/>
      <c r="AO209" s="233"/>
      <c r="AP209" s="233"/>
      <c r="AQ209" s="233"/>
      <c r="AR209" s="233"/>
      <c r="AS209" s="233"/>
      <c r="AT209" s="233"/>
      <c r="AU209" s="233"/>
      <c r="AV209" s="233"/>
      <c r="AW209" s="233"/>
      <c r="AX209" s="233"/>
      <c r="AY209" s="233"/>
      <c r="AZ209" s="233"/>
      <c r="BA209" s="233"/>
      <c r="BB209" s="233"/>
      <c r="BC209" s="233"/>
      <c r="BD209" s="233"/>
      <c r="BE209" s="233"/>
      <c r="BF209" s="233"/>
      <c r="BG209" s="233"/>
      <c r="BH209" s="233"/>
      <c r="BI209" s="233"/>
      <c r="BJ209" s="233"/>
      <c r="BK209" s="233"/>
      <c r="BL209" s="233"/>
      <c r="BM209" s="233"/>
      <c r="BN209" s="233"/>
      <c r="BO209" s="233"/>
      <c r="BP209" s="233"/>
      <c r="BQ209" s="233"/>
      <c r="BR209" s="233"/>
      <c r="BS209" s="233"/>
      <c r="BT209" s="233"/>
      <c r="BU209" s="233"/>
      <c r="BV209" s="233"/>
      <c r="BW209" s="233"/>
      <c r="BX209" s="233"/>
      <c r="BY209" s="233"/>
      <c r="BZ209" s="233"/>
      <c r="CA209" s="233"/>
      <c r="CB209" s="233"/>
      <c r="CC209" s="233"/>
      <c r="CD209" s="233"/>
      <c r="CE209" s="233"/>
      <c r="CF209" s="233"/>
      <c r="CG209" s="233"/>
      <c r="CH209" s="233"/>
      <c r="CI209" s="233"/>
      <c r="CJ209" s="233"/>
      <c r="CK209" s="233"/>
      <c r="CL209" s="233"/>
      <c r="CM209" s="233"/>
      <c r="CN209" s="233"/>
      <c r="CO209" s="233"/>
      <c r="CP209" s="233"/>
      <c r="CQ209" s="233"/>
      <c r="CR209" s="233"/>
      <c r="CS209" s="233"/>
      <c r="CT209" s="233"/>
      <c r="CU209" s="233"/>
      <c r="CV209" s="233"/>
      <c r="CW209" s="233"/>
      <c r="CX209" s="233"/>
      <c r="CY209" s="233"/>
      <c r="CZ209" s="233"/>
      <c r="DA209" s="233"/>
      <c r="DB209" s="233"/>
      <c r="DC209" s="233"/>
      <c r="DD209" s="233"/>
      <c r="DE209" s="233"/>
      <c r="DF209" s="233"/>
      <c r="DG209" s="233"/>
      <c r="DH209" s="233"/>
      <c r="DI209" s="233"/>
      <c r="DJ209" s="233"/>
      <c r="DK209" s="233"/>
      <c r="DL209" s="233"/>
      <c r="DM209" s="233"/>
      <c r="DN209" s="233"/>
      <c r="DO209" s="233"/>
      <c r="DP209" s="233"/>
      <c r="DQ209" s="233"/>
      <c r="DR209" s="233"/>
      <c r="DS209" s="233"/>
      <c r="DT209" s="233"/>
      <c r="DU209" s="233"/>
      <c r="DV209" s="233"/>
      <c r="DW209" s="233"/>
      <c r="DX209" s="233"/>
      <c r="DY209" s="233"/>
      <c r="DZ209" s="233"/>
      <c r="EA209" s="233"/>
      <c r="EB209" s="233"/>
      <c r="EC209" s="233"/>
      <c r="ED209" s="233"/>
      <c r="EE209" s="233"/>
      <c r="EF209" s="233"/>
      <c r="EG209" s="233"/>
      <c r="EH209" s="233"/>
      <c r="EI209" s="233"/>
      <c r="EJ209" s="233"/>
      <c r="EK209" s="233"/>
      <c r="EL209" s="233"/>
      <c r="EM209" s="233"/>
      <c r="EN209" s="233"/>
      <c r="EO209" s="233"/>
      <c r="EP209" s="233"/>
      <c r="EQ209" s="233"/>
      <c r="ER209" s="233"/>
      <c r="ES209" s="233"/>
      <c r="ET209" s="233"/>
      <c r="EU209" s="233"/>
      <c r="EV209" s="233"/>
      <c r="EW209" s="233"/>
      <c r="EX209" s="233"/>
      <c r="EY209" s="233"/>
      <c r="EZ209" s="233"/>
      <c r="FA209" s="233"/>
      <c r="FB209" s="233"/>
      <c r="FC209" s="233"/>
      <c r="FD209" s="233"/>
    </row>
    <row r="210" spans="1:160">
      <c r="A210" s="20" t="s">
        <v>3503</v>
      </c>
      <c r="B210" s="14">
        <v>3</v>
      </c>
      <c r="C210" s="14" t="s">
        <v>3462</v>
      </c>
      <c r="D210" s="14">
        <v>3</v>
      </c>
      <c r="E210" s="110" t="s">
        <v>3282</v>
      </c>
      <c r="F210" s="14" t="s">
        <v>3735</v>
      </c>
      <c r="G210" s="44" t="s">
        <v>3759</v>
      </c>
      <c r="H210" s="44" t="s">
        <v>3859</v>
      </c>
      <c r="I210" s="44" t="s">
        <v>3790</v>
      </c>
      <c r="J210" s="28" t="s">
        <v>4369</v>
      </c>
      <c r="L210" s="233"/>
      <c r="M210" s="233"/>
      <c r="N210" s="233"/>
      <c r="O210" s="233"/>
      <c r="P210" s="233"/>
      <c r="Q210" s="233"/>
      <c r="R210" s="233"/>
      <c r="S210" s="233"/>
      <c r="T210" s="233"/>
      <c r="U210" s="233"/>
      <c r="V210" s="233"/>
      <c r="W210" s="233"/>
      <c r="X210" s="233"/>
      <c r="Y210" s="233"/>
      <c r="Z210" s="233"/>
      <c r="AA210" s="233"/>
      <c r="AB210" s="233"/>
      <c r="AC210" s="233"/>
      <c r="AD210" s="233"/>
      <c r="AE210" s="233"/>
      <c r="AF210" s="233"/>
      <c r="AG210" s="233"/>
      <c r="AH210" s="233"/>
      <c r="AI210" s="233"/>
      <c r="AJ210" s="233"/>
      <c r="AK210" s="233"/>
      <c r="AL210" s="233"/>
      <c r="AM210" s="233"/>
      <c r="AN210" s="233"/>
      <c r="AO210" s="233"/>
      <c r="AP210" s="233"/>
      <c r="AQ210" s="233"/>
      <c r="AR210" s="233"/>
      <c r="AS210" s="233"/>
      <c r="AT210" s="233"/>
      <c r="AU210" s="233"/>
      <c r="AV210" s="233"/>
      <c r="AW210" s="233"/>
      <c r="AX210" s="233"/>
      <c r="AY210" s="233"/>
      <c r="AZ210" s="233"/>
      <c r="BA210" s="233"/>
      <c r="BB210" s="233"/>
      <c r="BC210" s="233"/>
      <c r="BD210" s="233"/>
      <c r="BE210" s="233"/>
      <c r="BF210" s="233"/>
      <c r="BG210" s="233"/>
      <c r="BH210" s="233"/>
      <c r="BI210" s="233"/>
      <c r="BJ210" s="233"/>
      <c r="BK210" s="233"/>
      <c r="BL210" s="233"/>
      <c r="BM210" s="233"/>
      <c r="BN210" s="233"/>
      <c r="BO210" s="233"/>
      <c r="BP210" s="233"/>
      <c r="BQ210" s="233"/>
      <c r="BR210" s="233"/>
      <c r="BS210" s="233"/>
      <c r="BT210" s="233"/>
      <c r="BU210" s="233"/>
      <c r="BV210" s="233"/>
      <c r="BW210" s="233"/>
      <c r="BX210" s="233"/>
      <c r="BY210" s="233"/>
      <c r="BZ210" s="233"/>
      <c r="CA210" s="233"/>
      <c r="CB210" s="233"/>
      <c r="CC210" s="233"/>
      <c r="CD210" s="233"/>
      <c r="CE210" s="233"/>
      <c r="CF210" s="233"/>
      <c r="CG210" s="233"/>
      <c r="CH210" s="233"/>
      <c r="CI210" s="233"/>
      <c r="CJ210" s="233"/>
      <c r="CK210" s="233"/>
      <c r="CL210" s="233"/>
      <c r="CM210" s="233"/>
      <c r="CN210" s="233"/>
      <c r="CO210" s="233"/>
      <c r="CP210" s="233"/>
      <c r="CQ210" s="233"/>
      <c r="CR210" s="233"/>
      <c r="CS210" s="233"/>
      <c r="CT210" s="233"/>
      <c r="CU210" s="233"/>
      <c r="CV210" s="233"/>
      <c r="CW210" s="233"/>
      <c r="CX210" s="233"/>
      <c r="CY210" s="233"/>
      <c r="CZ210" s="233"/>
      <c r="DA210" s="233"/>
      <c r="DB210" s="233"/>
      <c r="DC210" s="233"/>
      <c r="DD210" s="233"/>
      <c r="DE210" s="233"/>
      <c r="DF210" s="233"/>
      <c r="DG210" s="233"/>
      <c r="DH210" s="233"/>
      <c r="DI210" s="233"/>
      <c r="DJ210" s="233"/>
      <c r="DK210" s="233"/>
      <c r="DL210" s="233"/>
      <c r="DM210" s="233"/>
      <c r="DN210" s="233"/>
      <c r="DO210" s="233"/>
      <c r="DP210" s="233"/>
      <c r="DQ210" s="233"/>
      <c r="DR210" s="233"/>
      <c r="DS210" s="233"/>
      <c r="DT210" s="233"/>
      <c r="DU210" s="233"/>
      <c r="DV210" s="233"/>
      <c r="DW210" s="233"/>
      <c r="DX210" s="233"/>
      <c r="DY210" s="233"/>
      <c r="DZ210" s="233"/>
      <c r="EA210" s="233"/>
      <c r="EB210" s="233"/>
      <c r="EC210" s="233"/>
      <c r="ED210" s="233"/>
      <c r="EE210" s="233"/>
      <c r="EF210" s="233"/>
      <c r="EG210" s="233"/>
      <c r="EH210" s="233"/>
      <c r="EI210" s="233"/>
      <c r="EJ210" s="233"/>
      <c r="EK210" s="233"/>
      <c r="EL210" s="233"/>
      <c r="EM210" s="233"/>
      <c r="EN210" s="233"/>
      <c r="EO210" s="233"/>
      <c r="EP210" s="233"/>
      <c r="EQ210" s="233"/>
      <c r="ER210" s="233"/>
      <c r="ES210" s="233"/>
      <c r="ET210" s="233"/>
      <c r="EU210" s="233"/>
      <c r="EV210" s="233"/>
      <c r="EW210" s="233"/>
      <c r="EX210" s="233"/>
      <c r="EY210" s="233"/>
      <c r="EZ210" s="233"/>
      <c r="FA210" s="233"/>
      <c r="FB210" s="233"/>
      <c r="FC210" s="233"/>
      <c r="FD210" s="233"/>
    </row>
    <row r="211" spans="1:160">
      <c r="A211" s="20" t="s">
        <v>3313</v>
      </c>
      <c r="B211" s="14">
        <v>3</v>
      </c>
      <c r="C211" s="14" t="s">
        <v>3371</v>
      </c>
      <c r="D211" s="14">
        <v>1</v>
      </c>
      <c r="E211" s="110" t="s">
        <v>3749</v>
      </c>
      <c r="F211" s="14" t="s">
        <v>3947</v>
      </c>
      <c r="G211" s="44" t="s">
        <v>3467</v>
      </c>
      <c r="H211" s="44" t="s">
        <v>3314</v>
      </c>
      <c r="I211" s="44">
        <v>9</v>
      </c>
      <c r="J211" s="28" t="s">
        <v>4447</v>
      </c>
      <c r="L211" s="233"/>
      <c r="M211" s="233"/>
      <c r="N211" s="233"/>
      <c r="O211" s="233"/>
      <c r="P211" s="233"/>
      <c r="Q211" s="233"/>
      <c r="R211" s="233"/>
      <c r="S211" s="233"/>
      <c r="T211" s="233"/>
      <c r="U211" s="233"/>
      <c r="V211" s="233"/>
      <c r="W211" s="233"/>
      <c r="X211" s="233"/>
      <c r="Y211" s="233"/>
      <c r="Z211" s="233"/>
      <c r="AA211" s="233"/>
      <c r="AB211" s="233"/>
      <c r="AC211" s="233"/>
      <c r="AD211" s="233"/>
      <c r="AE211" s="233"/>
      <c r="AF211" s="233"/>
      <c r="AG211" s="233"/>
      <c r="AH211" s="233"/>
      <c r="AI211" s="233"/>
      <c r="AJ211" s="233"/>
      <c r="AK211" s="233"/>
      <c r="AL211" s="233"/>
      <c r="AM211" s="233"/>
      <c r="AN211" s="233"/>
      <c r="AO211" s="233"/>
      <c r="AP211" s="233"/>
      <c r="AQ211" s="233"/>
      <c r="AR211" s="233"/>
      <c r="AS211" s="233"/>
      <c r="AT211" s="233"/>
      <c r="AU211" s="233"/>
      <c r="AV211" s="233"/>
      <c r="AW211" s="233"/>
      <c r="AX211" s="233"/>
      <c r="AY211" s="233"/>
      <c r="AZ211" s="233"/>
      <c r="BA211" s="233"/>
      <c r="BB211" s="233"/>
      <c r="BC211" s="233"/>
      <c r="BD211" s="233"/>
      <c r="BE211" s="233"/>
      <c r="BF211" s="233"/>
      <c r="BG211" s="233"/>
      <c r="BH211" s="233"/>
      <c r="BI211" s="233"/>
      <c r="BJ211" s="233"/>
      <c r="BK211" s="233"/>
      <c r="BL211" s="233"/>
      <c r="BM211" s="233"/>
      <c r="BN211" s="233"/>
      <c r="BO211" s="233"/>
      <c r="BP211" s="233"/>
      <c r="BQ211" s="233"/>
      <c r="BR211" s="233"/>
      <c r="BS211" s="233"/>
      <c r="BT211" s="233"/>
      <c r="BU211" s="233"/>
      <c r="BV211" s="233"/>
      <c r="BW211" s="233"/>
      <c r="BX211" s="233"/>
      <c r="BY211" s="233"/>
      <c r="BZ211" s="233"/>
      <c r="CA211" s="233"/>
      <c r="CB211" s="233"/>
      <c r="CC211" s="233"/>
      <c r="CD211" s="233"/>
      <c r="CE211" s="233"/>
      <c r="CF211" s="233"/>
      <c r="CG211" s="233"/>
      <c r="CH211" s="233"/>
      <c r="CI211" s="233"/>
      <c r="CJ211" s="233"/>
      <c r="CK211" s="233"/>
      <c r="CL211" s="233"/>
      <c r="CM211" s="233"/>
      <c r="CN211" s="233"/>
      <c r="CO211" s="233"/>
      <c r="CP211" s="233"/>
      <c r="CQ211" s="233"/>
      <c r="CR211" s="233"/>
      <c r="CS211" s="233"/>
      <c r="CT211" s="233"/>
      <c r="CU211" s="233"/>
      <c r="CV211" s="233"/>
      <c r="CW211" s="233"/>
      <c r="CX211" s="233"/>
      <c r="CY211" s="233"/>
      <c r="CZ211" s="233"/>
      <c r="DA211" s="233"/>
      <c r="DB211" s="233"/>
      <c r="DC211" s="233"/>
      <c r="DD211" s="233"/>
      <c r="DE211" s="233"/>
      <c r="DF211" s="233"/>
      <c r="DG211" s="233"/>
      <c r="DH211" s="233"/>
      <c r="DI211" s="233"/>
      <c r="DJ211" s="233"/>
      <c r="DK211" s="233"/>
      <c r="DL211" s="233"/>
      <c r="DM211" s="233"/>
      <c r="DN211" s="233"/>
      <c r="DO211" s="233"/>
      <c r="DP211" s="233"/>
      <c r="DQ211" s="233"/>
      <c r="DR211" s="233"/>
      <c r="DS211" s="233"/>
      <c r="DT211" s="233"/>
      <c r="DU211" s="233"/>
      <c r="DV211" s="233"/>
      <c r="DW211" s="233"/>
      <c r="DX211" s="233"/>
      <c r="DY211" s="233"/>
      <c r="DZ211" s="233"/>
      <c r="EA211" s="233"/>
      <c r="EB211" s="233"/>
      <c r="EC211" s="233"/>
      <c r="ED211" s="233"/>
      <c r="EE211" s="233"/>
      <c r="EF211" s="233"/>
      <c r="EG211" s="233"/>
      <c r="EH211" s="233"/>
      <c r="EI211" s="233"/>
      <c r="EJ211" s="233"/>
      <c r="EK211" s="233"/>
      <c r="EL211" s="233"/>
      <c r="EM211" s="233"/>
      <c r="EN211" s="233"/>
      <c r="EO211" s="233"/>
      <c r="EP211" s="233"/>
      <c r="EQ211" s="233"/>
      <c r="ER211" s="233"/>
      <c r="ES211" s="233"/>
      <c r="ET211" s="233"/>
      <c r="EU211" s="233"/>
      <c r="EV211" s="233"/>
      <c r="EW211" s="233"/>
      <c r="EX211" s="233"/>
      <c r="EY211" s="233"/>
      <c r="EZ211" s="233"/>
      <c r="FA211" s="233"/>
      <c r="FB211" s="233"/>
      <c r="FC211" s="233"/>
      <c r="FD211" s="233"/>
    </row>
    <row r="212" spans="1:160">
      <c r="A212" s="20" t="s">
        <v>3315</v>
      </c>
      <c r="B212" s="14">
        <v>3</v>
      </c>
      <c r="C212" s="14" t="s">
        <v>3410</v>
      </c>
      <c r="D212" s="14">
        <v>2</v>
      </c>
      <c r="E212" s="110" t="s">
        <v>3667</v>
      </c>
      <c r="F212" s="14" t="s">
        <v>3947</v>
      </c>
      <c r="G212" s="44" t="s">
        <v>3901</v>
      </c>
      <c r="H212" s="44" t="s">
        <v>3316</v>
      </c>
      <c r="I212" s="44">
        <v>6</v>
      </c>
      <c r="J212" s="28" t="s">
        <v>5232</v>
      </c>
      <c r="L212" s="233"/>
      <c r="M212" s="233"/>
      <c r="N212" s="233"/>
      <c r="O212" s="233"/>
      <c r="P212" s="233"/>
      <c r="Q212" s="233"/>
      <c r="R212" s="233"/>
      <c r="S212" s="233"/>
      <c r="T212" s="233"/>
      <c r="U212" s="233"/>
      <c r="V212" s="233"/>
      <c r="W212" s="233"/>
      <c r="X212" s="233"/>
      <c r="Y212" s="233"/>
      <c r="Z212" s="233"/>
      <c r="AA212" s="233"/>
      <c r="AB212" s="233"/>
      <c r="AC212" s="233"/>
      <c r="AD212" s="233"/>
      <c r="AE212" s="233"/>
      <c r="AF212" s="233"/>
      <c r="AG212" s="233"/>
      <c r="AH212" s="233"/>
      <c r="AI212" s="233"/>
      <c r="AJ212" s="233"/>
      <c r="AK212" s="233"/>
      <c r="AL212" s="233"/>
      <c r="AM212" s="233"/>
      <c r="AN212" s="233"/>
      <c r="AO212" s="233"/>
      <c r="AP212" s="233"/>
      <c r="AQ212" s="233"/>
      <c r="AR212" s="233"/>
      <c r="AS212" s="233"/>
      <c r="AT212" s="233"/>
      <c r="AU212" s="233"/>
      <c r="AV212" s="233"/>
      <c r="AW212" s="233"/>
      <c r="AX212" s="233"/>
      <c r="AY212" s="233"/>
      <c r="AZ212" s="233"/>
      <c r="BA212" s="233"/>
      <c r="BB212" s="233"/>
      <c r="BC212" s="233"/>
      <c r="BD212" s="233"/>
      <c r="BE212" s="233"/>
      <c r="BF212" s="233"/>
      <c r="BG212" s="233"/>
      <c r="BH212" s="233"/>
      <c r="BI212" s="233"/>
      <c r="BJ212" s="233"/>
      <c r="BK212" s="233"/>
      <c r="BL212" s="233"/>
      <c r="BM212" s="233"/>
      <c r="BN212" s="233"/>
      <c r="BO212" s="233"/>
      <c r="BP212" s="233"/>
      <c r="BQ212" s="233"/>
      <c r="BR212" s="233"/>
      <c r="BS212" s="233"/>
      <c r="BT212" s="233"/>
      <c r="BU212" s="233"/>
      <c r="BV212" s="233"/>
      <c r="BW212" s="233"/>
      <c r="BX212" s="233"/>
      <c r="BY212" s="233"/>
      <c r="BZ212" s="233"/>
      <c r="CA212" s="233"/>
      <c r="CB212" s="233"/>
      <c r="CC212" s="233"/>
      <c r="CD212" s="233"/>
      <c r="CE212" s="233"/>
      <c r="CF212" s="233"/>
      <c r="CG212" s="233"/>
      <c r="CH212" s="233"/>
      <c r="CI212" s="233"/>
      <c r="CJ212" s="233"/>
      <c r="CK212" s="233"/>
      <c r="CL212" s="233"/>
      <c r="CM212" s="233"/>
      <c r="CN212" s="233"/>
      <c r="CO212" s="233"/>
      <c r="CP212" s="233"/>
      <c r="CQ212" s="233"/>
      <c r="CR212" s="233"/>
      <c r="CS212" s="233"/>
      <c r="CT212" s="233"/>
      <c r="CU212" s="233"/>
      <c r="CV212" s="233"/>
      <c r="CW212" s="233"/>
      <c r="CX212" s="233"/>
      <c r="CY212" s="233"/>
      <c r="CZ212" s="233"/>
      <c r="DA212" s="233"/>
      <c r="DB212" s="233"/>
      <c r="DC212" s="233"/>
      <c r="DD212" s="233"/>
      <c r="DE212" s="233"/>
      <c r="DF212" s="233"/>
      <c r="DG212" s="233"/>
      <c r="DH212" s="233"/>
      <c r="DI212" s="233"/>
      <c r="DJ212" s="233"/>
      <c r="DK212" s="233"/>
      <c r="DL212" s="233"/>
      <c r="DM212" s="233"/>
      <c r="DN212" s="233"/>
      <c r="DO212" s="233"/>
      <c r="DP212" s="233"/>
      <c r="DQ212" s="233"/>
      <c r="DR212" s="233"/>
      <c r="DS212" s="233"/>
      <c r="DT212" s="233"/>
      <c r="DU212" s="233"/>
      <c r="DV212" s="233"/>
      <c r="DW212" s="233"/>
      <c r="DX212" s="233"/>
      <c r="DY212" s="233"/>
      <c r="DZ212" s="233"/>
      <c r="EA212" s="233"/>
      <c r="EB212" s="233"/>
      <c r="EC212" s="233"/>
      <c r="ED212" s="233"/>
      <c r="EE212" s="233"/>
      <c r="EF212" s="233"/>
      <c r="EG212" s="233"/>
      <c r="EH212" s="233"/>
      <c r="EI212" s="233"/>
      <c r="EJ212" s="233"/>
      <c r="EK212" s="233"/>
      <c r="EL212" s="233"/>
      <c r="EM212" s="233"/>
      <c r="EN212" s="233"/>
      <c r="EO212" s="233"/>
      <c r="EP212" s="233"/>
      <c r="EQ212" s="233"/>
      <c r="ER212" s="233"/>
      <c r="ES212" s="233"/>
      <c r="ET212" s="233"/>
      <c r="EU212" s="233"/>
      <c r="EV212" s="233"/>
      <c r="EW212" s="233"/>
      <c r="EX212" s="233"/>
      <c r="EY212" s="233"/>
      <c r="EZ212" s="233"/>
      <c r="FA212" s="233"/>
      <c r="FB212" s="233"/>
      <c r="FC212" s="233"/>
      <c r="FD212" s="233"/>
    </row>
    <row r="213" spans="1:160">
      <c r="A213" s="20" t="s">
        <v>3109</v>
      </c>
      <c r="B213" s="14">
        <v>3</v>
      </c>
      <c r="C213" s="5" t="s">
        <v>3615</v>
      </c>
      <c r="D213" s="14">
        <v>2</v>
      </c>
      <c r="E213" s="110" t="s">
        <v>3233</v>
      </c>
      <c r="F213" s="14" t="s">
        <v>3931</v>
      </c>
      <c r="G213" s="44" t="s">
        <v>3911</v>
      </c>
      <c r="H213" s="44" t="s">
        <v>3110</v>
      </c>
      <c r="I213" s="44">
        <v>6</v>
      </c>
      <c r="J213" s="28" t="s">
        <v>4773</v>
      </c>
      <c r="L213" s="233"/>
      <c r="M213" s="233"/>
      <c r="N213" s="233"/>
      <c r="O213" s="233"/>
      <c r="P213" s="233"/>
      <c r="Q213" s="233"/>
      <c r="R213" s="233"/>
      <c r="S213" s="233"/>
      <c r="T213" s="233"/>
      <c r="U213" s="233"/>
      <c r="V213" s="233"/>
      <c r="W213" s="233"/>
      <c r="X213" s="233"/>
      <c r="Y213" s="233"/>
      <c r="Z213" s="233"/>
      <c r="AA213" s="233"/>
      <c r="AB213" s="233"/>
      <c r="AC213" s="233"/>
      <c r="AD213" s="233"/>
      <c r="AE213" s="233"/>
      <c r="AF213" s="233"/>
      <c r="AG213" s="233"/>
      <c r="AH213" s="233"/>
      <c r="AI213" s="233"/>
      <c r="AJ213" s="233"/>
      <c r="AK213" s="233"/>
      <c r="AL213" s="233"/>
      <c r="AM213" s="233"/>
      <c r="AN213" s="233"/>
      <c r="AO213" s="233"/>
      <c r="AP213" s="233"/>
      <c r="AQ213" s="233"/>
      <c r="AR213" s="233"/>
      <c r="AS213" s="233"/>
      <c r="AT213" s="233"/>
      <c r="AU213" s="233"/>
      <c r="AV213" s="233"/>
      <c r="AW213" s="233"/>
      <c r="AX213" s="233"/>
      <c r="AY213" s="233"/>
      <c r="AZ213" s="233"/>
      <c r="BA213" s="233"/>
      <c r="BB213" s="233"/>
      <c r="BC213" s="233"/>
      <c r="BD213" s="233"/>
      <c r="BE213" s="233"/>
      <c r="BF213" s="233"/>
      <c r="BG213" s="233"/>
      <c r="BH213" s="233"/>
      <c r="BI213" s="233"/>
      <c r="BJ213" s="233"/>
      <c r="BK213" s="233"/>
      <c r="BL213" s="233"/>
      <c r="BM213" s="233"/>
      <c r="BN213" s="233"/>
      <c r="BO213" s="233"/>
      <c r="BP213" s="233"/>
      <c r="BQ213" s="233"/>
      <c r="BR213" s="233"/>
      <c r="BS213" s="233"/>
      <c r="BT213" s="233"/>
      <c r="BU213" s="233"/>
      <c r="BV213" s="233"/>
      <c r="BW213" s="233"/>
      <c r="BX213" s="233"/>
      <c r="BY213" s="233"/>
      <c r="BZ213" s="233"/>
      <c r="CA213" s="233"/>
      <c r="CB213" s="233"/>
      <c r="CC213" s="233"/>
      <c r="CD213" s="233"/>
      <c r="CE213" s="233"/>
      <c r="CF213" s="233"/>
      <c r="CG213" s="233"/>
      <c r="CH213" s="233"/>
      <c r="CI213" s="233"/>
      <c r="CJ213" s="233"/>
      <c r="CK213" s="233"/>
      <c r="CL213" s="233"/>
      <c r="CM213" s="233"/>
      <c r="CN213" s="233"/>
      <c r="CO213" s="233"/>
      <c r="CP213" s="233"/>
      <c r="CQ213" s="233"/>
      <c r="CR213" s="233"/>
      <c r="CS213" s="233"/>
      <c r="CT213" s="233"/>
      <c r="CU213" s="233"/>
      <c r="CV213" s="233"/>
      <c r="CW213" s="233"/>
      <c r="CX213" s="233"/>
      <c r="CY213" s="233"/>
      <c r="CZ213" s="233"/>
      <c r="DA213" s="233"/>
      <c r="DB213" s="233"/>
      <c r="DC213" s="233"/>
      <c r="DD213" s="233"/>
      <c r="DE213" s="233"/>
      <c r="DF213" s="233"/>
      <c r="DG213" s="233"/>
      <c r="DH213" s="233"/>
      <c r="DI213" s="233"/>
      <c r="DJ213" s="233"/>
      <c r="DK213" s="233"/>
      <c r="DL213" s="233"/>
      <c r="DM213" s="233"/>
      <c r="DN213" s="233"/>
      <c r="DO213" s="233"/>
      <c r="DP213" s="233"/>
      <c r="DQ213" s="233"/>
      <c r="DR213" s="233"/>
      <c r="DS213" s="233"/>
      <c r="DT213" s="233"/>
      <c r="DU213" s="233"/>
      <c r="DV213" s="233"/>
      <c r="DW213" s="233"/>
      <c r="DX213" s="233"/>
      <c r="DY213" s="233"/>
      <c r="DZ213" s="233"/>
      <c r="EA213" s="233"/>
      <c r="EB213" s="233"/>
      <c r="EC213" s="233"/>
      <c r="ED213" s="233"/>
      <c r="EE213" s="233"/>
      <c r="EF213" s="233"/>
      <c r="EG213" s="233"/>
      <c r="EH213" s="233"/>
      <c r="EI213" s="233"/>
      <c r="EJ213" s="233"/>
      <c r="EK213" s="233"/>
      <c r="EL213" s="233"/>
      <c r="EM213" s="233"/>
      <c r="EN213" s="233"/>
      <c r="EO213" s="233"/>
      <c r="EP213" s="233"/>
      <c r="EQ213" s="233"/>
      <c r="ER213" s="233"/>
      <c r="ES213" s="233"/>
      <c r="ET213" s="233"/>
      <c r="EU213" s="233"/>
      <c r="EV213" s="233"/>
      <c r="EW213" s="233"/>
      <c r="EX213" s="233"/>
      <c r="EY213" s="233"/>
      <c r="EZ213" s="233"/>
      <c r="FA213" s="233"/>
      <c r="FB213" s="233"/>
      <c r="FC213" s="233"/>
      <c r="FD213" s="233"/>
    </row>
    <row r="214" spans="1:160">
      <c r="A214" s="20" t="s">
        <v>3138</v>
      </c>
      <c r="B214" s="14">
        <v>3</v>
      </c>
      <c r="C214" s="14" t="s">
        <v>3139</v>
      </c>
      <c r="D214" s="14">
        <v>1</v>
      </c>
      <c r="E214" s="110" t="s">
        <v>3749</v>
      </c>
      <c r="F214" s="14" t="s">
        <v>3140</v>
      </c>
      <c r="G214" s="44" t="s">
        <v>3736</v>
      </c>
      <c r="H214" s="44" t="s">
        <v>3324</v>
      </c>
      <c r="I214" s="44">
        <v>8</v>
      </c>
      <c r="J214" s="28" t="s">
        <v>5232</v>
      </c>
      <c r="L214" s="233"/>
      <c r="M214" s="233"/>
      <c r="N214" s="233"/>
      <c r="O214" s="233"/>
      <c r="P214" s="233"/>
      <c r="Q214" s="233"/>
      <c r="R214" s="233"/>
      <c r="S214" s="233"/>
      <c r="T214" s="233"/>
      <c r="U214" s="233"/>
      <c r="V214" s="233"/>
      <c r="W214" s="233"/>
      <c r="X214" s="233"/>
      <c r="Y214" s="233"/>
      <c r="Z214" s="233"/>
      <c r="AA214" s="233"/>
      <c r="AB214" s="233"/>
      <c r="AC214" s="233"/>
      <c r="AD214" s="233"/>
      <c r="AE214" s="233"/>
      <c r="AF214" s="233"/>
      <c r="AG214" s="233"/>
      <c r="AH214" s="233"/>
      <c r="AI214" s="233"/>
      <c r="AJ214" s="233"/>
      <c r="AK214" s="233"/>
      <c r="AL214" s="233"/>
      <c r="AM214" s="233"/>
      <c r="AN214" s="233"/>
      <c r="AO214" s="233"/>
      <c r="AP214" s="233"/>
      <c r="AQ214" s="233"/>
      <c r="AR214" s="233"/>
      <c r="AS214" s="233"/>
      <c r="AT214" s="233"/>
      <c r="AU214" s="233"/>
      <c r="AV214" s="233"/>
      <c r="AW214" s="233"/>
      <c r="AX214" s="233"/>
      <c r="AY214" s="233"/>
      <c r="AZ214" s="233"/>
      <c r="BA214" s="233"/>
      <c r="BB214" s="233"/>
      <c r="BC214" s="233"/>
      <c r="BD214" s="233"/>
      <c r="BE214" s="233"/>
      <c r="BF214" s="233"/>
      <c r="BG214" s="233"/>
      <c r="BH214" s="233"/>
      <c r="BI214" s="233"/>
      <c r="BJ214" s="233"/>
      <c r="BK214" s="233"/>
      <c r="BL214" s="233"/>
      <c r="BM214" s="233"/>
      <c r="BN214" s="233"/>
      <c r="BO214" s="233"/>
      <c r="BP214" s="233"/>
      <c r="BQ214" s="233"/>
      <c r="BR214" s="233"/>
      <c r="BS214" s="233"/>
      <c r="BT214" s="233"/>
      <c r="BU214" s="233"/>
      <c r="BV214" s="233"/>
      <c r="BW214" s="233"/>
      <c r="BX214" s="233"/>
      <c r="BY214" s="233"/>
      <c r="BZ214" s="233"/>
      <c r="CA214" s="233"/>
      <c r="CB214" s="233"/>
      <c r="CC214" s="233"/>
      <c r="CD214" s="233"/>
      <c r="CE214" s="233"/>
      <c r="CF214" s="233"/>
      <c r="CG214" s="233"/>
      <c r="CH214" s="233"/>
      <c r="CI214" s="233"/>
      <c r="CJ214" s="233"/>
      <c r="CK214" s="233"/>
      <c r="CL214" s="233"/>
      <c r="CM214" s="233"/>
      <c r="CN214" s="233"/>
      <c r="CO214" s="233"/>
      <c r="CP214" s="233"/>
      <c r="CQ214" s="233"/>
      <c r="CR214" s="233"/>
      <c r="CS214" s="233"/>
      <c r="CT214" s="233"/>
      <c r="CU214" s="233"/>
      <c r="CV214" s="233"/>
      <c r="CW214" s="233"/>
      <c r="CX214" s="233"/>
      <c r="CY214" s="233"/>
      <c r="CZ214" s="233"/>
      <c r="DA214" s="233"/>
      <c r="DB214" s="233"/>
      <c r="DC214" s="233"/>
      <c r="DD214" s="233"/>
      <c r="DE214" s="233"/>
      <c r="DF214" s="233"/>
      <c r="DG214" s="233"/>
      <c r="DH214" s="233"/>
      <c r="DI214" s="233"/>
      <c r="DJ214" s="233"/>
      <c r="DK214" s="233"/>
      <c r="DL214" s="233"/>
      <c r="DM214" s="233"/>
      <c r="DN214" s="233"/>
      <c r="DO214" s="233"/>
      <c r="DP214" s="233"/>
      <c r="DQ214" s="233"/>
      <c r="DR214" s="233"/>
      <c r="DS214" s="233"/>
      <c r="DT214" s="233"/>
      <c r="DU214" s="233"/>
      <c r="DV214" s="233"/>
      <c r="DW214" s="233"/>
      <c r="DX214" s="233"/>
      <c r="DY214" s="233"/>
      <c r="DZ214" s="233"/>
      <c r="EA214" s="233"/>
      <c r="EB214" s="233"/>
      <c r="EC214" s="233"/>
      <c r="ED214" s="233"/>
      <c r="EE214" s="233"/>
      <c r="EF214" s="233"/>
      <c r="EG214" s="233"/>
      <c r="EH214" s="233"/>
      <c r="EI214" s="233"/>
      <c r="EJ214" s="233"/>
      <c r="EK214" s="233"/>
      <c r="EL214" s="233"/>
      <c r="EM214" s="233"/>
      <c r="EN214" s="233"/>
      <c r="EO214" s="233"/>
      <c r="EP214" s="233"/>
      <c r="EQ214" s="233"/>
      <c r="ER214" s="233"/>
      <c r="ES214" s="233"/>
      <c r="ET214" s="233"/>
      <c r="EU214" s="233"/>
      <c r="EV214" s="233"/>
      <c r="EW214" s="233"/>
      <c r="EX214" s="233"/>
      <c r="EY214" s="233"/>
      <c r="EZ214" s="233"/>
      <c r="FA214" s="233"/>
      <c r="FB214" s="233"/>
      <c r="FC214" s="233"/>
      <c r="FD214" s="233"/>
    </row>
    <row r="215" spans="1:160">
      <c r="A215" s="20" t="s">
        <v>3502</v>
      </c>
      <c r="B215" s="14">
        <v>3</v>
      </c>
      <c r="C215" s="14" t="s">
        <v>3588</v>
      </c>
      <c r="D215" s="14">
        <v>2</v>
      </c>
      <c r="E215" s="110" t="s">
        <v>3682</v>
      </c>
      <c r="F215" s="14" t="s">
        <v>3548</v>
      </c>
      <c r="G215" s="44" t="s">
        <v>3730</v>
      </c>
      <c r="H215" s="44" t="s">
        <v>4209</v>
      </c>
      <c r="I215" s="44">
        <v>2</v>
      </c>
      <c r="J215" s="28" t="s">
        <v>5232</v>
      </c>
      <c r="L215" s="233"/>
      <c r="M215" s="233"/>
      <c r="N215" s="233"/>
      <c r="O215" s="233"/>
      <c r="P215" s="233"/>
      <c r="Q215" s="233"/>
      <c r="R215" s="233"/>
      <c r="S215" s="233"/>
      <c r="T215" s="233"/>
      <c r="U215" s="233"/>
      <c r="V215" s="233"/>
      <c r="W215" s="233"/>
      <c r="X215" s="233"/>
      <c r="Y215" s="233"/>
      <c r="Z215" s="233"/>
      <c r="AA215" s="233"/>
      <c r="AB215" s="233"/>
      <c r="AC215" s="233"/>
      <c r="AD215" s="233"/>
      <c r="AE215" s="233"/>
      <c r="AF215" s="233"/>
      <c r="AG215" s="233"/>
      <c r="AH215" s="233"/>
      <c r="AI215" s="233"/>
      <c r="AJ215" s="233"/>
      <c r="AK215" s="233"/>
      <c r="AL215" s="233"/>
      <c r="AM215" s="233"/>
      <c r="AN215" s="233"/>
      <c r="AO215" s="233"/>
      <c r="AP215" s="233"/>
      <c r="AQ215" s="233"/>
      <c r="AR215" s="233"/>
      <c r="AS215" s="233"/>
      <c r="AT215" s="233"/>
      <c r="AU215" s="233"/>
      <c r="AV215" s="233"/>
      <c r="AW215" s="233"/>
      <c r="AX215" s="233"/>
      <c r="AY215" s="233"/>
      <c r="AZ215" s="233"/>
      <c r="BA215" s="233"/>
      <c r="BB215" s="233"/>
      <c r="BC215" s="233"/>
      <c r="BD215" s="233"/>
      <c r="BE215" s="233"/>
      <c r="BF215" s="233"/>
      <c r="BG215" s="233"/>
      <c r="BH215" s="233"/>
      <c r="BI215" s="233"/>
      <c r="BJ215" s="233"/>
      <c r="BK215" s="233"/>
      <c r="BL215" s="233"/>
      <c r="BM215" s="233"/>
      <c r="BN215" s="233"/>
      <c r="BO215" s="233"/>
      <c r="BP215" s="233"/>
      <c r="BQ215" s="233"/>
      <c r="BR215" s="233"/>
      <c r="BS215" s="233"/>
      <c r="BT215" s="233"/>
      <c r="BU215" s="233"/>
      <c r="BV215" s="233"/>
      <c r="BW215" s="233"/>
      <c r="BX215" s="233"/>
      <c r="BY215" s="233"/>
      <c r="BZ215" s="233"/>
      <c r="CA215" s="233"/>
      <c r="CB215" s="233"/>
      <c r="CC215" s="233"/>
      <c r="CD215" s="233"/>
      <c r="CE215" s="233"/>
      <c r="CF215" s="233"/>
      <c r="CG215" s="233"/>
      <c r="CH215" s="233"/>
      <c r="CI215" s="233"/>
      <c r="CJ215" s="233"/>
      <c r="CK215" s="233"/>
      <c r="CL215" s="233"/>
      <c r="CM215" s="233"/>
      <c r="CN215" s="233"/>
      <c r="CO215" s="233"/>
      <c r="CP215" s="233"/>
      <c r="CQ215" s="233"/>
      <c r="CR215" s="233"/>
      <c r="CS215" s="233"/>
      <c r="CT215" s="233"/>
      <c r="CU215" s="233"/>
      <c r="CV215" s="233"/>
      <c r="CW215" s="233"/>
      <c r="CX215" s="233"/>
      <c r="CY215" s="233"/>
      <c r="CZ215" s="233"/>
      <c r="DA215" s="233"/>
      <c r="DB215" s="233"/>
      <c r="DC215" s="233"/>
      <c r="DD215" s="233"/>
      <c r="DE215" s="233"/>
      <c r="DF215" s="233"/>
      <c r="DG215" s="233"/>
      <c r="DH215" s="233"/>
      <c r="DI215" s="233"/>
      <c r="DJ215" s="233"/>
      <c r="DK215" s="233"/>
      <c r="DL215" s="233"/>
      <c r="DM215" s="233"/>
      <c r="DN215" s="233"/>
      <c r="DO215" s="233"/>
      <c r="DP215" s="233"/>
      <c r="DQ215" s="233"/>
      <c r="DR215" s="233"/>
      <c r="DS215" s="233"/>
      <c r="DT215" s="233"/>
      <c r="DU215" s="233"/>
      <c r="DV215" s="233"/>
      <c r="DW215" s="233"/>
      <c r="DX215" s="233"/>
      <c r="DY215" s="233"/>
      <c r="DZ215" s="233"/>
      <c r="EA215" s="233"/>
      <c r="EB215" s="233"/>
      <c r="EC215" s="233"/>
      <c r="ED215" s="233"/>
      <c r="EE215" s="233"/>
      <c r="EF215" s="233"/>
      <c r="EG215" s="233"/>
      <c r="EH215" s="233"/>
      <c r="EI215" s="233"/>
      <c r="EJ215" s="233"/>
      <c r="EK215" s="233"/>
      <c r="EL215" s="233"/>
      <c r="EM215" s="233"/>
      <c r="EN215" s="233"/>
      <c r="EO215" s="233"/>
      <c r="EP215" s="233"/>
      <c r="EQ215" s="233"/>
      <c r="ER215" s="233"/>
      <c r="ES215" s="233"/>
      <c r="ET215" s="233"/>
      <c r="EU215" s="233"/>
      <c r="EV215" s="233"/>
      <c r="EW215" s="233"/>
      <c r="EX215" s="233"/>
      <c r="EY215" s="233"/>
      <c r="EZ215" s="233"/>
      <c r="FA215" s="233"/>
      <c r="FB215" s="233"/>
      <c r="FC215" s="233"/>
      <c r="FD215" s="233"/>
    </row>
    <row r="216" spans="1:160">
      <c r="A216" s="20" t="s">
        <v>3136</v>
      </c>
      <c r="B216" s="14">
        <v>3</v>
      </c>
      <c r="C216" s="14" t="s">
        <v>3208</v>
      </c>
      <c r="D216" s="14">
        <v>1</v>
      </c>
      <c r="E216" s="110" t="s">
        <v>3749</v>
      </c>
      <c r="F216" s="14" t="s">
        <v>3898</v>
      </c>
      <c r="G216" s="44" t="s">
        <v>3651</v>
      </c>
      <c r="H216" s="44" t="s">
        <v>3137</v>
      </c>
      <c r="I216" s="44" t="s">
        <v>3900</v>
      </c>
      <c r="J216" s="28" t="s">
        <v>4555</v>
      </c>
      <c r="L216" s="233"/>
      <c r="M216" s="233"/>
      <c r="N216" s="233"/>
      <c r="O216" s="233"/>
      <c r="P216" s="233"/>
      <c r="Q216" s="233"/>
      <c r="R216" s="233"/>
      <c r="S216" s="233"/>
      <c r="T216" s="233"/>
      <c r="U216" s="233"/>
      <c r="V216" s="233"/>
      <c r="W216" s="233"/>
      <c r="X216" s="233"/>
      <c r="Y216" s="233"/>
      <c r="Z216" s="233"/>
      <c r="AA216" s="233"/>
      <c r="AB216" s="233"/>
      <c r="AC216" s="233"/>
      <c r="AD216" s="233"/>
      <c r="AE216" s="233"/>
      <c r="AF216" s="233"/>
      <c r="AG216" s="233"/>
      <c r="AH216" s="233"/>
      <c r="AI216" s="233"/>
      <c r="AJ216" s="233"/>
      <c r="AK216" s="233"/>
      <c r="AL216" s="233"/>
      <c r="AM216" s="233"/>
      <c r="AN216" s="233"/>
      <c r="AO216" s="233"/>
      <c r="AP216" s="233"/>
      <c r="AQ216" s="233"/>
      <c r="AR216" s="233"/>
      <c r="AS216" s="233"/>
      <c r="AT216" s="233"/>
      <c r="AU216" s="233"/>
      <c r="AV216" s="233"/>
      <c r="AW216" s="233"/>
      <c r="AX216" s="233"/>
      <c r="AY216" s="233"/>
      <c r="AZ216" s="233"/>
      <c r="BA216" s="233"/>
      <c r="BB216" s="233"/>
      <c r="BC216" s="233"/>
      <c r="BD216" s="233"/>
      <c r="BE216" s="233"/>
      <c r="BF216" s="233"/>
      <c r="BG216" s="233"/>
      <c r="BH216" s="233"/>
      <c r="BI216" s="233"/>
      <c r="BJ216" s="233"/>
      <c r="BK216" s="233"/>
      <c r="BL216" s="233"/>
      <c r="BM216" s="233"/>
      <c r="BN216" s="233"/>
      <c r="BO216" s="233"/>
      <c r="BP216" s="233"/>
      <c r="BQ216" s="233"/>
      <c r="BR216" s="233"/>
      <c r="BS216" s="233"/>
      <c r="BT216" s="233"/>
      <c r="BU216" s="233"/>
      <c r="BV216" s="233"/>
      <c r="BW216" s="233"/>
      <c r="BX216" s="233"/>
      <c r="BY216" s="233"/>
      <c r="BZ216" s="233"/>
      <c r="CA216" s="233"/>
      <c r="CB216" s="233"/>
      <c r="CC216" s="233"/>
      <c r="CD216" s="233"/>
      <c r="CE216" s="233"/>
      <c r="CF216" s="233"/>
      <c r="CG216" s="233"/>
      <c r="CH216" s="233"/>
      <c r="CI216" s="233"/>
      <c r="CJ216" s="233"/>
      <c r="CK216" s="233"/>
      <c r="CL216" s="233"/>
      <c r="CM216" s="233"/>
      <c r="CN216" s="233"/>
      <c r="CO216" s="233"/>
      <c r="CP216" s="233"/>
      <c r="CQ216" s="233"/>
      <c r="CR216" s="233"/>
      <c r="CS216" s="233"/>
      <c r="CT216" s="233"/>
      <c r="CU216" s="233"/>
      <c r="CV216" s="233"/>
      <c r="CW216" s="233"/>
      <c r="CX216" s="233"/>
      <c r="CY216" s="233"/>
      <c r="CZ216" s="233"/>
      <c r="DA216" s="233"/>
      <c r="DB216" s="233"/>
      <c r="DC216" s="233"/>
      <c r="DD216" s="233"/>
      <c r="DE216" s="233"/>
      <c r="DF216" s="233"/>
      <c r="DG216" s="233"/>
      <c r="DH216" s="233"/>
      <c r="DI216" s="233"/>
      <c r="DJ216" s="233"/>
      <c r="DK216" s="233"/>
      <c r="DL216" s="233"/>
      <c r="DM216" s="233"/>
      <c r="DN216" s="233"/>
      <c r="DO216" s="233"/>
      <c r="DP216" s="233"/>
      <c r="DQ216" s="233"/>
      <c r="DR216" s="233"/>
      <c r="DS216" s="233"/>
      <c r="DT216" s="233"/>
      <c r="DU216" s="233"/>
      <c r="DV216" s="233"/>
      <c r="DW216" s="233"/>
      <c r="DX216" s="233"/>
      <c r="DY216" s="233"/>
      <c r="DZ216" s="233"/>
      <c r="EA216" s="233"/>
      <c r="EB216" s="233"/>
      <c r="EC216" s="233"/>
      <c r="ED216" s="233"/>
      <c r="EE216" s="233"/>
      <c r="EF216" s="233"/>
      <c r="EG216" s="233"/>
      <c r="EH216" s="233"/>
      <c r="EI216" s="233"/>
      <c r="EJ216" s="233"/>
      <c r="EK216" s="233"/>
      <c r="EL216" s="233"/>
      <c r="EM216" s="233"/>
      <c r="EN216" s="233"/>
      <c r="EO216" s="233"/>
      <c r="EP216" s="233"/>
      <c r="EQ216" s="233"/>
      <c r="ER216" s="233"/>
      <c r="ES216" s="233"/>
      <c r="ET216" s="233"/>
      <c r="EU216" s="233"/>
      <c r="EV216" s="233"/>
      <c r="EW216" s="233"/>
      <c r="EX216" s="233"/>
      <c r="EY216" s="233"/>
      <c r="EZ216" s="233"/>
      <c r="FA216" s="233"/>
      <c r="FB216" s="233"/>
      <c r="FC216" s="233"/>
      <c r="FD216" s="233"/>
    </row>
    <row r="217" spans="1:160">
      <c r="A217" s="20" t="s">
        <v>3506</v>
      </c>
      <c r="B217" s="14">
        <v>3</v>
      </c>
      <c r="C217" s="14" t="s">
        <v>3507</v>
      </c>
      <c r="D217" s="14">
        <v>3</v>
      </c>
      <c r="E217" s="110" t="s">
        <v>3205</v>
      </c>
      <c r="F217" s="14" t="s">
        <v>3947</v>
      </c>
      <c r="G217" s="44" t="s">
        <v>3651</v>
      </c>
      <c r="H217" s="44" t="s">
        <v>3488</v>
      </c>
      <c r="I217" s="44">
        <v>2</v>
      </c>
      <c r="J217" s="28" t="s">
        <v>4369</v>
      </c>
      <c r="L217" s="233"/>
      <c r="M217" s="233"/>
      <c r="N217" s="233"/>
      <c r="O217" s="233"/>
      <c r="P217" s="233"/>
      <c r="Q217" s="233"/>
      <c r="R217" s="233"/>
      <c r="S217" s="233"/>
      <c r="T217" s="233"/>
      <c r="U217" s="233"/>
      <c r="V217" s="233"/>
      <c r="W217" s="233"/>
      <c r="X217" s="233"/>
      <c r="Y217" s="233"/>
      <c r="Z217" s="233"/>
      <c r="AA217" s="233"/>
      <c r="AB217" s="233"/>
      <c r="AC217" s="233"/>
      <c r="AD217" s="233"/>
      <c r="AE217" s="233"/>
      <c r="AF217" s="233"/>
      <c r="AG217" s="233"/>
      <c r="AH217" s="233"/>
      <c r="AI217" s="233"/>
      <c r="AJ217" s="233"/>
      <c r="AK217" s="233"/>
      <c r="AL217" s="233"/>
      <c r="AM217" s="233"/>
      <c r="AN217" s="233"/>
      <c r="AO217" s="233"/>
      <c r="AP217" s="233"/>
      <c r="AQ217" s="233"/>
      <c r="AR217" s="233"/>
      <c r="AS217" s="233"/>
      <c r="AT217" s="233"/>
      <c r="AU217" s="233"/>
      <c r="AV217" s="233"/>
      <c r="AW217" s="233"/>
      <c r="AX217" s="233"/>
      <c r="AY217" s="233"/>
      <c r="AZ217" s="233"/>
      <c r="BA217" s="233"/>
      <c r="BB217" s="233"/>
      <c r="BC217" s="233"/>
      <c r="BD217" s="233"/>
      <c r="BE217" s="233"/>
      <c r="BF217" s="233"/>
      <c r="BG217" s="233"/>
      <c r="BH217" s="233"/>
      <c r="BI217" s="233"/>
      <c r="BJ217" s="233"/>
      <c r="BK217" s="233"/>
      <c r="BL217" s="233"/>
      <c r="BM217" s="233"/>
      <c r="BN217" s="233"/>
      <c r="BO217" s="233"/>
      <c r="BP217" s="233"/>
      <c r="BQ217" s="233"/>
      <c r="BR217" s="233"/>
      <c r="BS217" s="233"/>
      <c r="BT217" s="233"/>
      <c r="BU217" s="233"/>
      <c r="BV217" s="233"/>
      <c r="BW217" s="233"/>
      <c r="BX217" s="233"/>
      <c r="BY217" s="233"/>
      <c r="BZ217" s="233"/>
      <c r="CA217" s="233"/>
      <c r="CB217" s="233"/>
      <c r="CC217" s="233"/>
      <c r="CD217" s="233"/>
      <c r="CE217" s="233"/>
      <c r="CF217" s="233"/>
      <c r="CG217" s="233"/>
      <c r="CH217" s="233"/>
      <c r="CI217" s="233"/>
      <c r="CJ217" s="233"/>
      <c r="CK217" s="233"/>
      <c r="CL217" s="233"/>
      <c r="CM217" s="233"/>
      <c r="CN217" s="233"/>
      <c r="CO217" s="233"/>
      <c r="CP217" s="233"/>
      <c r="CQ217" s="233"/>
      <c r="CR217" s="233"/>
      <c r="CS217" s="233"/>
      <c r="CT217" s="233"/>
      <c r="CU217" s="233"/>
      <c r="CV217" s="233"/>
      <c r="CW217" s="233"/>
      <c r="CX217" s="233"/>
      <c r="CY217" s="233"/>
      <c r="CZ217" s="233"/>
      <c r="DA217" s="233"/>
      <c r="DB217" s="233"/>
      <c r="DC217" s="233"/>
      <c r="DD217" s="233"/>
      <c r="DE217" s="233"/>
      <c r="DF217" s="233"/>
      <c r="DG217" s="233"/>
      <c r="DH217" s="233"/>
      <c r="DI217" s="233"/>
      <c r="DJ217" s="233"/>
      <c r="DK217" s="233"/>
      <c r="DL217" s="233"/>
      <c r="DM217" s="233"/>
      <c r="DN217" s="233"/>
      <c r="DO217" s="233"/>
      <c r="DP217" s="233"/>
      <c r="DQ217" s="233"/>
      <c r="DR217" s="233"/>
      <c r="DS217" s="233"/>
      <c r="DT217" s="233"/>
      <c r="DU217" s="233"/>
      <c r="DV217" s="233"/>
      <c r="DW217" s="233"/>
      <c r="DX217" s="233"/>
      <c r="DY217" s="233"/>
      <c r="DZ217" s="233"/>
      <c r="EA217" s="233"/>
      <c r="EB217" s="233"/>
      <c r="EC217" s="233"/>
      <c r="ED217" s="233"/>
      <c r="EE217" s="233"/>
      <c r="EF217" s="233"/>
      <c r="EG217" s="233"/>
      <c r="EH217" s="233"/>
      <c r="EI217" s="233"/>
      <c r="EJ217" s="233"/>
      <c r="EK217" s="233"/>
      <c r="EL217" s="233"/>
      <c r="EM217" s="233"/>
      <c r="EN217" s="233"/>
      <c r="EO217" s="233"/>
      <c r="EP217" s="233"/>
      <c r="EQ217" s="233"/>
      <c r="ER217" s="233"/>
      <c r="ES217" s="233"/>
      <c r="ET217" s="233"/>
      <c r="EU217" s="233"/>
      <c r="EV217" s="233"/>
      <c r="EW217" s="233"/>
      <c r="EX217" s="233"/>
      <c r="EY217" s="233"/>
      <c r="EZ217" s="233"/>
      <c r="FA217" s="233"/>
      <c r="FB217" s="233"/>
      <c r="FC217" s="233"/>
      <c r="FD217" s="233"/>
    </row>
    <row r="218" spans="1:160">
      <c r="A218" s="20" t="s">
        <v>3504</v>
      </c>
      <c r="B218" s="14">
        <v>3</v>
      </c>
      <c r="C218" s="14" t="s">
        <v>3139</v>
      </c>
      <c r="D218" s="14">
        <v>1</v>
      </c>
      <c r="E218" s="110" t="s">
        <v>3279</v>
      </c>
      <c r="F218" s="14" t="s">
        <v>3548</v>
      </c>
      <c r="G218" s="44" t="s">
        <v>3753</v>
      </c>
      <c r="H218" s="44" t="s">
        <v>3728</v>
      </c>
      <c r="I218" s="44" t="s">
        <v>3900</v>
      </c>
      <c r="J218" s="28" t="s">
        <v>5232</v>
      </c>
      <c r="L218" s="233"/>
      <c r="M218" s="233"/>
      <c r="N218" s="233"/>
      <c r="O218" s="233"/>
      <c r="P218" s="233"/>
      <c r="Q218" s="233"/>
      <c r="R218" s="233"/>
      <c r="S218" s="233"/>
      <c r="T218" s="233"/>
      <c r="U218" s="233"/>
      <c r="V218" s="233"/>
      <c r="W218" s="233"/>
      <c r="X218" s="233"/>
      <c r="Y218" s="233"/>
      <c r="Z218" s="233"/>
      <c r="AA218" s="233"/>
      <c r="AB218" s="233"/>
      <c r="AC218" s="233"/>
      <c r="AD218" s="233"/>
      <c r="AE218" s="233"/>
      <c r="AF218" s="233"/>
      <c r="AG218" s="233"/>
      <c r="AH218" s="233"/>
      <c r="AI218" s="233"/>
      <c r="AJ218" s="233"/>
      <c r="AK218" s="233"/>
      <c r="AL218" s="233"/>
      <c r="AM218" s="233"/>
      <c r="AN218" s="233"/>
      <c r="AO218" s="233"/>
      <c r="AP218" s="233"/>
      <c r="AQ218" s="233"/>
      <c r="AR218" s="233"/>
      <c r="AS218" s="233"/>
      <c r="AT218" s="233"/>
      <c r="AU218" s="233"/>
      <c r="AV218" s="233"/>
      <c r="AW218" s="233"/>
      <c r="AX218" s="233"/>
      <c r="AY218" s="233"/>
      <c r="AZ218" s="233"/>
      <c r="BA218" s="233"/>
      <c r="BB218" s="233"/>
      <c r="BC218" s="233"/>
      <c r="BD218" s="233"/>
      <c r="BE218" s="233"/>
      <c r="BF218" s="233"/>
      <c r="BG218" s="233"/>
      <c r="BH218" s="233"/>
      <c r="BI218" s="233"/>
      <c r="BJ218" s="233"/>
      <c r="BK218" s="233"/>
      <c r="BL218" s="233"/>
      <c r="BM218" s="233"/>
      <c r="BN218" s="233"/>
      <c r="BO218" s="233"/>
      <c r="BP218" s="233"/>
      <c r="BQ218" s="233"/>
      <c r="BR218" s="233"/>
      <c r="BS218" s="233"/>
      <c r="BT218" s="233"/>
      <c r="BU218" s="233"/>
      <c r="BV218" s="233"/>
      <c r="BW218" s="233"/>
      <c r="BX218" s="233"/>
      <c r="BY218" s="233"/>
      <c r="BZ218" s="233"/>
      <c r="CA218" s="233"/>
      <c r="CB218" s="233"/>
      <c r="CC218" s="233"/>
      <c r="CD218" s="233"/>
      <c r="CE218" s="233"/>
      <c r="CF218" s="233"/>
      <c r="CG218" s="233"/>
      <c r="CH218" s="233"/>
      <c r="CI218" s="233"/>
      <c r="CJ218" s="233"/>
      <c r="CK218" s="233"/>
      <c r="CL218" s="233"/>
      <c r="CM218" s="233"/>
      <c r="CN218" s="233"/>
      <c r="CO218" s="233"/>
      <c r="CP218" s="233"/>
      <c r="CQ218" s="233"/>
      <c r="CR218" s="233"/>
      <c r="CS218" s="233"/>
      <c r="CT218" s="233"/>
      <c r="CU218" s="233"/>
      <c r="CV218" s="233"/>
      <c r="CW218" s="233"/>
      <c r="CX218" s="233"/>
      <c r="CY218" s="233"/>
      <c r="CZ218" s="233"/>
      <c r="DA218" s="233"/>
      <c r="DB218" s="233"/>
      <c r="DC218" s="233"/>
      <c r="DD218" s="233"/>
      <c r="DE218" s="233"/>
      <c r="DF218" s="233"/>
      <c r="DG218" s="233"/>
      <c r="DH218" s="233"/>
      <c r="DI218" s="233"/>
      <c r="DJ218" s="233"/>
      <c r="DK218" s="233"/>
      <c r="DL218" s="233"/>
      <c r="DM218" s="233"/>
      <c r="DN218" s="233"/>
      <c r="DO218" s="233"/>
      <c r="DP218" s="233"/>
      <c r="DQ218" s="233"/>
      <c r="DR218" s="233"/>
      <c r="DS218" s="233"/>
      <c r="DT218" s="233"/>
      <c r="DU218" s="233"/>
      <c r="DV218" s="233"/>
      <c r="DW218" s="233"/>
      <c r="DX218" s="233"/>
      <c r="DY218" s="233"/>
      <c r="DZ218" s="233"/>
      <c r="EA218" s="233"/>
      <c r="EB218" s="233"/>
      <c r="EC218" s="233"/>
      <c r="ED218" s="233"/>
      <c r="EE218" s="233"/>
      <c r="EF218" s="233"/>
      <c r="EG218" s="233"/>
      <c r="EH218" s="233"/>
      <c r="EI218" s="233"/>
      <c r="EJ218" s="233"/>
      <c r="EK218" s="233"/>
      <c r="EL218" s="233"/>
      <c r="EM218" s="233"/>
      <c r="EN218" s="233"/>
      <c r="EO218" s="233"/>
      <c r="EP218" s="233"/>
      <c r="EQ218" s="233"/>
      <c r="ER218" s="233"/>
      <c r="ES218" s="233"/>
      <c r="ET218" s="233"/>
      <c r="EU218" s="233"/>
      <c r="EV218" s="233"/>
      <c r="EW218" s="233"/>
      <c r="EX218" s="233"/>
      <c r="EY218" s="233"/>
      <c r="EZ218" s="233"/>
      <c r="FA218" s="233"/>
      <c r="FB218" s="233"/>
      <c r="FC218" s="233"/>
      <c r="FD218" s="233"/>
    </row>
    <row r="219" spans="1:160">
      <c r="A219" s="20" t="s">
        <v>3501</v>
      </c>
      <c r="B219" s="14">
        <v>3</v>
      </c>
      <c r="C219" s="14" t="s">
        <v>3208</v>
      </c>
      <c r="D219" s="14">
        <v>2</v>
      </c>
      <c r="E219" s="110" t="s">
        <v>3925</v>
      </c>
      <c r="F219" s="14" t="s">
        <v>3898</v>
      </c>
      <c r="G219" s="44" t="s">
        <v>3612</v>
      </c>
      <c r="H219" s="44" t="s">
        <v>3728</v>
      </c>
      <c r="I219" s="44" t="s">
        <v>3900</v>
      </c>
      <c r="J219" s="28" t="s">
        <v>4555</v>
      </c>
      <c r="L219" s="233"/>
      <c r="M219" s="233"/>
      <c r="N219" s="233"/>
      <c r="O219" s="233"/>
      <c r="P219" s="233"/>
      <c r="Q219" s="233"/>
      <c r="R219" s="233"/>
      <c r="S219" s="233"/>
      <c r="T219" s="233"/>
      <c r="U219" s="233"/>
      <c r="V219" s="233"/>
      <c r="W219" s="233"/>
      <c r="X219" s="233"/>
      <c r="Y219" s="233"/>
      <c r="Z219" s="233"/>
      <c r="AA219" s="233"/>
      <c r="AB219" s="233"/>
      <c r="AC219" s="233"/>
      <c r="AD219" s="233"/>
      <c r="AE219" s="233"/>
      <c r="AF219" s="233"/>
      <c r="AG219" s="233"/>
      <c r="AH219" s="233"/>
      <c r="AI219" s="233"/>
      <c r="AJ219" s="233"/>
      <c r="AK219" s="233"/>
      <c r="AL219" s="233"/>
      <c r="AM219" s="233"/>
      <c r="AN219" s="233"/>
      <c r="AO219" s="233"/>
      <c r="AP219" s="233"/>
      <c r="AQ219" s="233"/>
      <c r="AR219" s="233"/>
      <c r="AS219" s="233"/>
      <c r="AT219" s="233"/>
      <c r="AU219" s="233"/>
      <c r="AV219" s="233"/>
      <c r="AW219" s="233"/>
      <c r="AX219" s="233"/>
      <c r="AY219" s="233"/>
      <c r="AZ219" s="233"/>
      <c r="BA219" s="233"/>
      <c r="BB219" s="233"/>
      <c r="BC219" s="233"/>
      <c r="BD219" s="233"/>
      <c r="BE219" s="233"/>
      <c r="BF219" s="233"/>
      <c r="BG219" s="233"/>
      <c r="BH219" s="233"/>
      <c r="BI219" s="233"/>
      <c r="BJ219" s="233"/>
      <c r="BK219" s="233"/>
      <c r="BL219" s="233"/>
      <c r="BM219" s="233"/>
      <c r="BN219" s="233"/>
      <c r="BO219" s="233"/>
      <c r="BP219" s="233"/>
      <c r="BQ219" s="233"/>
      <c r="BR219" s="233"/>
      <c r="BS219" s="233"/>
      <c r="BT219" s="233"/>
      <c r="BU219" s="233"/>
      <c r="BV219" s="233"/>
      <c r="BW219" s="233"/>
      <c r="BX219" s="233"/>
      <c r="BY219" s="233"/>
      <c r="BZ219" s="233"/>
      <c r="CA219" s="233"/>
      <c r="CB219" s="233"/>
      <c r="CC219" s="233"/>
      <c r="CD219" s="233"/>
      <c r="CE219" s="233"/>
      <c r="CF219" s="233"/>
      <c r="CG219" s="233"/>
      <c r="CH219" s="233"/>
      <c r="CI219" s="233"/>
      <c r="CJ219" s="233"/>
      <c r="CK219" s="233"/>
      <c r="CL219" s="233"/>
      <c r="CM219" s="233"/>
      <c r="CN219" s="233"/>
      <c r="CO219" s="233"/>
      <c r="CP219" s="233"/>
      <c r="CQ219" s="233"/>
      <c r="CR219" s="233"/>
      <c r="CS219" s="233"/>
      <c r="CT219" s="233"/>
      <c r="CU219" s="233"/>
      <c r="CV219" s="233"/>
      <c r="CW219" s="233"/>
      <c r="CX219" s="233"/>
      <c r="CY219" s="233"/>
      <c r="CZ219" s="233"/>
      <c r="DA219" s="233"/>
      <c r="DB219" s="233"/>
      <c r="DC219" s="233"/>
      <c r="DD219" s="233"/>
      <c r="DE219" s="233"/>
      <c r="DF219" s="233"/>
      <c r="DG219" s="233"/>
      <c r="DH219" s="233"/>
      <c r="DI219" s="233"/>
      <c r="DJ219" s="233"/>
      <c r="DK219" s="233"/>
      <c r="DL219" s="233"/>
      <c r="DM219" s="233"/>
      <c r="DN219" s="233"/>
      <c r="DO219" s="233"/>
      <c r="DP219" s="233"/>
      <c r="DQ219" s="233"/>
      <c r="DR219" s="233"/>
      <c r="DS219" s="233"/>
      <c r="DT219" s="233"/>
      <c r="DU219" s="233"/>
      <c r="DV219" s="233"/>
      <c r="DW219" s="233"/>
      <c r="DX219" s="233"/>
      <c r="DY219" s="233"/>
      <c r="DZ219" s="233"/>
      <c r="EA219" s="233"/>
      <c r="EB219" s="233"/>
      <c r="EC219" s="233"/>
      <c r="ED219" s="233"/>
      <c r="EE219" s="233"/>
      <c r="EF219" s="233"/>
      <c r="EG219" s="233"/>
      <c r="EH219" s="233"/>
      <c r="EI219" s="233"/>
      <c r="EJ219" s="233"/>
      <c r="EK219" s="233"/>
      <c r="EL219" s="233"/>
      <c r="EM219" s="233"/>
      <c r="EN219" s="233"/>
      <c r="EO219" s="233"/>
      <c r="EP219" s="233"/>
      <c r="EQ219" s="233"/>
      <c r="ER219" s="233"/>
      <c r="ES219" s="233"/>
      <c r="ET219" s="233"/>
      <c r="EU219" s="233"/>
      <c r="EV219" s="233"/>
      <c r="EW219" s="233"/>
      <c r="EX219" s="233"/>
      <c r="EY219" s="233"/>
      <c r="EZ219" s="233"/>
      <c r="FA219" s="233"/>
      <c r="FB219" s="233"/>
      <c r="FC219" s="233"/>
      <c r="FD219" s="233"/>
    </row>
    <row r="220" spans="1:160">
      <c r="A220" s="20" t="s">
        <v>3684</v>
      </c>
      <c r="B220" s="14">
        <v>4</v>
      </c>
      <c r="C220" s="14" t="s">
        <v>3685</v>
      </c>
      <c r="D220" s="14">
        <v>1</v>
      </c>
      <c r="E220" s="110" t="s">
        <v>3686</v>
      </c>
      <c r="F220" s="14" t="s">
        <v>3716</v>
      </c>
      <c r="G220" s="44" t="s">
        <v>3736</v>
      </c>
      <c r="H220" s="44" t="s">
        <v>3687</v>
      </c>
      <c r="I220" s="44">
        <v>2</v>
      </c>
      <c r="J220" s="28" t="s">
        <v>5232</v>
      </c>
      <c r="L220" s="233"/>
      <c r="M220" s="233"/>
      <c r="N220" s="233"/>
      <c r="O220" s="233"/>
      <c r="P220" s="233"/>
      <c r="Q220" s="233"/>
      <c r="R220" s="233"/>
      <c r="S220" s="233"/>
      <c r="T220" s="233"/>
      <c r="U220" s="233"/>
      <c r="V220" s="233"/>
      <c r="W220" s="233"/>
      <c r="X220" s="233"/>
      <c r="Y220" s="233"/>
      <c r="Z220" s="233"/>
      <c r="AA220" s="233"/>
      <c r="AB220" s="233"/>
      <c r="AC220" s="233"/>
      <c r="AD220" s="233"/>
      <c r="AE220" s="233"/>
      <c r="AF220" s="233"/>
      <c r="AG220" s="233"/>
      <c r="AH220" s="233"/>
      <c r="AI220" s="233"/>
      <c r="AJ220" s="233"/>
      <c r="AK220" s="233"/>
      <c r="AL220" s="233"/>
      <c r="AM220" s="233"/>
      <c r="AN220" s="233"/>
      <c r="AO220" s="233"/>
      <c r="AP220" s="233"/>
      <c r="AQ220" s="233"/>
      <c r="AR220" s="233"/>
      <c r="AS220" s="233"/>
      <c r="AT220" s="233"/>
      <c r="AU220" s="233"/>
      <c r="AV220" s="233"/>
      <c r="AW220" s="233"/>
      <c r="AX220" s="233"/>
      <c r="AY220" s="233"/>
      <c r="AZ220" s="233"/>
      <c r="BA220" s="233"/>
      <c r="BB220" s="233"/>
      <c r="BC220" s="233"/>
      <c r="BD220" s="233"/>
      <c r="BE220" s="233"/>
      <c r="BF220" s="233"/>
      <c r="BG220" s="233"/>
      <c r="BH220" s="233"/>
      <c r="BI220" s="233"/>
      <c r="BJ220" s="233"/>
      <c r="BK220" s="233"/>
      <c r="BL220" s="233"/>
      <c r="BM220" s="233"/>
      <c r="BN220" s="233"/>
      <c r="BO220" s="233"/>
      <c r="BP220" s="233"/>
      <c r="BQ220" s="233"/>
      <c r="BR220" s="233"/>
      <c r="BS220" s="233"/>
      <c r="BT220" s="233"/>
      <c r="BU220" s="233"/>
      <c r="BV220" s="233"/>
      <c r="BW220" s="233"/>
      <c r="BX220" s="233"/>
      <c r="BY220" s="233"/>
      <c r="BZ220" s="233"/>
      <c r="CA220" s="233"/>
      <c r="CB220" s="233"/>
      <c r="CC220" s="233"/>
      <c r="CD220" s="233"/>
      <c r="CE220" s="233"/>
      <c r="CF220" s="233"/>
      <c r="CG220" s="233"/>
      <c r="CH220" s="233"/>
      <c r="CI220" s="233"/>
      <c r="CJ220" s="233"/>
      <c r="CK220" s="233"/>
      <c r="CL220" s="233"/>
      <c r="CM220" s="233"/>
      <c r="CN220" s="233"/>
      <c r="CO220" s="233"/>
      <c r="CP220" s="233"/>
      <c r="CQ220" s="233"/>
      <c r="CR220" s="233"/>
      <c r="CS220" s="233"/>
      <c r="CT220" s="233"/>
      <c r="CU220" s="233"/>
      <c r="CV220" s="233"/>
      <c r="CW220" s="233"/>
      <c r="CX220" s="233"/>
      <c r="CY220" s="233"/>
      <c r="CZ220" s="233"/>
      <c r="DA220" s="233"/>
      <c r="DB220" s="233"/>
      <c r="DC220" s="233"/>
      <c r="DD220" s="233"/>
      <c r="DE220" s="233"/>
      <c r="DF220" s="233"/>
      <c r="DG220" s="233"/>
      <c r="DH220" s="233"/>
      <c r="DI220" s="233"/>
      <c r="DJ220" s="233"/>
      <c r="DK220" s="233"/>
      <c r="DL220" s="233"/>
      <c r="DM220" s="233"/>
      <c r="DN220" s="233"/>
      <c r="DO220" s="233"/>
      <c r="DP220" s="233"/>
      <c r="DQ220" s="233"/>
      <c r="DR220" s="233"/>
      <c r="DS220" s="233"/>
      <c r="DT220" s="233"/>
      <c r="DU220" s="233"/>
      <c r="DV220" s="233"/>
      <c r="DW220" s="233"/>
      <c r="DX220" s="233"/>
      <c r="DY220" s="233"/>
      <c r="DZ220" s="233"/>
      <c r="EA220" s="233"/>
      <c r="EB220" s="233"/>
      <c r="EC220" s="233"/>
      <c r="ED220" s="233"/>
      <c r="EE220" s="233"/>
      <c r="EF220" s="233"/>
      <c r="EG220" s="233"/>
      <c r="EH220" s="233"/>
      <c r="EI220" s="233"/>
      <c r="EJ220" s="233"/>
      <c r="EK220" s="233"/>
      <c r="EL220" s="233"/>
      <c r="EM220" s="233"/>
      <c r="EN220" s="233"/>
      <c r="EO220" s="233"/>
      <c r="EP220" s="233"/>
      <c r="EQ220" s="233"/>
      <c r="ER220" s="233"/>
      <c r="ES220" s="233"/>
      <c r="ET220" s="233"/>
      <c r="EU220" s="233"/>
      <c r="EV220" s="233"/>
      <c r="EW220" s="233"/>
      <c r="EX220" s="233"/>
      <c r="EY220" s="233"/>
      <c r="EZ220" s="233"/>
      <c r="FA220" s="233"/>
      <c r="FB220" s="233"/>
      <c r="FC220" s="233"/>
      <c r="FD220" s="233"/>
    </row>
    <row r="221" spans="1:160">
      <c r="A221" s="20" t="s">
        <v>3510</v>
      </c>
      <c r="B221" s="14">
        <v>4</v>
      </c>
      <c r="C221" s="14" t="s">
        <v>3412</v>
      </c>
      <c r="D221" s="14">
        <v>2</v>
      </c>
      <c r="E221" s="110" t="s">
        <v>3282</v>
      </c>
      <c r="F221" s="14" t="s">
        <v>4000</v>
      </c>
      <c r="G221" s="44" t="s">
        <v>3743</v>
      </c>
      <c r="H221" s="44" t="s">
        <v>3683</v>
      </c>
      <c r="I221" s="44">
        <v>5</v>
      </c>
      <c r="J221" s="28" t="s">
        <v>4037</v>
      </c>
      <c r="L221" s="26" t="s">
        <v>5198</v>
      </c>
      <c r="M221" s="21"/>
      <c r="N221" s="21"/>
      <c r="O221" s="21" t="str">
        <f>IF(CharGenMain!$E$134&gt;4,"5. Spell Matrix"," ")</f>
        <v>5. Spell Matrix</v>
      </c>
      <c r="P221" s="21"/>
      <c r="Q221" s="21"/>
      <c r="R221" s="21" t="str">
        <f>IF(CharGenMain!$E$134&gt;10,"10. Armored Matrix"," ")</f>
        <v xml:space="preserve"> </v>
      </c>
      <c r="S221" s="21"/>
      <c r="T221" s="21"/>
      <c r="U221" s="26" t="s">
        <v>5139</v>
      </c>
      <c r="V221" s="21"/>
      <c r="W221" s="233"/>
      <c r="X221" s="233"/>
      <c r="Y221" s="233"/>
      <c r="Z221" s="233"/>
      <c r="AA221" s="233"/>
      <c r="AB221" s="233"/>
      <c r="AC221" s="233"/>
      <c r="AD221" s="233"/>
      <c r="AE221" s="233"/>
      <c r="AF221" s="233"/>
      <c r="AG221" s="233"/>
      <c r="AH221" s="233"/>
      <c r="AI221" s="233"/>
      <c r="AJ221" s="233"/>
      <c r="AK221" s="233"/>
      <c r="AL221" s="233"/>
      <c r="AM221" s="233"/>
      <c r="AN221" s="233"/>
      <c r="AO221" s="233"/>
      <c r="AP221" s="233"/>
      <c r="AQ221" s="233"/>
      <c r="AR221" s="233"/>
      <c r="AS221" s="233"/>
      <c r="AT221" s="233"/>
      <c r="AU221" s="233"/>
      <c r="AV221" s="233"/>
      <c r="AW221" s="233"/>
      <c r="AX221" s="233"/>
      <c r="AY221" s="233"/>
      <c r="AZ221" s="233"/>
      <c r="BA221" s="233"/>
      <c r="BB221" s="233"/>
      <c r="BC221" s="233"/>
      <c r="BD221" s="233"/>
      <c r="BE221" s="233"/>
      <c r="BF221" s="233"/>
      <c r="BG221" s="233"/>
      <c r="BH221" s="233"/>
      <c r="BI221" s="233"/>
      <c r="BJ221" s="233"/>
      <c r="BK221" s="233"/>
      <c r="BL221" s="233"/>
      <c r="BM221" s="233"/>
      <c r="BN221" s="233"/>
      <c r="BO221" s="233"/>
      <c r="BP221" s="233"/>
      <c r="BQ221" s="233"/>
      <c r="BR221" s="233"/>
      <c r="BS221" s="233"/>
      <c r="BT221" s="233"/>
      <c r="BU221" s="233"/>
      <c r="BV221" s="233"/>
      <c r="BW221" s="233"/>
      <c r="BX221" s="233"/>
      <c r="BY221" s="233"/>
      <c r="BZ221" s="233"/>
      <c r="CA221" s="233"/>
      <c r="CB221" s="233"/>
      <c r="CC221" s="233"/>
      <c r="CD221" s="233"/>
      <c r="CE221" s="233"/>
      <c r="CF221" s="233"/>
      <c r="CG221" s="233"/>
      <c r="CH221" s="233"/>
      <c r="CI221" s="233"/>
      <c r="CJ221" s="233"/>
      <c r="CK221" s="233"/>
      <c r="CL221" s="233"/>
      <c r="CM221" s="233"/>
      <c r="CN221" s="233"/>
      <c r="CO221" s="233"/>
      <c r="CP221" s="233"/>
      <c r="CQ221" s="233"/>
      <c r="CR221" s="233"/>
      <c r="CS221" s="233"/>
      <c r="CT221" s="233"/>
      <c r="CU221" s="233"/>
      <c r="CV221" s="233"/>
      <c r="CW221" s="233"/>
      <c r="CX221" s="233"/>
      <c r="CY221" s="233"/>
      <c r="CZ221" s="233"/>
      <c r="DA221" s="233"/>
      <c r="DB221" s="233"/>
      <c r="DC221" s="233"/>
      <c r="DD221" s="233"/>
      <c r="DE221" s="233"/>
      <c r="DF221" s="233"/>
      <c r="DG221" s="233"/>
      <c r="DH221" s="233"/>
      <c r="DI221" s="233"/>
      <c r="DJ221" s="233"/>
      <c r="DK221" s="233"/>
      <c r="DL221" s="233"/>
      <c r="DM221" s="233"/>
      <c r="DN221" s="233"/>
      <c r="DO221" s="233"/>
      <c r="DP221" s="233"/>
      <c r="DQ221" s="233"/>
      <c r="DR221" s="233"/>
      <c r="DS221" s="233"/>
      <c r="DT221" s="233"/>
      <c r="DU221" s="233"/>
      <c r="DV221" s="233"/>
      <c r="DW221" s="233"/>
      <c r="DX221" s="233"/>
      <c r="DY221" s="233"/>
      <c r="DZ221" s="233"/>
      <c r="EA221" s="233"/>
      <c r="EB221" s="233"/>
      <c r="EC221" s="233"/>
      <c r="ED221" s="233"/>
      <c r="EE221" s="233"/>
      <c r="EF221" s="233"/>
      <c r="EG221" s="233"/>
      <c r="EH221" s="233"/>
      <c r="EI221" s="233"/>
      <c r="EJ221" s="233"/>
      <c r="EK221" s="233"/>
      <c r="EL221" s="233"/>
      <c r="EM221" s="233"/>
      <c r="EN221" s="233"/>
      <c r="EO221" s="233"/>
      <c r="EP221" s="233"/>
      <c r="EQ221" s="233"/>
      <c r="ER221" s="233"/>
      <c r="ES221" s="233"/>
      <c r="ET221" s="233"/>
      <c r="EU221" s="233"/>
      <c r="EV221" s="233"/>
      <c r="EW221" s="233"/>
      <c r="EX221" s="233"/>
      <c r="EY221" s="233"/>
      <c r="EZ221" s="233"/>
      <c r="FA221" s="233"/>
      <c r="FB221" s="233"/>
      <c r="FC221" s="233"/>
      <c r="FD221" s="233"/>
    </row>
    <row r="222" spans="1:160">
      <c r="A222" s="20" t="s">
        <v>378</v>
      </c>
      <c r="B222" s="14">
        <v>4</v>
      </c>
      <c r="C222" s="14" t="s">
        <v>5883</v>
      </c>
      <c r="D222" s="14">
        <v>1</v>
      </c>
      <c r="E222" s="110" t="s">
        <v>3451</v>
      </c>
      <c r="F222" s="14" t="s">
        <v>3898</v>
      </c>
      <c r="G222" s="44" t="s">
        <v>3550</v>
      </c>
      <c r="H222" s="107" t="s">
        <v>379</v>
      </c>
      <c r="I222" s="44" t="s">
        <v>3900</v>
      </c>
      <c r="J222" s="28" t="s">
        <v>4447</v>
      </c>
      <c r="L222" s="21" t="str">
        <f>IF(CharGenMain!$E$134&gt;0,"1. Spell Matrix"," ")</f>
        <v>1. Spell Matrix</v>
      </c>
      <c r="M222" s="21"/>
      <c r="N222" s="21"/>
      <c r="O222" s="21" t="str">
        <f>IF(CharGenMain!$E$134&gt;5,"6. Enhanced Matrix"," ")</f>
        <v>6. Enhanced Matrix</v>
      </c>
      <c r="P222" s="21"/>
      <c r="Q222" s="21"/>
      <c r="R222" s="21" t="str">
        <f>IF(CharGenMain!$E$134&gt;11,"11. Share Matrix"," ")</f>
        <v xml:space="preserve"> </v>
      </c>
      <c r="S222" s="21"/>
      <c r="T222" s="21"/>
      <c r="U222" s="21" t="s">
        <v>4955</v>
      </c>
      <c r="V222" s="21" t="s">
        <v>5144</v>
      </c>
      <c r="W222" s="233"/>
      <c r="X222" s="233"/>
      <c r="Y222" s="233"/>
      <c r="Z222" s="233"/>
      <c r="AA222" s="233"/>
      <c r="AB222" s="233"/>
      <c r="AC222" s="233"/>
      <c r="AD222" s="233"/>
      <c r="AE222" s="233"/>
      <c r="AF222" s="233"/>
      <c r="AG222" s="233"/>
      <c r="AH222" s="233"/>
      <c r="AI222" s="233"/>
      <c r="AJ222" s="233"/>
      <c r="AK222" s="233"/>
      <c r="AL222" s="233"/>
      <c r="AM222" s="233"/>
      <c r="AN222" s="233"/>
      <c r="AO222" s="233"/>
      <c r="AP222" s="233"/>
      <c r="AQ222" s="233"/>
      <c r="AR222" s="233"/>
      <c r="AS222" s="233"/>
      <c r="AT222" s="233"/>
      <c r="AU222" s="233"/>
      <c r="AV222" s="233"/>
      <c r="AW222" s="233"/>
      <c r="AX222" s="233"/>
      <c r="AY222" s="233"/>
      <c r="AZ222" s="233"/>
      <c r="BA222" s="233"/>
      <c r="BB222" s="233"/>
      <c r="BC222" s="233"/>
      <c r="BD222" s="233"/>
      <c r="BE222" s="233"/>
      <c r="BF222" s="233"/>
      <c r="BG222" s="233"/>
      <c r="BH222" s="233"/>
      <c r="BI222" s="233"/>
      <c r="BJ222" s="233"/>
      <c r="BK222" s="233"/>
      <c r="BL222" s="233"/>
      <c r="BM222" s="233"/>
      <c r="BN222" s="233"/>
      <c r="BO222" s="233"/>
      <c r="BP222" s="233"/>
      <c r="BQ222" s="233"/>
      <c r="BR222" s="233"/>
      <c r="BS222" s="233"/>
      <c r="BT222" s="233"/>
      <c r="BU222" s="233"/>
      <c r="BV222" s="233"/>
      <c r="BW222" s="233"/>
      <c r="BX222" s="233"/>
      <c r="BY222" s="233"/>
      <c r="BZ222" s="233"/>
      <c r="CA222" s="233"/>
      <c r="CB222" s="233"/>
      <c r="CC222" s="233"/>
      <c r="CD222" s="233"/>
      <c r="CE222" s="233"/>
      <c r="CF222" s="233"/>
      <c r="CG222" s="233"/>
      <c r="CH222" s="233"/>
      <c r="CI222" s="233"/>
      <c r="CJ222" s="233"/>
      <c r="CK222" s="233"/>
      <c r="CL222" s="233"/>
      <c r="CM222" s="233"/>
      <c r="CN222" s="233"/>
      <c r="CO222" s="233"/>
      <c r="CP222" s="233"/>
      <c r="CQ222" s="233"/>
      <c r="CR222" s="233"/>
      <c r="CS222" s="233"/>
      <c r="CT222" s="233"/>
      <c r="CU222" s="233"/>
      <c r="CV222" s="233"/>
      <c r="CW222" s="233"/>
      <c r="CX222" s="233"/>
      <c r="CY222" s="233"/>
      <c r="CZ222" s="233"/>
      <c r="DA222" s="233"/>
      <c r="DB222" s="233"/>
      <c r="DC222" s="233"/>
      <c r="DD222" s="233"/>
      <c r="DE222" s="233"/>
      <c r="DF222" s="233"/>
      <c r="DG222" s="233"/>
      <c r="DH222" s="233"/>
      <c r="DI222" s="233"/>
      <c r="DJ222" s="233"/>
      <c r="DK222" s="233"/>
      <c r="DL222" s="233"/>
      <c r="DM222" s="233"/>
      <c r="DN222" s="233"/>
      <c r="DO222" s="233"/>
      <c r="DP222" s="233"/>
      <c r="DQ222" s="233"/>
      <c r="DR222" s="233"/>
      <c r="DS222" s="233"/>
      <c r="DT222" s="233"/>
      <c r="DU222" s="233"/>
      <c r="DV222" s="233"/>
      <c r="DW222" s="233"/>
      <c r="DX222" s="233"/>
      <c r="DY222" s="233"/>
      <c r="DZ222" s="233"/>
      <c r="EA222" s="233"/>
      <c r="EB222" s="233"/>
      <c r="EC222" s="233"/>
      <c r="ED222" s="233"/>
      <c r="EE222" s="233"/>
      <c r="EF222" s="233"/>
      <c r="EG222" s="233"/>
      <c r="EH222" s="233"/>
      <c r="EI222" s="233"/>
      <c r="EJ222" s="233"/>
      <c r="EK222" s="233"/>
      <c r="EL222" s="233"/>
      <c r="EM222" s="233"/>
      <c r="EN222" s="233"/>
      <c r="EO222" s="233"/>
      <c r="EP222" s="233"/>
      <c r="EQ222" s="233"/>
      <c r="ER222" s="233"/>
      <c r="ES222" s="233"/>
      <c r="ET222" s="233"/>
      <c r="EU222" s="233"/>
      <c r="EV222" s="233"/>
      <c r="EW222" s="233"/>
      <c r="EX222" s="233"/>
      <c r="EY222" s="233"/>
      <c r="EZ222" s="233"/>
      <c r="FA222" s="233"/>
      <c r="FB222" s="233"/>
      <c r="FC222" s="233"/>
      <c r="FD222" s="233"/>
    </row>
    <row r="223" spans="1:160">
      <c r="A223" s="20" t="s">
        <v>3523</v>
      </c>
      <c r="B223" s="14">
        <v>4</v>
      </c>
      <c r="C223" s="14" t="s">
        <v>3412</v>
      </c>
      <c r="D223" s="14">
        <v>2</v>
      </c>
      <c r="E223" s="110" t="s">
        <v>3381</v>
      </c>
      <c r="F223" s="14" t="s">
        <v>3914</v>
      </c>
      <c r="G223" s="44" t="s">
        <v>3753</v>
      </c>
      <c r="H223" s="44" t="s">
        <v>3728</v>
      </c>
      <c r="I223" s="44">
        <v>2</v>
      </c>
      <c r="J223" s="28" t="s">
        <v>4447</v>
      </c>
      <c r="L223" s="21" t="str">
        <f>IF(CharGenMain!$E$134&gt;0,"2. Spell Matrix"," ")</f>
        <v>2. Spell Matrix</v>
      </c>
      <c r="M223" s="21"/>
      <c r="N223" s="21"/>
      <c r="O223" s="21" t="str">
        <f>IF(CharGenMain!$E$134&gt;7,"7. Enhanced Matrix"," ")</f>
        <v>7. Enhanced Matrix</v>
      </c>
      <c r="P223" s="21"/>
      <c r="Q223" s="21"/>
      <c r="R223" s="21" t="str">
        <f>IF(CharGenMain!$E$134&gt;12,"12. Share Matrix"," ")</f>
        <v xml:space="preserve"> </v>
      </c>
      <c r="S223" s="21"/>
      <c r="T223" s="21"/>
      <c r="U223" s="21" t="s">
        <v>5421</v>
      </c>
      <c r="V223" s="21" t="s">
        <v>5147</v>
      </c>
      <c r="W223" s="233"/>
      <c r="X223" s="233"/>
      <c r="Y223" s="233"/>
      <c r="Z223" s="233"/>
      <c r="AA223" s="233"/>
      <c r="AB223" s="233"/>
      <c r="AC223" s="233"/>
      <c r="AD223" s="233"/>
      <c r="AE223" s="233"/>
      <c r="AF223" s="233"/>
      <c r="AG223" s="233"/>
      <c r="AH223" s="233"/>
      <c r="AI223" s="233"/>
      <c r="AJ223" s="233"/>
      <c r="AK223" s="233"/>
      <c r="AL223" s="233"/>
      <c r="AM223" s="233"/>
      <c r="AN223" s="233"/>
      <c r="AO223" s="233"/>
      <c r="AP223" s="233"/>
      <c r="AQ223" s="233"/>
      <c r="AR223" s="233"/>
      <c r="AS223" s="233"/>
      <c r="AT223" s="233"/>
      <c r="AU223" s="233"/>
      <c r="AV223" s="233"/>
      <c r="AW223" s="233"/>
      <c r="AX223" s="233"/>
      <c r="AY223" s="233"/>
      <c r="AZ223" s="233"/>
      <c r="BA223" s="233"/>
      <c r="BB223" s="233"/>
      <c r="BC223" s="233"/>
      <c r="BD223" s="233"/>
      <c r="BE223" s="233"/>
      <c r="BF223" s="233"/>
      <c r="BG223" s="233"/>
      <c r="BH223" s="233"/>
      <c r="BI223" s="233"/>
      <c r="BJ223" s="233"/>
      <c r="BK223" s="233"/>
      <c r="BL223" s="233"/>
      <c r="BM223" s="233"/>
      <c r="BN223" s="233"/>
      <c r="BO223" s="233"/>
      <c r="BP223" s="233"/>
      <c r="BQ223" s="233"/>
      <c r="BR223" s="233"/>
      <c r="BS223" s="233"/>
      <c r="BT223" s="233"/>
      <c r="BU223" s="233"/>
      <c r="BV223" s="233"/>
      <c r="BW223" s="233"/>
      <c r="BX223" s="233"/>
      <c r="BY223" s="233"/>
      <c r="BZ223" s="233"/>
      <c r="CA223" s="233"/>
      <c r="CB223" s="233"/>
      <c r="CC223" s="233"/>
      <c r="CD223" s="233"/>
      <c r="CE223" s="233"/>
      <c r="CF223" s="233"/>
      <c r="CG223" s="233"/>
      <c r="CH223" s="233"/>
      <c r="CI223" s="233"/>
      <c r="CJ223" s="233"/>
      <c r="CK223" s="233"/>
      <c r="CL223" s="233"/>
      <c r="CM223" s="233"/>
      <c r="CN223" s="233"/>
      <c r="CO223" s="233"/>
      <c r="CP223" s="233"/>
      <c r="CQ223" s="233"/>
      <c r="CR223" s="233"/>
      <c r="CS223" s="233"/>
      <c r="CT223" s="233"/>
      <c r="CU223" s="233"/>
      <c r="CV223" s="233"/>
      <c r="CW223" s="233"/>
      <c r="CX223" s="233"/>
      <c r="CY223" s="233"/>
      <c r="CZ223" s="233"/>
      <c r="DA223" s="233"/>
      <c r="DB223" s="233"/>
      <c r="DC223" s="233"/>
      <c r="DD223" s="233"/>
      <c r="DE223" s="233"/>
      <c r="DF223" s="233"/>
      <c r="DG223" s="233"/>
      <c r="DH223" s="233"/>
      <c r="DI223" s="233"/>
      <c r="DJ223" s="233"/>
      <c r="DK223" s="233"/>
      <c r="DL223" s="233"/>
      <c r="DM223" s="233"/>
      <c r="DN223" s="233"/>
      <c r="DO223" s="233"/>
      <c r="DP223" s="233"/>
      <c r="DQ223" s="233"/>
      <c r="DR223" s="233"/>
      <c r="DS223" s="233"/>
      <c r="DT223" s="233"/>
      <c r="DU223" s="233"/>
      <c r="DV223" s="233"/>
      <c r="DW223" s="233"/>
      <c r="DX223" s="233"/>
      <c r="DY223" s="233"/>
      <c r="DZ223" s="233"/>
      <c r="EA223" s="233"/>
      <c r="EB223" s="233"/>
      <c r="EC223" s="233"/>
      <c r="ED223" s="233"/>
      <c r="EE223" s="233"/>
      <c r="EF223" s="233"/>
      <c r="EG223" s="233"/>
      <c r="EH223" s="233"/>
      <c r="EI223" s="233"/>
      <c r="EJ223" s="233"/>
      <c r="EK223" s="233"/>
      <c r="EL223" s="233"/>
      <c r="EM223" s="233"/>
      <c r="EN223" s="233"/>
      <c r="EO223" s="233"/>
      <c r="EP223" s="233"/>
      <c r="EQ223" s="233"/>
      <c r="ER223" s="233"/>
      <c r="ES223" s="233"/>
      <c r="ET223" s="233"/>
      <c r="EU223" s="233"/>
      <c r="EV223" s="233"/>
      <c r="EW223" s="233"/>
      <c r="EX223" s="233"/>
      <c r="EY223" s="233"/>
      <c r="EZ223" s="233"/>
      <c r="FA223" s="233"/>
      <c r="FB223" s="233"/>
      <c r="FC223" s="233"/>
      <c r="FD223" s="233"/>
    </row>
    <row r="224" spans="1:160">
      <c r="A224" s="20" t="s">
        <v>3688</v>
      </c>
      <c r="B224" s="14">
        <v>4</v>
      </c>
      <c r="C224" s="14" t="s">
        <v>3689</v>
      </c>
      <c r="D224" s="14">
        <v>1</v>
      </c>
      <c r="E224" s="110" t="s">
        <v>3686</v>
      </c>
      <c r="F224" s="14" t="s">
        <v>3947</v>
      </c>
      <c r="G224" s="44" t="s">
        <v>3759</v>
      </c>
      <c r="H224" s="44" t="s">
        <v>4212</v>
      </c>
      <c r="I224" s="44" t="s">
        <v>3900</v>
      </c>
      <c r="J224" s="28" t="s">
        <v>4369</v>
      </c>
      <c r="L224" s="21" t="str">
        <f>IF(CharGenMain!$E$134&gt;1,"3. Spell Matrix"," ")</f>
        <v>3. Spell Matrix</v>
      </c>
      <c r="M224" s="21"/>
      <c r="N224" s="21"/>
      <c r="O224" s="21" t="str">
        <f>IF(CharGenMain!$E$134&gt;8,"8. Armored Matrix"," ")</f>
        <v>8. Armored Matrix</v>
      </c>
      <c r="P224" s="21"/>
      <c r="Q224" s="21"/>
      <c r="R224" s="21" t="str">
        <f>IF(CharGenMain!$E$134&gt;13,"13. Share Matrix"," ")</f>
        <v xml:space="preserve"> </v>
      </c>
      <c r="S224" s="21"/>
      <c r="T224" s="21"/>
      <c r="U224" s="21" t="s">
        <v>4970</v>
      </c>
      <c r="V224" s="21" t="s">
        <v>4971</v>
      </c>
      <c r="W224" s="233"/>
      <c r="X224" s="233"/>
      <c r="Y224" s="233"/>
      <c r="Z224" s="233"/>
      <c r="AA224" s="233"/>
      <c r="AB224" s="233"/>
      <c r="AC224" s="233"/>
      <c r="AD224" s="233"/>
      <c r="AE224" s="233"/>
      <c r="AF224" s="233"/>
      <c r="AG224" s="233"/>
      <c r="AH224" s="233"/>
      <c r="AI224" s="233"/>
      <c r="AJ224" s="233"/>
      <c r="AK224" s="233"/>
      <c r="AL224" s="233"/>
      <c r="AM224" s="233"/>
      <c r="AN224" s="233"/>
      <c r="AO224" s="233"/>
      <c r="AP224" s="233"/>
      <c r="AQ224" s="233"/>
      <c r="AR224" s="233"/>
      <c r="AS224" s="233"/>
      <c r="AT224" s="233"/>
      <c r="AU224" s="233"/>
      <c r="AV224" s="233"/>
      <c r="AW224" s="233"/>
      <c r="AX224" s="233"/>
      <c r="AY224" s="233"/>
      <c r="AZ224" s="233"/>
      <c r="BA224" s="233"/>
      <c r="BB224" s="233"/>
      <c r="BC224" s="233"/>
      <c r="BD224" s="233"/>
      <c r="BE224" s="233"/>
      <c r="BF224" s="233"/>
      <c r="BG224" s="233"/>
      <c r="BH224" s="233"/>
      <c r="BI224" s="233"/>
      <c r="BJ224" s="233"/>
      <c r="BK224" s="233"/>
      <c r="BL224" s="233"/>
      <c r="BM224" s="233"/>
      <c r="BN224" s="233"/>
      <c r="BO224" s="233"/>
      <c r="BP224" s="233"/>
      <c r="BQ224" s="233"/>
      <c r="BR224" s="233"/>
      <c r="BS224" s="233"/>
      <c r="BT224" s="233"/>
      <c r="BU224" s="233"/>
      <c r="BV224" s="233"/>
      <c r="BW224" s="233"/>
      <c r="BX224" s="233"/>
      <c r="BY224" s="233"/>
      <c r="BZ224" s="233"/>
      <c r="CA224" s="233"/>
      <c r="CB224" s="233"/>
      <c r="CC224" s="233"/>
      <c r="CD224" s="233"/>
      <c r="CE224" s="233"/>
      <c r="CF224" s="233"/>
      <c r="CG224" s="233"/>
      <c r="CH224" s="233"/>
      <c r="CI224" s="233"/>
      <c r="CJ224" s="233"/>
      <c r="CK224" s="233"/>
      <c r="CL224" s="233"/>
      <c r="CM224" s="233"/>
      <c r="CN224" s="233"/>
      <c r="CO224" s="233"/>
      <c r="CP224" s="233"/>
      <c r="CQ224" s="233"/>
      <c r="CR224" s="233"/>
      <c r="CS224" s="233"/>
      <c r="CT224" s="233"/>
      <c r="CU224" s="233"/>
      <c r="CV224" s="233"/>
      <c r="CW224" s="233"/>
      <c r="CX224" s="233"/>
      <c r="CY224" s="233"/>
      <c r="CZ224" s="233"/>
      <c r="DA224" s="233"/>
      <c r="DB224" s="233"/>
      <c r="DC224" s="233"/>
      <c r="DD224" s="233"/>
      <c r="DE224" s="233"/>
      <c r="DF224" s="233"/>
      <c r="DG224" s="233"/>
      <c r="DH224" s="233"/>
      <c r="DI224" s="233"/>
      <c r="DJ224" s="233"/>
      <c r="DK224" s="233"/>
      <c r="DL224" s="233"/>
      <c r="DM224" s="233"/>
      <c r="DN224" s="233"/>
      <c r="DO224" s="233"/>
      <c r="DP224" s="233"/>
      <c r="DQ224" s="233"/>
      <c r="DR224" s="233"/>
      <c r="DS224" s="233"/>
      <c r="DT224" s="233"/>
      <c r="DU224" s="233"/>
      <c r="DV224" s="233"/>
      <c r="DW224" s="233"/>
      <c r="DX224" s="233"/>
      <c r="DY224" s="233"/>
      <c r="DZ224" s="233"/>
      <c r="EA224" s="233"/>
      <c r="EB224" s="233"/>
      <c r="EC224" s="233"/>
      <c r="ED224" s="233"/>
      <c r="EE224" s="233"/>
      <c r="EF224" s="233"/>
      <c r="EG224" s="233"/>
      <c r="EH224" s="233"/>
      <c r="EI224" s="233"/>
      <c r="EJ224" s="233"/>
      <c r="EK224" s="233"/>
      <c r="EL224" s="233"/>
      <c r="EM224" s="233"/>
      <c r="EN224" s="233"/>
      <c r="EO224" s="233"/>
      <c r="EP224" s="233"/>
      <c r="EQ224" s="233"/>
      <c r="ER224" s="233"/>
      <c r="ES224" s="233"/>
      <c r="ET224" s="233"/>
      <c r="EU224" s="233"/>
      <c r="EV224" s="233"/>
      <c r="EW224" s="233"/>
      <c r="EX224" s="233"/>
      <c r="EY224" s="233"/>
      <c r="EZ224" s="233"/>
      <c r="FA224" s="233"/>
      <c r="FB224" s="233"/>
      <c r="FC224" s="233"/>
      <c r="FD224" s="233"/>
    </row>
    <row r="225" spans="1:160">
      <c r="A225" s="20" t="s">
        <v>3690</v>
      </c>
      <c r="B225" s="14">
        <v>4</v>
      </c>
      <c r="C225" s="14" t="s">
        <v>3210</v>
      </c>
      <c r="D225" s="14">
        <v>3</v>
      </c>
      <c r="E225" s="110" t="s">
        <v>3667</v>
      </c>
      <c r="F225" s="14" t="s">
        <v>3884</v>
      </c>
      <c r="G225" s="44" t="s">
        <v>3538</v>
      </c>
      <c r="H225" s="44" t="s">
        <v>3728</v>
      </c>
      <c r="I225" s="44">
        <v>2</v>
      </c>
      <c r="J225" s="28" t="s">
        <v>3890</v>
      </c>
      <c r="L225" s="21" t="str">
        <f>IF(CharGenMain!$E$134&gt;3,"4. Spell Matrix"," ")</f>
        <v>4. Spell Matrix</v>
      </c>
      <c r="M225" s="21"/>
      <c r="N225" s="21"/>
      <c r="O225" s="21" t="str">
        <f>IF(CharGenMain!$E$134&gt;9,"9. Armored Matrix"," ")</f>
        <v>9. Armored Matrix</v>
      </c>
      <c r="P225" s="21"/>
      <c r="Q225" s="21"/>
      <c r="R225" s="21" t="str">
        <f>IF(CharGenMain!$E$134&gt;14,"14. Share Matrix"," ")</f>
        <v xml:space="preserve"> </v>
      </c>
      <c r="S225" s="21"/>
      <c r="T225" s="21"/>
      <c r="U225" s="21" t="s">
        <v>4973</v>
      </c>
      <c r="V225" s="21" t="s">
        <v>4974</v>
      </c>
      <c r="W225" s="233"/>
      <c r="X225" s="233"/>
      <c r="Y225" s="233"/>
      <c r="Z225" s="233"/>
      <c r="AA225" s="233"/>
      <c r="AB225" s="233"/>
      <c r="AC225" s="233"/>
      <c r="AD225" s="233"/>
      <c r="AE225" s="233"/>
      <c r="AF225" s="233"/>
      <c r="AG225" s="233"/>
      <c r="AH225" s="233"/>
      <c r="AI225" s="233"/>
      <c r="AJ225" s="233"/>
      <c r="AK225" s="233"/>
      <c r="AL225" s="233"/>
      <c r="AM225" s="233"/>
      <c r="AN225" s="233"/>
      <c r="AO225" s="233"/>
      <c r="AP225" s="233"/>
      <c r="AQ225" s="233"/>
      <c r="AR225" s="233"/>
      <c r="AS225" s="233"/>
      <c r="AT225" s="233"/>
      <c r="AU225" s="233"/>
      <c r="AV225" s="233"/>
      <c r="AW225" s="233"/>
      <c r="AX225" s="233"/>
      <c r="AY225" s="233"/>
      <c r="AZ225" s="233"/>
      <c r="BA225" s="233"/>
      <c r="BB225" s="233"/>
      <c r="BC225" s="233"/>
      <c r="BD225" s="233"/>
      <c r="BE225" s="233"/>
      <c r="BF225" s="233"/>
      <c r="BG225" s="233"/>
      <c r="BH225" s="233"/>
      <c r="BI225" s="233"/>
      <c r="BJ225" s="233"/>
      <c r="BK225" s="233"/>
      <c r="BL225" s="233"/>
      <c r="BM225" s="233"/>
      <c r="BN225" s="233"/>
      <c r="BO225" s="233"/>
      <c r="BP225" s="233"/>
      <c r="BQ225" s="233"/>
      <c r="BR225" s="233"/>
      <c r="BS225" s="233"/>
      <c r="BT225" s="233"/>
      <c r="BU225" s="233"/>
      <c r="BV225" s="233"/>
      <c r="BW225" s="233"/>
      <c r="BX225" s="233"/>
      <c r="BY225" s="233"/>
      <c r="BZ225" s="233"/>
      <c r="CA225" s="233"/>
      <c r="CB225" s="233"/>
      <c r="CC225" s="233"/>
      <c r="CD225" s="233"/>
      <c r="CE225" s="233"/>
      <c r="CF225" s="233"/>
      <c r="CG225" s="233"/>
      <c r="CH225" s="233"/>
      <c r="CI225" s="233"/>
      <c r="CJ225" s="233"/>
      <c r="CK225" s="233"/>
      <c r="CL225" s="233"/>
      <c r="CM225" s="233"/>
      <c r="CN225" s="233"/>
      <c r="CO225" s="233"/>
      <c r="CP225" s="233"/>
      <c r="CQ225" s="233"/>
      <c r="CR225" s="233"/>
      <c r="CS225" s="233"/>
      <c r="CT225" s="233"/>
      <c r="CU225" s="233"/>
      <c r="CV225" s="233"/>
      <c r="CW225" s="233"/>
      <c r="CX225" s="233"/>
      <c r="CY225" s="233"/>
      <c r="CZ225" s="233"/>
      <c r="DA225" s="233"/>
      <c r="DB225" s="233"/>
      <c r="DC225" s="233"/>
      <c r="DD225" s="233"/>
      <c r="DE225" s="233"/>
      <c r="DF225" s="233"/>
      <c r="DG225" s="233"/>
      <c r="DH225" s="233"/>
      <c r="DI225" s="233"/>
      <c r="DJ225" s="233"/>
      <c r="DK225" s="233"/>
      <c r="DL225" s="233"/>
      <c r="DM225" s="233"/>
      <c r="DN225" s="233"/>
      <c r="DO225" s="233"/>
      <c r="DP225" s="233"/>
      <c r="DQ225" s="233"/>
      <c r="DR225" s="233"/>
      <c r="DS225" s="233"/>
      <c r="DT225" s="233"/>
      <c r="DU225" s="233"/>
      <c r="DV225" s="233"/>
      <c r="DW225" s="233"/>
      <c r="DX225" s="233"/>
      <c r="DY225" s="233"/>
      <c r="DZ225" s="233"/>
      <c r="EA225" s="233"/>
      <c r="EB225" s="233"/>
      <c r="EC225" s="233"/>
      <c r="ED225" s="233"/>
      <c r="EE225" s="233"/>
      <c r="EF225" s="233"/>
      <c r="EG225" s="233"/>
      <c r="EH225" s="233"/>
      <c r="EI225" s="233"/>
      <c r="EJ225" s="233"/>
      <c r="EK225" s="233"/>
      <c r="EL225" s="233"/>
      <c r="EM225" s="233"/>
      <c r="EN225" s="233"/>
      <c r="EO225" s="233"/>
      <c r="EP225" s="233"/>
      <c r="EQ225" s="233"/>
      <c r="ER225" s="233"/>
      <c r="ES225" s="233"/>
      <c r="ET225" s="233"/>
      <c r="EU225" s="233"/>
      <c r="EV225" s="233"/>
      <c r="EW225" s="233"/>
      <c r="EX225" s="233"/>
      <c r="EY225" s="233"/>
      <c r="EZ225" s="233"/>
      <c r="FA225" s="233"/>
      <c r="FB225" s="233"/>
      <c r="FC225" s="233"/>
      <c r="FD225" s="233"/>
    </row>
    <row r="226" spans="1:160">
      <c r="A226" s="20" t="s">
        <v>3360</v>
      </c>
      <c r="B226" s="14">
        <v>4</v>
      </c>
      <c r="C226" s="14" t="s">
        <v>3886</v>
      </c>
      <c r="D226" s="14">
        <v>2</v>
      </c>
      <c r="E226" s="110" t="s">
        <v>3701</v>
      </c>
      <c r="F226" s="14" t="s">
        <v>3854</v>
      </c>
      <c r="G226" s="44" t="s">
        <v>3361</v>
      </c>
      <c r="H226" s="44" t="s">
        <v>3859</v>
      </c>
      <c r="I226" s="44" t="s">
        <v>3900</v>
      </c>
      <c r="J226" s="28" t="s">
        <v>4555</v>
      </c>
      <c r="L226" s="26" t="s">
        <v>5198</v>
      </c>
      <c r="M226" s="21"/>
      <c r="N226" s="21"/>
      <c r="O226" s="21" t="str">
        <f>IF(CharGenMain!$D$2&gt;4,"5. Spell Matrix"," ")</f>
        <v>5. Spell Matrix</v>
      </c>
      <c r="P226" s="21"/>
      <c r="Q226" s="21"/>
      <c r="R226" s="21" t="str">
        <f>IF(CharGenMain!$D$2&gt;10,"10. Armored Matrix"," ")</f>
        <v xml:space="preserve"> </v>
      </c>
      <c r="S226" s="21"/>
      <c r="T226" s="21"/>
      <c r="U226" s="26" t="s">
        <v>5139</v>
      </c>
      <c r="V226" s="21"/>
      <c r="W226" s="233"/>
      <c r="X226" s="233"/>
      <c r="Y226" s="233"/>
      <c r="Z226" s="233"/>
      <c r="AA226" s="233"/>
      <c r="AB226" s="233"/>
      <c r="AC226" s="233"/>
      <c r="AD226" s="233"/>
      <c r="AE226" s="233"/>
      <c r="AF226" s="233"/>
      <c r="AG226" s="233"/>
      <c r="AH226" s="233"/>
      <c r="AI226" s="233"/>
      <c r="AJ226" s="233"/>
      <c r="AK226" s="233"/>
      <c r="AL226" s="233"/>
      <c r="AM226" s="233"/>
      <c r="AN226" s="233"/>
      <c r="AO226" s="233"/>
      <c r="AP226" s="233"/>
      <c r="AQ226" s="233"/>
      <c r="AR226" s="233"/>
      <c r="AS226" s="233"/>
      <c r="AT226" s="233"/>
      <c r="AU226" s="233"/>
      <c r="AV226" s="233"/>
      <c r="AW226" s="233"/>
      <c r="AX226" s="233"/>
      <c r="AY226" s="233"/>
      <c r="AZ226" s="233"/>
      <c r="BA226" s="233"/>
      <c r="BB226" s="233"/>
      <c r="BC226" s="233"/>
      <c r="BD226" s="233"/>
      <c r="BE226" s="233"/>
      <c r="BF226" s="233"/>
      <c r="BG226" s="233"/>
      <c r="BH226" s="233"/>
      <c r="BI226" s="233"/>
      <c r="BJ226" s="233"/>
      <c r="BK226" s="233"/>
      <c r="BL226" s="233"/>
      <c r="BM226" s="233"/>
      <c r="BN226" s="233"/>
      <c r="BO226" s="233"/>
      <c r="BP226" s="233"/>
      <c r="BQ226" s="233"/>
      <c r="BR226" s="233"/>
      <c r="BS226" s="233"/>
      <c r="BT226" s="233"/>
      <c r="BU226" s="233"/>
      <c r="BV226" s="233"/>
      <c r="BW226" s="233"/>
      <c r="BX226" s="233"/>
      <c r="BY226" s="233"/>
      <c r="BZ226" s="233"/>
      <c r="CA226" s="233"/>
      <c r="CB226" s="233"/>
      <c r="CC226" s="233"/>
      <c r="CD226" s="233"/>
      <c r="CE226" s="233"/>
      <c r="CF226" s="233"/>
      <c r="CG226" s="233"/>
      <c r="CH226" s="233"/>
      <c r="CI226" s="233"/>
      <c r="CJ226" s="233"/>
      <c r="CK226" s="233"/>
      <c r="CL226" s="233"/>
      <c r="CM226" s="233"/>
      <c r="CN226" s="233"/>
      <c r="CO226" s="233"/>
      <c r="CP226" s="233"/>
      <c r="CQ226" s="233"/>
      <c r="CR226" s="233"/>
      <c r="CS226" s="233"/>
      <c r="CT226" s="233"/>
      <c r="CU226" s="233"/>
      <c r="CV226" s="233"/>
      <c r="CW226" s="233"/>
      <c r="CX226" s="233"/>
      <c r="CY226" s="233"/>
      <c r="CZ226" s="233"/>
      <c r="DA226" s="233"/>
      <c r="DB226" s="233"/>
      <c r="DC226" s="233"/>
      <c r="DD226" s="233"/>
      <c r="DE226" s="233"/>
      <c r="DF226" s="233"/>
      <c r="DG226" s="233"/>
      <c r="DH226" s="233"/>
      <c r="DI226" s="233"/>
      <c r="DJ226" s="233"/>
      <c r="DK226" s="233"/>
      <c r="DL226" s="233"/>
      <c r="DM226" s="233"/>
      <c r="DN226" s="233"/>
      <c r="DO226" s="233"/>
      <c r="DP226" s="233"/>
      <c r="DQ226" s="233"/>
      <c r="DR226" s="233"/>
      <c r="DS226" s="233"/>
      <c r="DT226" s="233"/>
      <c r="DU226" s="233"/>
      <c r="DV226" s="233"/>
      <c r="DW226" s="233"/>
      <c r="DX226" s="233"/>
      <c r="DY226" s="233"/>
      <c r="DZ226" s="233"/>
      <c r="EA226" s="233"/>
      <c r="EB226" s="233"/>
      <c r="EC226" s="233"/>
      <c r="ED226" s="233"/>
      <c r="EE226" s="233"/>
      <c r="EF226" s="233"/>
      <c r="EG226" s="233"/>
      <c r="EH226" s="233"/>
      <c r="EI226" s="233"/>
      <c r="EJ226" s="233"/>
      <c r="EK226" s="233"/>
      <c r="EL226" s="233"/>
      <c r="EM226" s="233"/>
      <c r="EN226" s="233"/>
      <c r="EO226" s="233"/>
      <c r="EP226" s="233"/>
      <c r="EQ226" s="233"/>
      <c r="ER226" s="233"/>
      <c r="ES226" s="233"/>
      <c r="ET226" s="233"/>
      <c r="EU226" s="233"/>
      <c r="EV226" s="233"/>
      <c r="EW226" s="233"/>
      <c r="EX226" s="233"/>
      <c r="EY226" s="233"/>
      <c r="EZ226" s="233"/>
      <c r="FA226" s="233"/>
      <c r="FB226" s="233"/>
      <c r="FC226" s="233"/>
      <c r="FD226" s="233"/>
    </row>
    <row r="227" spans="1:160">
      <c r="A227" s="20" t="s">
        <v>3702</v>
      </c>
      <c r="B227" s="14">
        <v>4</v>
      </c>
      <c r="C227" s="14" t="s">
        <v>3689</v>
      </c>
      <c r="D227" s="14">
        <v>1</v>
      </c>
      <c r="E227" s="110" t="s">
        <v>3526</v>
      </c>
      <c r="F227" s="14" t="s">
        <v>3898</v>
      </c>
      <c r="G227" s="44" t="s">
        <v>3736</v>
      </c>
      <c r="H227" s="107" t="s">
        <v>3522</v>
      </c>
      <c r="I227" s="44" t="s">
        <v>3900</v>
      </c>
      <c r="J227" s="28" t="s">
        <v>4369</v>
      </c>
      <c r="L227" s="21" t="str">
        <f>IF(CharGenMain!$D$2&gt;0,"1. Spell Matrix"," ")</f>
        <v>1. Spell Matrix</v>
      </c>
      <c r="M227" s="21"/>
      <c r="N227" s="21"/>
      <c r="O227" s="21" t="str">
        <f>IF(CharGenMain!$D$2&gt;5,"6. Enhanced Matrix"," ")</f>
        <v>6. Enhanced Matrix</v>
      </c>
      <c r="P227" s="21"/>
      <c r="Q227" s="21"/>
      <c r="R227" s="21" t="str">
        <f>IF(CharGenMain!$D$2&gt;11,"11. Share Matrix"," ")</f>
        <v xml:space="preserve"> </v>
      </c>
      <c r="S227" s="21"/>
      <c r="T227" s="21"/>
      <c r="U227" s="21" t="s">
        <v>4955</v>
      </c>
      <c r="V227" s="21" t="s">
        <v>5144</v>
      </c>
      <c r="W227" s="233"/>
      <c r="X227" s="233"/>
      <c r="Y227" s="233"/>
      <c r="Z227" s="233"/>
      <c r="AA227" s="233"/>
      <c r="AB227" s="233"/>
      <c r="AC227" s="233"/>
      <c r="AD227" s="233"/>
      <c r="AE227" s="233"/>
      <c r="AF227" s="233"/>
      <c r="AG227" s="233"/>
      <c r="AH227" s="233"/>
      <c r="AI227" s="233"/>
      <c r="AJ227" s="233"/>
      <c r="AK227" s="233"/>
      <c r="AL227" s="233"/>
      <c r="AM227" s="233"/>
      <c r="AN227" s="233"/>
      <c r="AO227" s="233"/>
      <c r="AP227" s="233"/>
      <c r="AQ227" s="233"/>
      <c r="AR227" s="233"/>
      <c r="AS227" s="233"/>
      <c r="AT227" s="233"/>
      <c r="AU227" s="233"/>
      <c r="AV227" s="233"/>
      <c r="AW227" s="233"/>
      <c r="AX227" s="233"/>
      <c r="AY227" s="233"/>
      <c r="AZ227" s="233"/>
      <c r="BA227" s="233"/>
      <c r="BB227" s="233"/>
      <c r="BC227" s="233"/>
      <c r="BD227" s="233"/>
      <c r="BE227" s="233"/>
      <c r="BF227" s="233"/>
      <c r="BG227" s="233"/>
      <c r="BH227" s="233"/>
      <c r="BI227" s="233"/>
      <c r="BJ227" s="233"/>
      <c r="BK227" s="233"/>
      <c r="BL227" s="233"/>
      <c r="BM227" s="233"/>
      <c r="BN227" s="233"/>
      <c r="BO227" s="233"/>
      <c r="BP227" s="233"/>
      <c r="BQ227" s="233"/>
      <c r="BR227" s="233"/>
      <c r="BS227" s="233"/>
      <c r="BT227" s="233"/>
      <c r="BU227" s="233"/>
      <c r="BV227" s="233"/>
      <c r="BW227" s="233"/>
      <c r="BX227" s="233"/>
      <c r="BY227" s="233"/>
      <c r="BZ227" s="233"/>
      <c r="CA227" s="233"/>
      <c r="CB227" s="233"/>
      <c r="CC227" s="233"/>
      <c r="CD227" s="233"/>
      <c r="CE227" s="233"/>
      <c r="CF227" s="233"/>
      <c r="CG227" s="233"/>
      <c r="CH227" s="233"/>
      <c r="CI227" s="233"/>
      <c r="CJ227" s="233"/>
      <c r="CK227" s="233"/>
      <c r="CL227" s="233"/>
      <c r="CM227" s="233"/>
      <c r="CN227" s="233"/>
      <c r="CO227" s="233"/>
      <c r="CP227" s="233"/>
      <c r="CQ227" s="233"/>
      <c r="CR227" s="233"/>
      <c r="CS227" s="233"/>
      <c r="CT227" s="233"/>
      <c r="CU227" s="233"/>
      <c r="CV227" s="233"/>
      <c r="CW227" s="233"/>
      <c r="CX227" s="233"/>
      <c r="CY227" s="233"/>
      <c r="CZ227" s="233"/>
      <c r="DA227" s="233"/>
      <c r="DB227" s="233"/>
      <c r="DC227" s="233"/>
      <c r="DD227" s="233"/>
      <c r="DE227" s="233"/>
      <c r="DF227" s="233"/>
      <c r="DG227" s="233"/>
      <c r="DH227" s="233"/>
      <c r="DI227" s="233"/>
      <c r="DJ227" s="233"/>
      <c r="DK227" s="233"/>
      <c r="DL227" s="233"/>
      <c r="DM227" s="233"/>
      <c r="DN227" s="233"/>
      <c r="DO227" s="233"/>
      <c r="DP227" s="233"/>
      <c r="DQ227" s="233"/>
      <c r="DR227" s="233"/>
      <c r="DS227" s="233"/>
      <c r="DT227" s="233"/>
      <c r="DU227" s="233"/>
      <c r="DV227" s="233"/>
      <c r="DW227" s="233"/>
      <c r="DX227" s="233"/>
      <c r="DY227" s="233"/>
      <c r="DZ227" s="233"/>
      <c r="EA227" s="233"/>
      <c r="EB227" s="233"/>
      <c r="EC227" s="233"/>
      <c r="ED227" s="233"/>
      <c r="EE227" s="233"/>
      <c r="EF227" s="233"/>
      <c r="EG227" s="233"/>
      <c r="EH227" s="233"/>
      <c r="EI227" s="233"/>
      <c r="EJ227" s="233"/>
      <c r="EK227" s="233"/>
      <c r="EL227" s="233"/>
      <c r="EM227" s="233"/>
      <c r="EN227" s="233"/>
      <c r="EO227" s="233"/>
      <c r="EP227" s="233"/>
      <c r="EQ227" s="233"/>
      <c r="ER227" s="233"/>
      <c r="ES227" s="233"/>
      <c r="ET227" s="233"/>
      <c r="EU227" s="233"/>
      <c r="EV227" s="233"/>
      <c r="EW227" s="233"/>
      <c r="EX227" s="233"/>
      <c r="EY227" s="233"/>
      <c r="EZ227" s="233"/>
      <c r="FA227" s="233"/>
      <c r="FB227" s="233"/>
      <c r="FC227" s="233"/>
      <c r="FD227" s="233"/>
    </row>
    <row r="228" spans="1:160">
      <c r="A228" s="20" t="s">
        <v>3700</v>
      </c>
      <c r="B228" s="14">
        <v>4</v>
      </c>
      <c r="C228" s="14" t="s">
        <v>3685</v>
      </c>
      <c r="D228" s="14">
        <v>2</v>
      </c>
      <c r="E228" s="110" t="s">
        <v>3701</v>
      </c>
      <c r="F228" s="14" t="s">
        <v>4000</v>
      </c>
      <c r="G228" s="44" t="s">
        <v>3759</v>
      </c>
      <c r="H228" s="44" t="s">
        <v>3859</v>
      </c>
      <c r="I228" s="44" t="s">
        <v>3916</v>
      </c>
      <c r="J228" s="28" t="s">
        <v>5232</v>
      </c>
      <c r="L228" s="21" t="str">
        <f>IF(CharGenMain!$D$2&gt;0,"2. Spell Matrix"," ")</f>
        <v>2. Spell Matrix</v>
      </c>
      <c r="M228" s="21"/>
      <c r="N228" s="21"/>
      <c r="O228" s="21" t="str">
        <f>IF(CharGenMain!$D$2&gt;7,"7. Enhanced Matrix"," ")</f>
        <v>7. Enhanced Matrix</v>
      </c>
      <c r="P228" s="21"/>
      <c r="Q228" s="21"/>
      <c r="R228" s="21" t="str">
        <f>IF(CharGenMain!$D$2&gt;12,"12. Share Matrix"," ")</f>
        <v xml:space="preserve"> </v>
      </c>
      <c r="S228" s="21"/>
      <c r="T228" s="21"/>
      <c r="U228" s="21" t="s">
        <v>5421</v>
      </c>
      <c r="V228" s="21" t="s">
        <v>5147</v>
      </c>
      <c r="W228" s="233"/>
      <c r="X228" s="233"/>
      <c r="Y228" s="233"/>
      <c r="Z228" s="233"/>
      <c r="AA228" s="233"/>
      <c r="AB228" s="233"/>
      <c r="AC228" s="233"/>
      <c r="AD228" s="233"/>
      <c r="AE228" s="233"/>
      <c r="AF228" s="233"/>
      <c r="AG228" s="233"/>
      <c r="AH228" s="233"/>
      <c r="AI228" s="233"/>
      <c r="AJ228" s="233"/>
      <c r="AK228" s="233"/>
      <c r="AL228" s="233"/>
      <c r="AM228" s="233"/>
      <c r="AN228" s="233"/>
      <c r="AO228" s="233"/>
      <c r="AP228" s="233"/>
      <c r="AQ228" s="233"/>
      <c r="AR228" s="233"/>
      <c r="AS228" s="233"/>
      <c r="AT228" s="233"/>
      <c r="AU228" s="233"/>
      <c r="AV228" s="233"/>
      <c r="AW228" s="233"/>
      <c r="AX228" s="233"/>
      <c r="AY228" s="233"/>
      <c r="AZ228" s="233"/>
      <c r="BA228" s="233"/>
      <c r="BB228" s="233"/>
      <c r="BC228" s="233"/>
      <c r="BD228" s="233"/>
      <c r="BE228" s="233"/>
      <c r="BF228" s="233"/>
      <c r="BG228" s="233"/>
      <c r="BH228" s="233"/>
      <c r="BI228" s="233"/>
      <c r="BJ228" s="233"/>
      <c r="BK228" s="233"/>
      <c r="BL228" s="233"/>
      <c r="BM228" s="233"/>
      <c r="BN228" s="233"/>
      <c r="BO228" s="233"/>
      <c r="BP228" s="233"/>
      <c r="BQ228" s="233"/>
      <c r="BR228" s="233"/>
      <c r="BS228" s="233"/>
      <c r="BT228" s="233"/>
      <c r="BU228" s="233"/>
      <c r="BV228" s="233"/>
      <c r="BW228" s="233"/>
      <c r="BX228" s="233"/>
      <c r="BY228" s="233"/>
      <c r="BZ228" s="233"/>
      <c r="CA228" s="233"/>
      <c r="CB228" s="233"/>
      <c r="CC228" s="233"/>
      <c r="CD228" s="233"/>
      <c r="CE228" s="233"/>
      <c r="CF228" s="233"/>
      <c r="CG228" s="233"/>
      <c r="CH228" s="233"/>
      <c r="CI228" s="233"/>
      <c r="CJ228" s="233"/>
      <c r="CK228" s="233"/>
      <c r="CL228" s="233"/>
      <c r="CM228" s="233"/>
      <c r="CN228" s="233"/>
      <c r="CO228" s="233"/>
      <c r="CP228" s="233"/>
      <c r="CQ228" s="233"/>
      <c r="CR228" s="233"/>
      <c r="CS228" s="233"/>
      <c r="CT228" s="233"/>
      <c r="CU228" s="233"/>
      <c r="CV228" s="233"/>
      <c r="CW228" s="233"/>
      <c r="CX228" s="233"/>
      <c r="CY228" s="233"/>
      <c r="CZ228" s="233"/>
      <c r="DA228" s="233"/>
      <c r="DB228" s="233"/>
      <c r="DC228" s="233"/>
      <c r="DD228" s="233"/>
      <c r="DE228" s="233"/>
      <c r="DF228" s="233"/>
      <c r="DG228" s="233"/>
      <c r="DH228" s="233"/>
      <c r="DI228" s="233"/>
      <c r="DJ228" s="233"/>
      <c r="DK228" s="233"/>
      <c r="DL228" s="233"/>
      <c r="DM228" s="233"/>
      <c r="DN228" s="233"/>
      <c r="DO228" s="233"/>
      <c r="DP228" s="233"/>
      <c r="DQ228" s="233"/>
      <c r="DR228" s="233"/>
      <c r="DS228" s="233"/>
      <c r="DT228" s="233"/>
      <c r="DU228" s="233"/>
      <c r="DV228" s="233"/>
      <c r="DW228" s="233"/>
      <c r="DX228" s="233"/>
      <c r="DY228" s="233"/>
      <c r="DZ228" s="233"/>
      <c r="EA228" s="233"/>
      <c r="EB228" s="233"/>
      <c r="EC228" s="233"/>
      <c r="ED228" s="233"/>
      <c r="EE228" s="233"/>
      <c r="EF228" s="233"/>
      <c r="EG228" s="233"/>
      <c r="EH228" s="233"/>
      <c r="EI228" s="233"/>
      <c r="EJ228" s="233"/>
      <c r="EK228" s="233"/>
      <c r="EL228" s="233"/>
      <c r="EM228" s="233"/>
      <c r="EN228" s="233"/>
      <c r="EO228" s="233"/>
      <c r="EP228" s="233"/>
      <c r="EQ228" s="233"/>
      <c r="ER228" s="233"/>
      <c r="ES228" s="233"/>
      <c r="ET228" s="233"/>
      <c r="EU228" s="233"/>
      <c r="EV228" s="233"/>
      <c r="EW228" s="233"/>
      <c r="EX228" s="233"/>
      <c r="EY228" s="233"/>
      <c r="EZ228" s="233"/>
      <c r="FA228" s="233"/>
      <c r="FB228" s="233"/>
      <c r="FC228" s="233"/>
      <c r="FD228" s="233"/>
    </row>
    <row r="229" spans="1:160">
      <c r="A229" s="20" t="s">
        <v>3186</v>
      </c>
      <c r="B229" s="14">
        <v>4</v>
      </c>
      <c r="C229" s="14" t="s">
        <v>3187</v>
      </c>
      <c r="D229" s="14">
        <v>2</v>
      </c>
      <c r="E229" s="110" t="s">
        <v>3381</v>
      </c>
      <c r="F229" s="14" t="s">
        <v>3548</v>
      </c>
      <c r="G229" s="44" t="s">
        <v>3651</v>
      </c>
      <c r="H229" s="44" t="s">
        <v>3188</v>
      </c>
      <c r="I229" s="44">
        <v>8</v>
      </c>
      <c r="J229" s="28" t="s">
        <v>4447</v>
      </c>
      <c r="L229" s="21" t="str">
        <f>IF(CharGenMain!$D$2&gt;1,"3. Spell Matrix"," ")</f>
        <v>3. Spell Matrix</v>
      </c>
      <c r="M229" s="21"/>
      <c r="N229" s="21"/>
      <c r="O229" s="21" t="str">
        <f>IF(CharGenMain!$D$2&gt;8,"8. Armored Matrix"," ")</f>
        <v>8. Armored Matrix</v>
      </c>
      <c r="P229" s="21"/>
      <c r="Q229" s="21"/>
      <c r="R229" s="21" t="str">
        <f>IF(CharGenMain!$D$2&gt;13,"13. Share Matrix"," ")</f>
        <v xml:space="preserve"> </v>
      </c>
      <c r="S229" s="21"/>
      <c r="T229" s="21"/>
      <c r="U229" s="21" t="s">
        <v>4970</v>
      </c>
      <c r="V229" s="21" t="s">
        <v>4971</v>
      </c>
      <c r="W229" s="233"/>
      <c r="X229" s="233"/>
      <c r="Y229" s="233"/>
      <c r="Z229" s="233"/>
      <c r="AA229" s="233"/>
      <c r="AB229" s="233"/>
      <c r="AC229" s="233"/>
      <c r="AD229" s="233"/>
      <c r="AE229" s="233"/>
      <c r="AF229" s="233"/>
      <c r="AG229" s="233"/>
      <c r="AH229" s="233"/>
      <c r="AI229" s="233"/>
      <c r="AJ229" s="233"/>
      <c r="AK229" s="233"/>
      <c r="AL229" s="233"/>
      <c r="AM229" s="233"/>
      <c r="AN229" s="233"/>
      <c r="AO229" s="233"/>
      <c r="AP229" s="233"/>
      <c r="AQ229" s="233"/>
      <c r="AR229" s="233"/>
      <c r="AS229" s="233"/>
      <c r="AT229" s="233"/>
      <c r="AU229" s="233"/>
      <c r="AV229" s="233"/>
      <c r="AW229" s="233"/>
      <c r="AX229" s="233"/>
      <c r="AY229" s="233"/>
      <c r="AZ229" s="233"/>
      <c r="BA229" s="233"/>
      <c r="BB229" s="233"/>
      <c r="BC229" s="233"/>
      <c r="BD229" s="233"/>
      <c r="BE229" s="233"/>
      <c r="BF229" s="233"/>
      <c r="BG229" s="233"/>
      <c r="BH229" s="233"/>
      <c r="BI229" s="233"/>
      <c r="BJ229" s="233"/>
      <c r="BK229" s="233"/>
      <c r="BL229" s="233"/>
      <c r="BM229" s="233"/>
      <c r="BN229" s="233"/>
      <c r="BO229" s="233"/>
      <c r="BP229" s="233"/>
      <c r="BQ229" s="233"/>
      <c r="BR229" s="233"/>
      <c r="BS229" s="233"/>
      <c r="BT229" s="233"/>
      <c r="BU229" s="233"/>
      <c r="BV229" s="233"/>
      <c r="BW229" s="233"/>
      <c r="BX229" s="233"/>
      <c r="BY229" s="233"/>
      <c r="BZ229" s="233"/>
      <c r="CA229" s="233"/>
      <c r="CB229" s="233"/>
      <c r="CC229" s="233"/>
      <c r="CD229" s="233"/>
      <c r="CE229" s="233"/>
      <c r="CF229" s="233"/>
      <c r="CG229" s="233"/>
      <c r="CH229" s="233"/>
      <c r="CI229" s="233"/>
      <c r="CJ229" s="233"/>
      <c r="CK229" s="233"/>
      <c r="CL229" s="233"/>
      <c r="CM229" s="233"/>
      <c r="CN229" s="233"/>
      <c r="CO229" s="233"/>
      <c r="CP229" s="233"/>
      <c r="CQ229" s="233"/>
      <c r="CR229" s="233"/>
      <c r="CS229" s="233"/>
      <c r="CT229" s="233"/>
      <c r="CU229" s="233"/>
      <c r="CV229" s="233"/>
      <c r="CW229" s="233"/>
      <c r="CX229" s="233"/>
      <c r="CY229" s="233"/>
      <c r="CZ229" s="233"/>
      <c r="DA229" s="233"/>
      <c r="DB229" s="233"/>
      <c r="DC229" s="233"/>
      <c r="DD229" s="233"/>
      <c r="DE229" s="233"/>
      <c r="DF229" s="233"/>
      <c r="DG229" s="233"/>
      <c r="DH229" s="233"/>
      <c r="DI229" s="233"/>
      <c r="DJ229" s="233"/>
      <c r="DK229" s="233"/>
      <c r="DL229" s="233"/>
      <c r="DM229" s="233"/>
      <c r="DN229" s="233"/>
      <c r="DO229" s="233"/>
      <c r="DP229" s="233"/>
      <c r="DQ229" s="233"/>
      <c r="DR229" s="233"/>
      <c r="DS229" s="233"/>
      <c r="DT229" s="233"/>
      <c r="DU229" s="233"/>
      <c r="DV229" s="233"/>
      <c r="DW229" s="233"/>
      <c r="DX229" s="233"/>
      <c r="DY229" s="233"/>
      <c r="DZ229" s="233"/>
      <c r="EA229" s="233"/>
      <c r="EB229" s="233"/>
      <c r="EC229" s="233"/>
      <c r="ED229" s="233"/>
      <c r="EE229" s="233"/>
      <c r="EF229" s="233"/>
      <c r="EG229" s="233"/>
      <c r="EH229" s="233"/>
      <c r="EI229" s="233"/>
      <c r="EJ229" s="233"/>
      <c r="EK229" s="233"/>
      <c r="EL229" s="233"/>
      <c r="EM229" s="233"/>
      <c r="EN229" s="233"/>
      <c r="EO229" s="233"/>
      <c r="EP229" s="233"/>
      <c r="EQ229" s="233"/>
      <c r="ER229" s="233"/>
      <c r="ES229" s="233"/>
      <c r="ET229" s="233"/>
      <c r="EU229" s="233"/>
      <c r="EV229" s="233"/>
      <c r="EW229" s="233"/>
      <c r="EX229" s="233"/>
      <c r="EY229" s="233"/>
      <c r="EZ229" s="233"/>
      <c r="FA229" s="233"/>
      <c r="FB229" s="233"/>
      <c r="FC229" s="233"/>
      <c r="FD229" s="233"/>
    </row>
    <row r="230" spans="1:160">
      <c r="A230" s="20" t="s">
        <v>3885</v>
      </c>
      <c r="B230" s="14">
        <v>4</v>
      </c>
      <c r="C230" s="14" t="s">
        <v>3886</v>
      </c>
      <c r="D230" s="14">
        <v>1</v>
      </c>
      <c r="E230" s="14" t="s">
        <v>3887</v>
      </c>
      <c r="F230" s="14" t="s">
        <v>3548</v>
      </c>
      <c r="G230" s="44" t="s">
        <v>3651</v>
      </c>
      <c r="H230" s="107" t="s">
        <v>3699</v>
      </c>
      <c r="I230" s="44" t="s">
        <v>3900</v>
      </c>
      <c r="J230" s="28" t="s">
        <v>4946</v>
      </c>
      <c r="L230" s="21" t="str">
        <f>IF(CharGenMain!$D$2&gt;3,"4. Spell Matrix"," ")</f>
        <v>4. Spell Matrix</v>
      </c>
      <c r="M230" s="21"/>
      <c r="N230" s="21"/>
      <c r="O230" s="21" t="str">
        <f>IF(CharGenMain!$D$2&gt;9,"9. Armored Matrix"," ")</f>
        <v xml:space="preserve"> </v>
      </c>
      <c r="P230" s="21"/>
      <c r="Q230" s="21"/>
      <c r="R230" s="21" t="str">
        <f>IF(CharGenMain!$D$2&gt;14,"14. Share Matrix"," ")</f>
        <v xml:space="preserve"> </v>
      </c>
      <c r="S230" s="21"/>
      <c r="T230" s="21"/>
      <c r="U230" s="21" t="s">
        <v>4973</v>
      </c>
      <c r="V230" s="21" t="s">
        <v>4974</v>
      </c>
      <c r="W230" s="233"/>
      <c r="X230" s="233"/>
      <c r="Y230" s="233"/>
      <c r="Z230" s="233"/>
      <c r="AA230" s="233"/>
      <c r="AB230" s="233"/>
      <c r="AC230" s="233"/>
      <c r="AD230" s="233"/>
      <c r="AE230" s="233"/>
      <c r="AF230" s="233"/>
      <c r="AG230" s="233"/>
      <c r="AH230" s="233"/>
      <c r="AI230" s="233"/>
      <c r="AJ230" s="233"/>
      <c r="AK230" s="233"/>
      <c r="AL230" s="233"/>
      <c r="AM230" s="233"/>
      <c r="AN230" s="233"/>
      <c r="AO230" s="233"/>
      <c r="AP230" s="233"/>
      <c r="AQ230" s="233"/>
      <c r="AR230" s="233"/>
      <c r="AS230" s="233"/>
      <c r="AT230" s="233"/>
      <c r="AU230" s="233"/>
      <c r="AV230" s="233"/>
      <c r="AW230" s="233"/>
      <c r="AX230" s="233"/>
      <c r="AY230" s="233"/>
      <c r="AZ230" s="233"/>
      <c r="BA230" s="233"/>
      <c r="BB230" s="233"/>
      <c r="BC230" s="233"/>
      <c r="BD230" s="233"/>
      <c r="BE230" s="233"/>
      <c r="BF230" s="233"/>
      <c r="BG230" s="233"/>
      <c r="BH230" s="233"/>
      <c r="BI230" s="233"/>
      <c r="BJ230" s="233"/>
      <c r="BK230" s="233"/>
      <c r="BL230" s="233"/>
      <c r="BM230" s="233"/>
      <c r="BN230" s="233"/>
      <c r="BO230" s="233"/>
      <c r="BP230" s="233"/>
      <c r="BQ230" s="233"/>
      <c r="BR230" s="233"/>
      <c r="BS230" s="233"/>
      <c r="BT230" s="233"/>
      <c r="BU230" s="233"/>
      <c r="BV230" s="233"/>
      <c r="BW230" s="233"/>
      <c r="BX230" s="233"/>
      <c r="BY230" s="233"/>
      <c r="BZ230" s="233"/>
      <c r="CA230" s="233"/>
      <c r="CB230" s="233"/>
      <c r="CC230" s="233"/>
      <c r="CD230" s="233"/>
      <c r="CE230" s="233"/>
      <c r="CF230" s="233"/>
      <c r="CG230" s="233"/>
      <c r="CH230" s="233"/>
      <c r="CI230" s="233"/>
      <c r="CJ230" s="233"/>
      <c r="CK230" s="233"/>
      <c r="CL230" s="233"/>
      <c r="CM230" s="233"/>
      <c r="CN230" s="233"/>
      <c r="CO230" s="233"/>
      <c r="CP230" s="233"/>
      <c r="CQ230" s="233"/>
      <c r="CR230" s="233"/>
      <c r="CS230" s="233"/>
      <c r="CT230" s="233"/>
      <c r="CU230" s="233"/>
      <c r="CV230" s="233"/>
      <c r="CW230" s="233"/>
      <c r="CX230" s="233"/>
      <c r="CY230" s="233"/>
      <c r="CZ230" s="233"/>
      <c r="DA230" s="233"/>
      <c r="DB230" s="233"/>
      <c r="DC230" s="233"/>
      <c r="DD230" s="233"/>
      <c r="DE230" s="233"/>
      <c r="DF230" s="233"/>
      <c r="DG230" s="233"/>
      <c r="DH230" s="233"/>
      <c r="DI230" s="233"/>
      <c r="DJ230" s="233"/>
      <c r="DK230" s="233"/>
      <c r="DL230" s="233"/>
      <c r="DM230" s="233"/>
      <c r="DN230" s="233"/>
      <c r="DO230" s="233"/>
      <c r="DP230" s="233"/>
      <c r="DQ230" s="233"/>
      <c r="DR230" s="233"/>
      <c r="DS230" s="233"/>
      <c r="DT230" s="233"/>
      <c r="DU230" s="233"/>
      <c r="DV230" s="233"/>
      <c r="DW230" s="233"/>
      <c r="DX230" s="233"/>
      <c r="DY230" s="233"/>
      <c r="DZ230" s="233"/>
      <c r="EA230" s="233"/>
      <c r="EB230" s="233"/>
      <c r="EC230" s="233"/>
      <c r="ED230" s="233"/>
      <c r="EE230" s="233"/>
      <c r="EF230" s="233"/>
      <c r="EG230" s="233"/>
      <c r="EH230" s="233"/>
      <c r="EI230" s="233"/>
      <c r="EJ230" s="233"/>
      <c r="EK230" s="233"/>
      <c r="EL230" s="233"/>
      <c r="EM230" s="233"/>
      <c r="EN230" s="233"/>
      <c r="EO230" s="233"/>
      <c r="EP230" s="233"/>
      <c r="EQ230" s="233"/>
      <c r="ER230" s="233"/>
      <c r="ES230" s="233"/>
      <c r="ET230" s="233"/>
      <c r="EU230" s="233"/>
      <c r="EV230" s="233"/>
      <c r="EW230" s="233"/>
      <c r="EX230" s="233"/>
      <c r="EY230" s="233"/>
      <c r="EZ230" s="233"/>
      <c r="FA230" s="233"/>
      <c r="FB230" s="233"/>
      <c r="FC230" s="233"/>
      <c r="FD230" s="233"/>
    </row>
    <row r="231" spans="1:160">
      <c r="A231" s="20" t="s">
        <v>3184</v>
      </c>
      <c r="B231" s="14">
        <v>4</v>
      </c>
      <c r="C231" s="14" t="s">
        <v>3462</v>
      </c>
      <c r="D231" s="14">
        <v>3</v>
      </c>
      <c r="E231" s="110" t="s">
        <v>3682</v>
      </c>
      <c r="F231" s="14" t="s">
        <v>3898</v>
      </c>
      <c r="G231" s="44" t="s">
        <v>3321</v>
      </c>
      <c r="H231" s="44" t="s">
        <v>3185</v>
      </c>
      <c r="I231" s="44">
        <v>2</v>
      </c>
      <c r="J231" s="28" t="s">
        <v>4369</v>
      </c>
      <c r="L231" s="233"/>
      <c r="M231" s="233"/>
      <c r="N231" s="233"/>
      <c r="O231" s="233"/>
      <c r="P231" s="233"/>
      <c r="Q231" s="233"/>
      <c r="R231" s="233"/>
      <c r="S231" s="233"/>
      <c r="T231" s="233"/>
      <c r="U231" s="233"/>
      <c r="V231" s="233"/>
      <c r="W231" s="233"/>
      <c r="X231" s="233"/>
      <c r="Y231" s="233"/>
      <c r="Z231" s="233"/>
      <c r="AA231" s="233"/>
      <c r="AB231" s="233"/>
      <c r="AC231" s="233"/>
      <c r="AD231" s="233"/>
      <c r="AE231" s="233"/>
      <c r="AF231" s="233"/>
      <c r="AG231" s="233"/>
      <c r="AH231" s="233"/>
      <c r="AI231" s="233"/>
      <c r="AJ231" s="233"/>
      <c r="AK231" s="233"/>
      <c r="AL231" s="233"/>
      <c r="AM231" s="233"/>
      <c r="AN231" s="233"/>
      <c r="AO231" s="233"/>
      <c r="AP231" s="233"/>
      <c r="AQ231" s="233"/>
      <c r="AR231" s="233"/>
      <c r="AS231" s="233"/>
      <c r="AT231" s="233"/>
      <c r="AU231" s="233"/>
      <c r="AV231" s="233"/>
      <c r="AW231" s="233"/>
      <c r="AX231" s="233"/>
      <c r="AY231" s="233"/>
      <c r="AZ231" s="233"/>
      <c r="BA231" s="233"/>
      <c r="BB231" s="233"/>
      <c r="BC231" s="233"/>
      <c r="BD231" s="233"/>
      <c r="BE231" s="233"/>
      <c r="BF231" s="233"/>
      <c r="BG231" s="233"/>
      <c r="BH231" s="233"/>
      <c r="BI231" s="233"/>
      <c r="BJ231" s="233"/>
      <c r="BK231" s="233"/>
      <c r="BL231" s="233"/>
      <c r="BM231" s="233"/>
      <c r="BN231" s="233"/>
      <c r="BO231" s="233"/>
      <c r="BP231" s="233"/>
      <c r="BQ231" s="233"/>
      <c r="BR231" s="233"/>
      <c r="BS231" s="233"/>
      <c r="BT231" s="233"/>
      <c r="BU231" s="233"/>
      <c r="BV231" s="233"/>
      <c r="BW231" s="233"/>
      <c r="BX231" s="233"/>
      <c r="BY231" s="233"/>
      <c r="BZ231" s="233"/>
      <c r="CA231" s="233"/>
      <c r="CB231" s="233"/>
      <c r="CC231" s="233"/>
      <c r="CD231" s="233"/>
      <c r="CE231" s="233"/>
      <c r="CF231" s="233"/>
      <c r="CG231" s="233"/>
      <c r="CH231" s="233"/>
      <c r="CI231" s="233"/>
      <c r="CJ231" s="233"/>
      <c r="CK231" s="233"/>
      <c r="CL231" s="233"/>
      <c r="CM231" s="233"/>
      <c r="CN231" s="233"/>
      <c r="CO231" s="233"/>
      <c r="CP231" s="233"/>
      <c r="CQ231" s="233"/>
      <c r="CR231" s="233"/>
      <c r="CS231" s="233"/>
      <c r="CT231" s="233"/>
      <c r="CU231" s="233"/>
      <c r="CV231" s="233"/>
      <c r="CW231" s="233"/>
      <c r="CX231" s="233"/>
      <c r="CY231" s="233"/>
      <c r="CZ231" s="233"/>
      <c r="DA231" s="233"/>
      <c r="DB231" s="233"/>
      <c r="DC231" s="233"/>
      <c r="DD231" s="233"/>
      <c r="DE231" s="233"/>
      <c r="DF231" s="233"/>
      <c r="DG231" s="233"/>
      <c r="DH231" s="233"/>
      <c r="DI231" s="233"/>
      <c r="DJ231" s="233"/>
      <c r="DK231" s="233"/>
      <c r="DL231" s="233"/>
      <c r="DM231" s="233"/>
      <c r="DN231" s="233"/>
      <c r="DO231" s="233"/>
      <c r="DP231" s="233"/>
      <c r="DQ231" s="233"/>
      <c r="DR231" s="233"/>
      <c r="DS231" s="233"/>
      <c r="DT231" s="233"/>
      <c r="DU231" s="233"/>
      <c r="DV231" s="233"/>
      <c r="DW231" s="233"/>
      <c r="DX231" s="233"/>
      <c r="DY231" s="233"/>
      <c r="DZ231" s="233"/>
      <c r="EA231" s="233"/>
      <c r="EB231" s="233"/>
      <c r="EC231" s="233"/>
      <c r="ED231" s="233"/>
      <c r="EE231" s="233"/>
      <c r="EF231" s="233"/>
      <c r="EG231" s="233"/>
      <c r="EH231" s="233"/>
      <c r="EI231" s="233"/>
      <c r="EJ231" s="233"/>
      <c r="EK231" s="233"/>
      <c r="EL231" s="233"/>
      <c r="EM231" s="233"/>
      <c r="EN231" s="233"/>
      <c r="EO231" s="233"/>
      <c r="EP231" s="233"/>
      <c r="EQ231" s="233"/>
      <c r="ER231" s="233"/>
      <c r="ES231" s="233"/>
      <c r="ET231" s="233"/>
      <c r="EU231" s="233"/>
      <c r="EV231" s="233"/>
      <c r="EW231" s="233"/>
      <c r="EX231" s="233"/>
      <c r="EY231" s="233"/>
      <c r="EZ231" s="233"/>
      <c r="FA231" s="233"/>
      <c r="FB231" s="233"/>
      <c r="FC231" s="233"/>
      <c r="FD231" s="233"/>
    </row>
    <row r="232" spans="1:160">
      <c r="A232" s="20" t="s">
        <v>3372</v>
      </c>
      <c r="B232" s="14">
        <v>4</v>
      </c>
      <c r="C232" s="14" t="s">
        <v>3462</v>
      </c>
      <c r="D232" s="14">
        <v>1</v>
      </c>
      <c r="E232" s="110" t="s">
        <v>3682</v>
      </c>
      <c r="F232" s="14" t="s">
        <v>4000</v>
      </c>
      <c r="G232" s="44" t="s">
        <v>3906</v>
      </c>
      <c r="H232" s="44" t="s">
        <v>3915</v>
      </c>
      <c r="I232" s="44" t="s">
        <v>3790</v>
      </c>
      <c r="J232" s="28" t="s">
        <v>4369</v>
      </c>
      <c r="L232" s="233"/>
      <c r="M232" s="233"/>
      <c r="N232" s="233"/>
      <c r="O232" s="233"/>
      <c r="P232" s="233"/>
      <c r="Q232" s="233"/>
      <c r="R232" s="233"/>
      <c r="S232" s="233"/>
      <c r="T232" s="233"/>
      <c r="U232" s="233"/>
      <c r="V232" s="233"/>
      <c r="W232" s="233"/>
      <c r="X232" s="233"/>
      <c r="Y232" s="233"/>
      <c r="Z232" s="233"/>
      <c r="AA232" s="233"/>
      <c r="AB232" s="233"/>
      <c r="AC232" s="233"/>
      <c r="AD232" s="233"/>
      <c r="AE232" s="233"/>
      <c r="AF232" s="233"/>
      <c r="AG232" s="233"/>
      <c r="AH232" s="233"/>
      <c r="AI232" s="233"/>
      <c r="AJ232" s="233"/>
      <c r="AK232" s="233"/>
      <c r="AL232" s="233"/>
      <c r="AM232" s="233"/>
      <c r="AN232" s="233"/>
      <c r="AO232" s="233"/>
      <c r="AP232" s="233"/>
      <c r="AQ232" s="233"/>
      <c r="AR232" s="233"/>
      <c r="AS232" s="233"/>
      <c r="AT232" s="233"/>
      <c r="AU232" s="233"/>
      <c r="AV232" s="233"/>
      <c r="AW232" s="233"/>
      <c r="AX232" s="233"/>
      <c r="AY232" s="233"/>
      <c r="AZ232" s="233"/>
      <c r="BA232" s="233"/>
      <c r="BB232" s="233"/>
      <c r="BC232" s="233"/>
      <c r="BD232" s="233"/>
      <c r="BE232" s="233"/>
      <c r="BF232" s="233"/>
      <c r="BG232" s="233"/>
      <c r="BH232" s="233"/>
      <c r="BI232" s="233"/>
      <c r="BJ232" s="233"/>
      <c r="BK232" s="233"/>
      <c r="BL232" s="233"/>
      <c r="BM232" s="233"/>
      <c r="BN232" s="233"/>
      <c r="BO232" s="233"/>
      <c r="BP232" s="233"/>
      <c r="BQ232" s="233"/>
      <c r="BR232" s="233"/>
      <c r="BS232" s="233"/>
      <c r="BT232" s="233"/>
      <c r="BU232" s="233"/>
      <c r="BV232" s="233"/>
      <c r="BW232" s="233"/>
      <c r="BX232" s="233"/>
      <c r="BY232" s="233"/>
      <c r="BZ232" s="233"/>
      <c r="CA232" s="233"/>
      <c r="CB232" s="233"/>
      <c r="CC232" s="233"/>
      <c r="CD232" s="233"/>
      <c r="CE232" s="233"/>
      <c r="CF232" s="233"/>
      <c r="CG232" s="233"/>
      <c r="CH232" s="233"/>
      <c r="CI232" s="233"/>
      <c r="CJ232" s="233"/>
      <c r="CK232" s="233"/>
      <c r="CL232" s="233"/>
      <c r="CM232" s="233"/>
      <c r="CN232" s="233"/>
      <c r="CO232" s="233"/>
      <c r="CP232" s="233"/>
      <c r="CQ232" s="233"/>
      <c r="CR232" s="233"/>
      <c r="CS232" s="233"/>
      <c r="CT232" s="233"/>
      <c r="CU232" s="233"/>
      <c r="CV232" s="233"/>
      <c r="CW232" s="233"/>
      <c r="CX232" s="233"/>
      <c r="CY232" s="233"/>
      <c r="CZ232" s="233"/>
      <c r="DA232" s="233"/>
      <c r="DB232" s="233"/>
      <c r="DC232" s="233"/>
      <c r="DD232" s="233"/>
      <c r="DE232" s="233"/>
      <c r="DF232" s="233"/>
      <c r="DG232" s="233"/>
      <c r="DH232" s="233"/>
      <c r="DI232" s="233"/>
      <c r="DJ232" s="233"/>
      <c r="DK232" s="233"/>
      <c r="DL232" s="233"/>
      <c r="DM232" s="233"/>
      <c r="DN232" s="233"/>
      <c r="DO232" s="233"/>
      <c r="DP232" s="233"/>
      <c r="DQ232" s="233"/>
      <c r="DR232" s="233"/>
      <c r="DS232" s="233"/>
      <c r="DT232" s="233"/>
      <c r="DU232" s="233"/>
      <c r="DV232" s="233"/>
      <c r="DW232" s="233"/>
      <c r="DX232" s="233"/>
      <c r="DY232" s="233"/>
      <c r="DZ232" s="233"/>
      <c r="EA232" s="233"/>
      <c r="EB232" s="233"/>
      <c r="EC232" s="233"/>
      <c r="ED232" s="233"/>
      <c r="EE232" s="233"/>
      <c r="EF232" s="233"/>
      <c r="EG232" s="233"/>
      <c r="EH232" s="233"/>
      <c r="EI232" s="233"/>
      <c r="EJ232" s="233"/>
      <c r="EK232" s="233"/>
      <c r="EL232" s="233"/>
      <c r="EM232" s="233"/>
      <c r="EN232" s="233"/>
      <c r="EO232" s="233"/>
      <c r="EP232" s="233"/>
      <c r="EQ232" s="233"/>
      <c r="ER232" s="233"/>
      <c r="ES232" s="233"/>
      <c r="ET232" s="233"/>
      <c r="EU232" s="233"/>
      <c r="EV232" s="233"/>
      <c r="EW232" s="233"/>
      <c r="EX232" s="233"/>
      <c r="EY232" s="233"/>
      <c r="EZ232" s="233"/>
      <c r="FA232" s="233"/>
      <c r="FB232" s="233"/>
      <c r="FC232" s="233"/>
      <c r="FD232" s="233"/>
    </row>
    <row r="233" spans="1:160">
      <c r="A233" s="20" t="s">
        <v>3023</v>
      </c>
      <c r="B233" s="14">
        <v>4</v>
      </c>
      <c r="C233" s="14" t="s">
        <v>3689</v>
      </c>
      <c r="D233" s="14">
        <v>2</v>
      </c>
      <c r="E233" s="110" t="s">
        <v>3526</v>
      </c>
      <c r="F233" s="14" t="s">
        <v>3898</v>
      </c>
      <c r="G233" s="44" t="s">
        <v>3651</v>
      </c>
      <c r="H233" s="44" t="s">
        <v>3024</v>
      </c>
      <c r="I233" s="44" t="s">
        <v>3900</v>
      </c>
      <c r="J233" s="28" t="s">
        <v>4369</v>
      </c>
      <c r="L233" s="233"/>
      <c r="M233" s="233"/>
      <c r="N233" s="233"/>
      <c r="O233" s="233"/>
      <c r="P233" s="233"/>
      <c r="Q233" s="233"/>
      <c r="R233" s="233"/>
      <c r="S233" s="233"/>
      <c r="T233" s="233"/>
      <c r="U233" s="233"/>
      <c r="V233" s="233"/>
      <c r="W233" s="233"/>
      <c r="X233" s="233"/>
      <c r="Y233" s="233"/>
      <c r="Z233" s="233"/>
      <c r="AA233" s="233"/>
      <c r="AB233" s="233"/>
      <c r="AC233" s="233"/>
      <c r="AD233" s="233"/>
      <c r="AE233" s="233"/>
      <c r="AF233" s="233"/>
      <c r="AG233" s="233"/>
      <c r="AH233" s="233"/>
      <c r="AI233" s="233"/>
      <c r="AJ233" s="233"/>
      <c r="AK233" s="233"/>
      <c r="AL233" s="233"/>
      <c r="AM233" s="233"/>
      <c r="AN233" s="233"/>
      <c r="AO233" s="233"/>
      <c r="AP233" s="233"/>
      <c r="AQ233" s="233"/>
      <c r="AR233" s="233"/>
      <c r="AS233" s="233"/>
      <c r="AT233" s="233"/>
      <c r="AU233" s="233"/>
      <c r="AV233" s="233"/>
      <c r="AW233" s="233"/>
      <c r="AX233" s="233"/>
      <c r="AY233" s="233"/>
      <c r="AZ233" s="233"/>
      <c r="BA233" s="233"/>
      <c r="BB233" s="233"/>
      <c r="BC233" s="233"/>
      <c r="BD233" s="233"/>
      <c r="BE233" s="233"/>
      <c r="BF233" s="233"/>
      <c r="BG233" s="233"/>
      <c r="BH233" s="233"/>
      <c r="BI233" s="233"/>
      <c r="BJ233" s="233"/>
      <c r="BK233" s="233"/>
      <c r="BL233" s="233"/>
      <c r="BM233" s="233"/>
      <c r="BN233" s="233"/>
      <c r="BO233" s="233"/>
      <c r="BP233" s="233"/>
      <c r="BQ233" s="233"/>
      <c r="BR233" s="233"/>
      <c r="BS233" s="233"/>
      <c r="BT233" s="233"/>
      <c r="BU233" s="233"/>
      <c r="BV233" s="233"/>
      <c r="BW233" s="233"/>
      <c r="BX233" s="233"/>
      <c r="BY233" s="233"/>
      <c r="BZ233" s="233"/>
      <c r="CA233" s="233"/>
      <c r="CB233" s="233"/>
      <c r="CC233" s="233"/>
      <c r="CD233" s="233"/>
      <c r="CE233" s="233"/>
      <c r="CF233" s="233"/>
      <c r="CG233" s="233"/>
      <c r="CH233" s="233"/>
      <c r="CI233" s="233"/>
      <c r="CJ233" s="233"/>
      <c r="CK233" s="233"/>
      <c r="CL233" s="233"/>
      <c r="CM233" s="233"/>
      <c r="CN233" s="233"/>
      <c r="CO233" s="233"/>
      <c r="CP233" s="233"/>
      <c r="CQ233" s="233"/>
      <c r="CR233" s="233"/>
      <c r="CS233" s="233"/>
      <c r="CT233" s="233"/>
      <c r="CU233" s="233"/>
      <c r="CV233" s="233"/>
      <c r="CW233" s="233"/>
      <c r="CX233" s="233"/>
      <c r="CY233" s="233"/>
      <c r="CZ233" s="233"/>
      <c r="DA233" s="233"/>
      <c r="DB233" s="233"/>
      <c r="DC233" s="233"/>
      <c r="DD233" s="233"/>
      <c r="DE233" s="233"/>
      <c r="DF233" s="233"/>
      <c r="DG233" s="233"/>
      <c r="DH233" s="233"/>
      <c r="DI233" s="233"/>
      <c r="DJ233" s="233"/>
      <c r="DK233" s="233"/>
      <c r="DL233" s="233"/>
      <c r="DM233" s="233"/>
      <c r="DN233" s="233"/>
      <c r="DO233" s="233"/>
      <c r="DP233" s="233"/>
      <c r="DQ233" s="233"/>
      <c r="DR233" s="233"/>
      <c r="DS233" s="233"/>
      <c r="DT233" s="233"/>
      <c r="DU233" s="233"/>
      <c r="DV233" s="233"/>
      <c r="DW233" s="233"/>
      <c r="DX233" s="233"/>
      <c r="DY233" s="233"/>
      <c r="DZ233" s="233"/>
      <c r="EA233" s="233"/>
      <c r="EB233" s="233"/>
      <c r="EC233" s="233"/>
      <c r="ED233" s="233"/>
      <c r="EE233" s="233"/>
      <c r="EF233" s="233"/>
      <c r="EG233" s="233"/>
      <c r="EH233" s="233"/>
      <c r="EI233" s="233"/>
      <c r="EJ233" s="233"/>
      <c r="EK233" s="233"/>
      <c r="EL233" s="233"/>
      <c r="EM233" s="233"/>
      <c r="EN233" s="233"/>
      <c r="EO233" s="233"/>
      <c r="EP233" s="233"/>
      <c r="EQ233" s="233"/>
      <c r="ER233" s="233"/>
      <c r="ES233" s="233"/>
      <c r="ET233" s="233"/>
      <c r="EU233" s="233"/>
      <c r="EV233" s="233"/>
      <c r="EW233" s="233"/>
      <c r="EX233" s="233"/>
      <c r="EY233" s="233"/>
      <c r="EZ233" s="233"/>
      <c r="FA233" s="233"/>
      <c r="FB233" s="233"/>
      <c r="FC233" s="233"/>
      <c r="FD233" s="233"/>
    </row>
    <row r="234" spans="1:160">
      <c r="A234" s="20" t="s">
        <v>3375</v>
      </c>
      <c r="B234" s="14">
        <v>4</v>
      </c>
      <c r="C234" s="14" t="s">
        <v>3929</v>
      </c>
      <c r="D234" s="14">
        <v>2</v>
      </c>
      <c r="E234" s="110" t="s">
        <v>3233</v>
      </c>
      <c r="F234" s="14" t="s">
        <v>3376</v>
      </c>
      <c r="G234" s="111" t="s">
        <v>3651</v>
      </c>
      <c r="H234" s="111" t="s">
        <v>3377</v>
      </c>
      <c r="I234" s="44">
        <v>6</v>
      </c>
      <c r="J234" s="28" t="s">
        <v>4555</v>
      </c>
      <c r="L234" s="233"/>
      <c r="M234" s="233"/>
      <c r="N234" s="233"/>
      <c r="O234" s="233"/>
      <c r="P234" s="233"/>
      <c r="Q234" s="233"/>
      <c r="R234" s="233"/>
      <c r="S234" s="233"/>
      <c r="T234" s="233"/>
      <c r="U234" s="233"/>
      <c r="V234" s="233"/>
      <c r="W234" s="233"/>
      <c r="X234" s="233"/>
      <c r="Y234" s="233"/>
      <c r="Z234" s="233"/>
      <c r="AA234" s="233"/>
      <c r="AB234" s="233"/>
      <c r="AC234" s="233"/>
      <c r="AD234" s="233"/>
      <c r="AE234" s="233"/>
      <c r="AF234" s="233"/>
      <c r="AG234" s="233"/>
      <c r="AH234" s="233"/>
      <c r="AI234" s="233"/>
      <c r="AJ234" s="233"/>
      <c r="AK234" s="233"/>
      <c r="AL234" s="233"/>
      <c r="AM234" s="233"/>
      <c r="AN234" s="233"/>
      <c r="AO234" s="233"/>
      <c r="AP234" s="233"/>
      <c r="AQ234" s="233"/>
      <c r="AR234" s="233"/>
      <c r="AS234" s="233"/>
      <c r="AT234" s="233"/>
      <c r="AU234" s="233"/>
      <c r="AV234" s="233"/>
      <c r="AW234" s="233"/>
      <c r="AX234" s="233"/>
      <c r="AY234" s="233"/>
      <c r="AZ234" s="233"/>
      <c r="BA234" s="233"/>
      <c r="BB234" s="233"/>
      <c r="BC234" s="233"/>
      <c r="BD234" s="233"/>
      <c r="BE234" s="233"/>
      <c r="BF234" s="233"/>
      <c r="BG234" s="233"/>
      <c r="BH234" s="233"/>
      <c r="BI234" s="233"/>
      <c r="BJ234" s="233"/>
      <c r="BK234" s="233"/>
      <c r="BL234" s="233"/>
      <c r="BM234" s="233"/>
      <c r="BN234" s="233"/>
      <c r="BO234" s="233"/>
      <c r="BP234" s="233"/>
      <c r="BQ234" s="233"/>
      <c r="BR234" s="233"/>
      <c r="BS234" s="233"/>
      <c r="BT234" s="233"/>
      <c r="BU234" s="233"/>
      <c r="BV234" s="233"/>
      <c r="BW234" s="233"/>
      <c r="BX234" s="233"/>
      <c r="BY234" s="233"/>
      <c r="BZ234" s="233"/>
      <c r="CA234" s="233"/>
      <c r="CB234" s="233"/>
      <c r="CC234" s="233"/>
      <c r="CD234" s="233"/>
      <c r="CE234" s="233"/>
      <c r="CF234" s="233"/>
      <c r="CG234" s="233"/>
      <c r="CH234" s="233"/>
      <c r="CI234" s="233"/>
      <c r="CJ234" s="233"/>
      <c r="CK234" s="233"/>
      <c r="CL234" s="233"/>
      <c r="CM234" s="233"/>
      <c r="CN234" s="233"/>
      <c r="CO234" s="233"/>
      <c r="CP234" s="233"/>
      <c r="CQ234" s="233"/>
      <c r="CR234" s="233"/>
      <c r="CS234" s="233"/>
      <c r="CT234" s="233"/>
      <c r="CU234" s="233"/>
      <c r="CV234" s="233"/>
      <c r="CW234" s="233"/>
      <c r="CX234" s="233"/>
      <c r="CY234" s="233"/>
      <c r="CZ234" s="233"/>
      <c r="DA234" s="233"/>
      <c r="DB234" s="233"/>
      <c r="DC234" s="233"/>
      <c r="DD234" s="233"/>
      <c r="DE234" s="233"/>
      <c r="DF234" s="233"/>
      <c r="DG234" s="233"/>
      <c r="DH234" s="233"/>
      <c r="DI234" s="233"/>
      <c r="DJ234" s="233"/>
      <c r="DK234" s="233"/>
      <c r="DL234" s="233"/>
      <c r="DM234" s="233"/>
      <c r="DN234" s="233"/>
      <c r="DO234" s="233"/>
      <c r="DP234" s="233"/>
      <c r="DQ234" s="233"/>
      <c r="DR234" s="233"/>
      <c r="DS234" s="233"/>
      <c r="DT234" s="233"/>
      <c r="DU234" s="233"/>
      <c r="DV234" s="233"/>
      <c r="DW234" s="233"/>
      <c r="DX234" s="233"/>
      <c r="DY234" s="233"/>
      <c r="DZ234" s="233"/>
      <c r="EA234" s="233"/>
      <c r="EB234" s="233"/>
      <c r="EC234" s="233"/>
      <c r="ED234" s="233"/>
      <c r="EE234" s="233"/>
      <c r="EF234" s="233"/>
      <c r="EG234" s="233"/>
      <c r="EH234" s="233"/>
      <c r="EI234" s="233"/>
      <c r="EJ234" s="233"/>
      <c r="EK234" s="233"/>
      <c r="EL234" s="233"/>
      <c r="EM234" s="233"/>
      <c r="EN234" s="233"/>
      <c r="EO234" s="233"/>
      <c r="EP234" s="233"/>
      <c r="EQ234" s="233"/>
      <c r="ER234" s="233"/>
      <c r="ES234" s="233"/>
      <c r="ET234" s="233"/>
      <c r="EU234" s="233"/>
      <c r="EV234" s="233"/>
      <c r="EW234" s="233"/>
      <c r="EX234" s="233"/>
      <c r="EY234" s="233"/>
      <c r="EZ234" s="233"/>
      <c r="FA234" s="233"/>
      <c r="FB234" s="233"/>
      <c r="FC234" s="233"/>
      <c r="FD234" s="233"/>
    </row>
    <row r="235" spans="1:160">
      <c r="A235" s="20" t="s">
        <v>3373</v>
      </c>
      <c r="B235" s="14">
        <v>4</v>
      </c>
      <c r="C235" s="14" t="s">
        <v>3187</v>
      </c>
      <c r="D235" s="14">
        <v>1</v>
      </c>
      <c r="E235" s="110" t="s">
        <v>3526</v>
      </c>
      <c r="F235" s="14" t="s">
        <v>3947</v>
      </c>
      <c r="G235" s="44" t="s">
        <v>3550</v>
      </c>
      <c r="H235" s="44" t="s">
        <v>3374</v>
      </c>
      <c r="I235" s="44" t="s">
        <v>3900</v>
      </c>
      <c r="J235" s="28" t="s">
        <v>4447</v>
      </c>
      <c r="L235" s="233"/>
      <c r="M235" s="233"/>
      <c r="N235" s="233"/>
      <c r="O235" s="233"/>
      <c r="P235" s="233"/>
      <c r="Q235" s="233"/>
      <c r="R235" s="233"/>
      <c r="S235" s="233"/>
      <c r="T235" s="233"/>
      <c r="U235" s="233"/>
      <c r="V235" s="233"/>
      <c r="W235" s="233"/>
      <c r="X235" s="233"/>
      <c r="Y235" s="233"/>
      <c r="Z235" s="233"/>
      <c r="AA235" s="233"/>
      <c r="AB235" s="233"/>
      <c r="AC235" s="233"/>
      <c r="AD235" s="233"/>
      <c r="AE235" s="233"/>
      <c r="AF235" s="233"/>
      <c r="AG235" s="233"/>
      <c r="AH235" s="233"/>
      <c r="AI235" s="233"/>
      <c r="AJ235" s="233"/>
      <c r="AK235" s="233"/>
      <c r="AL235" s="233"/>
      <c r="AM235" s="233"/>
      <c r="AN235" s="233"/>
      <c r="AO235" s="233"/>
      <c r="AP235" s="233"/>
      <c r="AQ235" s="233"/>
      <c r="AR235" s="233"/>
      <c r="AS235" s="233"/>
      <c r="AT235" s="233"/>
      <c r="AU235" s="233"/>
      <c r="AV235" s="233"/>
      <c r="AW235" s="233"/>
      <c r="AX235" s="233"/>
      <c r="AY235" s="233"/>
      <c r="AZ235" s="233"/>
      <c r="BA235" s="233"/>
      <c r="BB235" s="233"/>
      <c r="BC235" s="233"/>
      <c r="BD235" s="233"/>
      <c r="BE235" s="233"/>
      <c r="BF235" s="233"/>
      <c r="BG235" s="233"/>
      <c r="BH235" s="233"/>
      <c r="BI235" s="233"/>
      <c r="BJ235" s="233"/>
      <c r="BK235" s="233"/>
      <c r="BL235" s="233"/>
      <c r="BM235" s="233"/>
      <c r="BN235" s="233"/>
      <c r="BO235" s="233"/>
      <c r="BP235" s="233"/>
      <c r="BQ235" s="233"/>
      <c r="BR235" s="233"/>
      <c r="BS235" s="233"/>
      <c r="BT235" s="233"/>
      <c r="BU235" s="233"/>
      <c r="BV235" s="233"/>
      <c r="BW235" s="233"/>
      <c r="BX235" s="233"/>
      <c r="BY235" s="233"/>
      <c r="BZ235" s="233"/>
      <c r="CA235" s="233"/>
      <c r="CB235" s="233"/>
      <c r="CC235" s="233"/>
      <c r="CD235" s="233"/>
      <c r="CE235" s="233"/>
      <c r="CF235" s="233"/>
      <c r="CG235" s="233"/>
      <c r="CH235" s="233"/>
      <c r="CI235" s="233"/>
      <c r="CJ235" s="233"/>
      <c r="CK235" s="233"/>
      <c r="CL235" s="233"/>
      <c r="CM235" s="233"/>
      <c r="CN235" s="233"/>
      <c r="CO235" s="233"/>
      <c r="CP235" s="233"/>
      <c r="CQ235" s="233"/>
      <c r="CR235" s="233"/>
      <c r="CS235" s="233"/>
      <c r="CT235" s="233"/>
      <c r="CU235" s="233"/>
      <c r="CV235" s="233"/>
      <c r="CW235" s="233"/>
      <c r="CX235" s="233"/>
      <c r="CY235" s="233"/>
      <c r="CZ235" s="233"/>
      <c r="DA235" s="233"/>
      <c r="DB235" s="233"/>
      <c r="DC235" s="233"/>
      <c r="DD235" s="233"/>
      <c r="DE235" s="233"/>
      <c r="DF235" s="233"/>
      <c r="DG235" s="233"/>
      <c r="DH235" s="233"/>
      <c r="DI235" s="233"/>
      <c r="DJ235" s="233"/>
      <c r="DK235" s="233"/>
      <c r="DL235" s="233"/>
      <c r="DM235" s="233"/>
      <c r="DN235" s="233"/>
      <c r="DO235" s="233"/>
      <c r="DP235" s="233"/>
      <c r="DQ235" s="233"/>
      <c r="DR235" s="233"/>
      <c r="DS235" s="233"/>
      <c r="DT235" s="233"/>
      <c r="DU235" s="233"/>
      <c r="DV235" s="233"/>
      <c r="DW235" s="233"/>
      <c r="DX235" s="233"/>
      <c r="DY235" s="233"/>
      <c r="DZ235" s="233"/>
      <c r="EA235" s="233"/>
      <c r="EB235" s="233"/>
      <c r="EC235" s="233"/>
      <c r="ED235" s="233"/>
      <c r="EE235" s="233"/>
      <c r="EF235" s="233"/>
      <c r="EG235" s="233"/>
      <c r="EH235" s="233"/>
      <c r="EI235" s="233"/>
      <c r="EJ235" s="233"/>
      <c r="EK235" s="233"/>
      <c r="EL235" s="233"/>
      <c r="EM235" s="233"/>
      <c r="EN235" s="233"/>
      <c r="EO235" s="233"/>
      <c r="EP235" s="233"/>
      <c r="EQ235" s="233"/>
      <c r="ER235" s="233"/>
      <c r="ES235" s="233"/>
      <c r="ET235" s="233"/>
      <c r="EU235" s="233"/>
      <c r="EV235" s="233"/>
      <c r="EW235" s="233"/>
      <c r="EX235" s="233"/>
      <c r="EY235" s="233"/>
      <c r="EZ235" s="233"/>
      <c r="FA235" s="233"/>
      <c r="FB235" s="233"/>
      <c r="FC235" s="233"/>
      <c r="FD235" s="233"/>
    </row>
    <row r="236" spans="1:160">
      <c r="A236" s="20" t="s">
        <v>3362</v>
      </c>
      <c r="B236" s="14">
        <v>4</v>
      </c>
      <c r="C236" s="5" t="s">
        <v>3929</v>
      </c>
      <c r="D236" s="14">
        <v>2</v>
      </c>
      <c r="E236" s="110" t="s">
        <v>3526</v>
      </c>
      <c r="F236" s="14" t="s">
        <v>3363</v>
      </c>
      <c r="G236" s="44" t="s">
        <v>3550</v>
      </c>
      <c r="H236" s="44" t="s">
        <v>3364</v>
      </c>
      <c r="I236" s="44">
        <v>12</v>
      </c>
      <c r="J236" s="28" t="s">
        <v>4773</v>
      </c>
      <c r="L236" s="233"/>
      <c r="M236" s="233"/>
      <c r="N236" s="233"/>
      <c r="O236" s="233"/>
      <c r="P236" s="233"/>
      <c r="Q236" s="233"/>
      <c r="R236" s="233"/>
      <c r="S236" s="233"/>
      <c r="T236" s="233"/>
      <c r="U236" s="233"/>
      <c r="V236" s="233"/>
      <c r="W236" s="233"/>
      <c r="X236" s="233"/>
      <c r="Y236" s="233"/>
      <c r="Z236" s="233"/>
      <c r="AA236" s="233"/>
      <c r="AB236" s="233"/>
      <c r="AC236" s="233"/>
      <c r="AD236" s="233"/>
      <c r="AE236" s="233"/>
      <c r="AF236" s="233"/>
      <c r="AG236" s="233"/>
      <c r="AH236" s="233"/>
      <c r="AI236" s="233"/>
      <c r="AJ236" s="233"/>
      <c r="AK236" s="233"/>
      <c r="AL236" s="233"/>
      <c r="AM236" s="233"/>
      <c r="AN236" s="233"/>
      <c r="AO236" s="233"/>
      <c r="AP236" s="233"/>
      <c r="AQ236" s="233"/>
      <c r="AR236" s="233"/>
      <c r="AS236" s="233"/>
      <c r="AT236" s="233"/>
      <c r="AU236" s="233"/>
      <c r="AV236" s="233"/>
      <c r="AW236" s="233"/>
      <c r="AX236" s="233"/>
      <c r="AY236" s="233"/>
      <c r="AZ236" s="233"/>
      <c r="BA236" s="233"/>
      <c r="BB236" s="233"/>
      <c r="BC236" s="233"/>
      <c r="BD236" s="233"/>
      <c r="BE236" s="233"/>
      <c r="BF236" s="233"/>
      <c r="BG236" s="233"/>
      <c r="BH236" s="233"/>
      <c r="BI236" s="233"/>
      <c r="BJ236" s="233"/>
      <c r="BK236" s="233"/>
      <c r="BL236" s="233"/>
      <c r="BM236" s="233"/>
      <c r="BN236" s="233"/>
      <c r="BO236" s="233"/>
      <c r="BP236" s="233"/>
      <c r="BQ236" s="233"/>
      <c r="BR236" s="233"/>
      <c r="BS236" s="233"/>
      <c r="BT236" s="233"/>
      <c r="BU236" s="233"/>
      <c r="BV236" s="233"/>
      <c r="BW236" s="233"/>
      <c r="BX236" s="233"/>
      <c r="BY236" s="233"/>
      <c r="BZ236" s="233"/>
      <c r="CA236" s="233"/>
      <c r="CB236" s="233"/>
      <c r="CC236" s="233"/>
      <c r="CD236" s="233"/>
      <c r="CE236" s="233"/>
      <c r="CF236" s="233"/>
      <c r="CG236" s="233"/>
      <c r="CH236" s="233"/>
      <c r="CI236" s="233"/>
      <c r="CJ236" s="233"/>
      <c r="CK236" s="233"/>
      <c r="CL236" s="233"/>
      <c r="CM236" s="233"/>
      <c r="CN236" s="233"/>
      <c r="CO236" s="233"/>
      <c r="CP236" s="233"/>
      <c r="CQ236" s="233"/>
      <c r="CR236" s="233"/>
      <c r="CS236" s="233"/>
      <c r="CT236" s="233"/>
      <c r="CU236" s="233"/>
      <c r="CV236" s="233"/>
      <c r="CW236" s="233"/>
      <c r="CX236" s="233"/>
      <c r="CY236" s="233"/>
      <c r="CZ236" s="233"/>
      <c r="DA236" s="233"/>
      <c r="DB236" s="233"/>
      <c r="DC236" s="233"/>
      <c r="DD236" s="233"/>
      <c r="DE236" s="233"/>
      <c r="DF236" s="233"/>
      <c r="DG236" s="233"/>
      <c r="DH236" s="233"/>
      <c r="DI236" s="233"/>
      <c r="DJ236" s="233"/>
      <c r="DK236" s="233"/>
      <c r="DL236" s="233"/>
      <c r="DM236" s="233"/>
      <c r="DN236" s="233"/>
      <c r="DO236" s="233"/>
      <c r="DP236" s="233"/>
      <c r="DQ236" s="233"/>
      <c r="DR236" s="233"/>
      <c r="DS236" s="233"/>
      <c r="DT236" s="233"/>
      <c r="DU236" s="233"/>
      <c r="DV236" s="233"/>
      <c r="DW236" s="233"/>
      <c r="DX236" s="233"/>
      <c r="DY236" s="233"/>
      <c r="DZ236" s="233"/>
      <c r="EA236" s="233"/>
      <c r="EB236" s="233"/>
      <c r="EC236" s="233"/>
      <c r="ED236" s="233"/>
      <c r="EE236" s="233"/>
      <c r="EF236" s="233"/>
      <c r="EG236" s="233"/>
      <c r="EH236" s="233"/>
      <c r="EI236" s="233"/>
      <c r="EJ236" s="233"/>
      <c r="EK236" s="233"/>
      <c r="EL236" s="233"/>
      <c r="EM236" s="233"/>
      <c r="EN236" s="233"/>
      <c r="EO236" s="233"/>
      <c r="EP236" s="233"/>
      <c r="EQ236" s="233"/>
      <c r="ER236" s="233"/>
      <c r="ES236" s="233"/>
      <c r="ET236" s="233"/>
      <c r="EU236" s="233"/>
      <c r="EV236" s="233"/>
      <c r="EW236" s="233"/>
      <c r="EX236" s="233"/>
      <c r="EY236" s="233"/>
      <c r="EZ236" s="233"/>
      <c r="FA236" s="233"/>
      <c r="FB236" s="233"/>
      <c r="FC236" s="233"/>
      <c r="FD236" s="233"/>
    </row>
    <row r="237" spans="1:160">
      <c r="A237" s="20" t="s">
        <v>3189</v>
      </c>
      <c r="B237" s="14">
        <v>4</v>
      </c>
      <c r="C237" s="5" t="s">
        <v>3583</v>
      </c>
      <c r="D237" s="14">
        <v>2</v>
      </c>
      <c r="E237" s="110" t="s">
        <v>3190</v>
      </c>
      <c r="F237" s="14" t="s">
        <v>3416</v>
      </c>
      <c r="G237" s="44" t="s">
        <v>3736</v>
      </c>
      <c r="H237" s="44" t="s">
        <v>3191</v>
      </c>
      <c r="I237" s="44" t="s">
        <v>3900</v>
      </c>
      <c r="J237" s="28" t="s">
        <v>4773</v>
      </c>
      <c r="L237" s="233"/>
      <c r="M237" s="233"/>
      <c r="N237" s="233"/>
      <c r="O237" s="233"/>
      <c r="P237" s="233"/>
      <c r="Q237" s="233"/>
      <c r="R237" s="233"/>
      <c r="S237" s="233"/>
      <c r="T237" s="233"/>
      <c r="U237" s="233"/>
      <c r="V237" s="233"/>
      <c r="W237" s="233"/>
      <c r="X237" s="233"/>
      <c r="Y237" s="233"/>
      <c r="Z237" s="233"/>
      <c r="AA237" s="233"/>
      <c r="AB237" s="233"/>
      <c r="AC237" s="233"/>
      <c r="AD237" s="233"/>
      <c r="AE237" s="233"/>
      <c r="AF237" s="233"/>
      <c r="AG237" s="233"/>
      <c r="AH237" s="233"/>
      <c r="AI237" s="233"/>
      <c r="AJ237" s="233"/>
      <c r="AK237" s="233"/>
      <c r="AL237" s="233"/>
      <c r="AM237" s="233"/>
      <c r="AN237" s="233"/>
      <c r="AO237" s="233"/>
      <c r="AP237" s="233"/>
      <c r="AQ237" s="233"/>
      <c r="AR237" s="233"/>
      <c r="AS237" s="233"/>
      <c r="AT237" s="233"/>
      <c r="AU237" s="233"/>
      <c r="AV237" s="233"/>
      <c r="AW237" s="233"/>
      <c r="AX237" s="233"/>
      <c r="AY237" s="233"/>
      <c r="AZ237" s="233"/>
      <c r="BA237" s="233"/>
      <c r="BB237" s="233"/>
      <c r="BC237" s="233"/>
      <c r="BD237" s="233"/>
      <c r="BE237" s="233"/>
      <c r="BF237" s="233"/>
      <c r="BG237" s="233"/>
      <c r="BH237" s="233"/>
      <c r="BI237" s="233"/>
      <c r="BJ237" s="233"/>
      <c r="BK237" s="233"/>
      <c r="BL237" s="233"/>
      <c r="BM237" s="233"/>
      <c r="BN237" s="233"/>
      <c r="BO237" s="233"/>
      <c r="BP237" s="233"/>
      <c r="BQ237" s="233"/>
      <c r="BR237" s="233"/>
      <c r="BS237" s="233"/>
      <c r="BT237" s="233"/>
      <c r="BU237" s="233"/>
      <c r="BV237" s="233"/>
      <c r="BW237" s="233"/>
      <c r="BX237" s="233"/>
      <c r="BY237" s="233"/>
      <c r="BZ237" s="233"/>
      <c r="CA237" s="233"/>
      <c r="CB237" s="233"/>
      <c r="CC237" s="233"/>
      <c r="CD237" s="233"/>
      <c r="CE237" s="233"/>
      <c r="CF237" s="233"/>
      <c r="CG237" s="233"/>
      <c r="CH237" s="233"/>
      <c r="CI237" s="233"/>
      <c r="CJ237" s="233"/>
      <c r="CK237" s="233"/>
      <c r="CL237" s="233"/>
      <c r="CM237" s="233"/>
      <c r="CN237" s="233"/>
      <c r="CO237" s="233"/>
      <c r="CP237" s="233"/>
      <c r="CQ237" s="233"/>
      <c r="CR237" s="233"/>
      <c r="CS237" s="233"/>
      <c r="CT237" s="233"/>
      <c r="CU237" s="233"/>
      <c r="CV237" s="233"/>
      <c r="CW237" s="233"/>
      <c r="CX237" s="233"/>
      <c r="CY237" s="233"/>
      <c r="CZ237" s="233"/>
      <c r="DA237" s="233"/>
      <c r="DB237" s="233"/>
      <c r="DC237" s="233"/>
      <c r="DD237" s="233"/>
      <c r="DE237" s="233"/>
      <c r="DF237" s="233"/>
      <c r="DG237" s="233"/>
      <c r="DH237" s="233"/>
      <c r="DI237" s="233"/>
      <c r="DJ237" s="233"/>
      <c r="DK237" s="233"/>
      <c r="DL237" s="233"/>
      <c r="DM237" s="233"/>
      <c r="DN237" s="233"/>
      <c r="DO237" s="233"/>
      <c r="DP237" s="233"/>
      <c r="DQ237" s="233"/>
      <c r="DR237" s="233"/>
      <c r="DS237" s="233"/>
      <c r="DT237" s="233"/>
      <c r="DU237" s="233"/>
      <c r="DV237" s="233"/>
      <c r="DW237" s="233"/>
      <c r="DX237" s="233"/>
      <c r="DY237" s="233"/>
      <c r="DZ237" s="233"/>
      <c r="EA237" s="233"/>
      <c r="EB237" s="233"/>
      <c r="EC237" s="233"/>
      <c r="ED237" s="233"/>
      <c r="EE237" s="233"/>
      <c r="EF237" s="233"/>
      <c r="EG237" s="233"/>
      <c r="EH237" s="233"/>
      <c r="EI237" s="233"/>
      <c r="EJ237" s="233"/>
      <c r="EK237" s="233"/>
      <c r="EL237" s="233"/>
      <c r="EM237" s="233"/>
      <c r="EN237" s="233"/>
      <c r="EO237" s="233"/>
      <c r="EP237" s="233"/>
      <c r="EQ237" s="233"/>
      <c r="ER237" s="233"/>
      <c r="ES237" s="233"/>
      <c r="ET237" s="233"/>
      <c r="EU237" s="233"/>
      <c r="EV237" s="233"/>
      <c r="EW237" s="233"/>
      <c r="EX237" s="233"/>
      <c r="EY237" s="233"/>
      <c r="EZ237" s="233"/>
      <c r="FA237" s="233"/>
      <c r="FB237" s="233"/>
      <c r="FC237" s="233"/>
      <c r="FD237" s="233"/>
    </row>
    <row r="238" spans="1:160">
      <c r="A238" s="20" t="s">
        <v>3029</v>
      </c>
      <c r="B238" s="14">
        <v>4</v>
      </c>
      <c r="C238" s="14" t="s">
        <v>3210</v>
      </c>
      <c r="D238" s="14">
        <v>2</v>
      </c>
      <c r="E238" s="110" t="s">
        <v>3323</v>
      </c>
      <c r="F238" s="14" t="s">
        <v>3200</v>
      </c>
      <c r="G238" s="44" t="s">
        <v>3753</v>
      </c>
      <c r="H238" s="107" t="s">
        <v>3030</v>
      </c>
      <c r="I238" s="44" t="s">
        <v>3916</v>
      </c>
      <c r="J238" s="28" t="s">
        <v>3890</v>
      </c>
      <c r="L238" s="233"/>
      <c r="M238" s="233"/>
      <c r="N238" s="233"/>
      <c r="O238" s="233"/>
      <c r="P238" s="233"/>
      <c r="Q238" s="233"/>
      <c r="R238" s="233"/>
      <c r="S238" s="233"/>
      <c r="T238" s="233"/>
      <c r="U238" s="233"/>
      <c r="V238" s="233"/>
      <c r="W238" s="233"/>
      <c r="X238" s="233"/>
      <c r="Y238" s="233"/>
      <c r="Z238" s="233"/>
      <c r="AA238" s="233"/>
      <c r="AB238" s="233"/>
      <c r="AC238" s="233"/>
      <c r="AD238" s="233"/>
      <c r="AE238" s="233"/>
      <c r="AF238" s="233"/>
      <c r="AG238" s="233"/>
      <c r="AH238" s="233"/>
      <c r="AI238" s="233"/>
      <c r="AJ238" s="233"/>
      <c r="AK238" s="233"/>
      <c r="AL238" s="233"/>
      <c r="AM238" s="233"/>
      <c r="AN238" s="233"/>
      <c r="AO238" s="233"/>
      <c r="AP238" s="233"/>
      <c r="AQ238" s="233"/>
      <c r="AR238" s="233"/>
      <c r="AS238" s="233"/>
      <c r="AT238" s="233"/>
      <c r="AU238" s="233"/>
      <c r="AV238" s="233"/>
      <c r="AW238" s="233"/>
      <c r="AX238" s="233"/>
      <c r="AY238" s="233"/>
      <c r="AZ238" s="233"/>
      <c r="BA238" s="233"/>
      <c r="BB238" s="233"/>
      <c r="BC238" s="233"/>
      <c r="BD238" s="233"/>
      <c r="BE238" s="233"/>
      <c r="BF238" s="233"/>
      <c r="BG238" s="233"/>
      <c r="BH238" s="233"/>
      <c r="BI238" s="233"/>
      <c r="BJ238" s="233"/>
      <c r="BK238" s="233"/>
      <c r="BL238" s="233"/>
      <c r="BM238" s="233"/>
      <c r="BN238" s="233"/>
      <c r="BO238" s="233"/>
      <c r="BP238" s="233"/>
      <c r="BQ238" s="233"/>
      <c r="BR238" s="233"/>
      <c r="BS238" s="233"/>
      <c r="BT238" s="233"/>
      <c r="BU238" s="233"/>
      <c r="BV238" s="233"/>
      <c r="BW238" s="233"/>
      <c r="BX238" s="233"/>
      <c r="BY238" s="233"/>
      <c r="BZ238" s="233"/>
      <c r="CA238" s="233"/>
      <c r="CB238" s="233"/>
      <c r="CC238" s="233"/>
      <c r="CD238" s="233"/>
      <c r="CE238" s="233"/>
      <c r="CF238" s="233"/>
      <c r="CG238" s="233"/>
      <c r="CH238" s="233"/>
      <c r="CI238" s="233"/>
      <c r="CJ238" s="233"/>
      <c r="CK238" s="233"/>
      <c r="CL238" s="233"/>
      <c r="CM238" s="233"/>
      <c r="CN238" s="233"/>
      <c r="CO238" s="233"/>
      <c r="CP238" s="233"/>
      <c r="CQ238" s="233"/>
      <c r="CR238" s="233"/>
      <c r="CS238" s="233"/>
      <c r="CT238" s="233"/>
      <c r="CU238" s="233"/>
      <c r="CV238" s="233"/>
      <c r="CW238" s="233"/>
      <c r="CX238" s="233"/>
      <c r="CY238" s="233"/>
      <c r="CZ238" s="233"/>
      <c r="DA238" s="233"/>
      <c r="DB238" s="233"/>
      <c r="DC238" s="233"/>
      <c r="DD238" s="233"/>
      <c r="DE238" s="233"/>
      <c r="DF238" s="233"/>
      <c r="DG238" s="233"/>
      <c r="DH238" s="233"/>
      <c r="DI238" s="233"/>
      <c r="DJ238" s="233"/>
      <c r="DK238" s="233"/>
      <c r="DL238" s="233"/>
      <c r="DM238" s="233"/>
      <c r="DN238" s="233"/>
      <c r="DO238" s="233"/>
      <c r="DP238" s="233"/>
      <c r="DQ238" s="233"/>
      <c r="DR238" s="233"/>
      <c r="DS238" s="233"/>
      <c r="DT238" s="233"/>
      <c r="DU238" s="233"/>
      <c r="DV238" s="233"/>
      <c r="DW238" s="233"/>
      <c r="DX238" s="233"/>
      <c r="DY238" s="233"/>
      <c r="DZ238" s="233"/>
      <c r="EA238" s="233"/>
      <c r="EB238" s="233"/>
      <c r="EC238" s="233"/>
      <c r="ED238" s="233"/>
      <c r="EE238" s="233"/>
      <c r="EF238" s="233"/>
      <c r="EG238" s="233"/>
      <c r="EH238" s="233"/>
      <c r="EI238" s="233"/>
      <c r="EJ238" s="233"/>
      <c r="EK238" s="233"/>
      <c r="EL238" s="233"/>
      <c r="EM238" s="233"/>
      <c r="EN238" s="233"/>
      <c r="EO238" s="233"/>
      <c r="EP238" s="233"/>
      <c r="EQ238" s="233"/>
      <c r="ER238" s="233"/>
      <c r="ES238" s="233"/>
      <c r="ET238" s="233"/>
      <c r="EU238" s="233"/>
      <c r="EV238" s="233"/>
      <c r="EW238" s="233"/>
      <c r="EX238" s="233"/>
      <c r="EY238" s="233"/>
      <c r="EZ238" s="233"/>
      <c r="FA238" s="233"/>
      <c r="FB238" s="233"/>
      <c r="FC238" s="233"/>
      <c r="FD238" s="233"/>
    </row>
    <row r="239" spans="1:160">
      <c r="A239" s="20" t="s">
        <v>3027</v>
      </c>
      <c r="B239" s="14">
        <v>4</v>
      </c>
      <c r="C239" s="14" t="s">
        <v>3115</v>
      </c>
      <c r="D239" s="14">
        <v>2</v>
      </c>
      <c r="E239" s="110" t="s">
        <v>3812</v>
      </c>
      <c r="F239" s="14" t="s">
        <v>3854</v>
      </c>
      <c r="G239" s="44" t="s">
        <v>3028</v>
      </c>
      <c r="H239" s="44" t="s">
        <v>3728</v>
      </c>
      <c r="I239" s="44" t="s">
        <v>3900</v>
      </c>
      <c r="J239" s="28" t="s">
        <v>4447</v>
      </c>
      <c r="L239" s="233"/>
      <c r="M239" s="233"/>
      <c r="N239" s="233"/>
      <c r="O239" s="233"/>
      <c r="P239" s="233"/>
      <c r="Q239" s="233"/>
      <c r="R239" s="233"/>
      <c r="S239" s="233"/>
      <c r="T239" s="233"/>
      <c r="U239" s="233"/>
      <c r="V239" s="233"/>
      <c r="W239" s="233"/>
      <c r="X239" s="233"/>
      <c r="Y239" s="233"/>
      <c r="Z239" s="233"/>
      <c r="AA239" s="233"/>
      <c r="AB239" s="233"/>
      <c r="AC239" s="233"/>
      <c r="AD239" s="233"/>
      <c r="AE239" s="233"/>
      <c r="AF239" s="233"/>
      <c r="AG239" s="233"/>
      <c r="AH239" s="233"/>
      <c r="AI239" s="233"/>
      <c r="AJ239" s="233"/>
      <c r="AK239" s="233"/>
      <c r="AL239" s="233"/>
      <c r="AM239" s="233"/>
      <c r="AN239" s="233"/>
      <c r="AO239" s="233"/>
      <c r="AP239" s="233"/>
      <c r="AQ239" s="233"/>
      <c r="AR239" s="233"/>
      <c r="AS239" s="233"/>
      <c r="AT239" s="233"/>
      <c r="AU239" s="233"/>
      <c r="AV239" s="233"/>
      <c r="AW239" s="233"/>
      <c r="AX239" s="233"/>
      <c r="AY239" s="233"/>
      <c r="AZ239" s="233"/>
      <c r="BA239" s="233"/>
      <c r="BB239" s="233"/>
      <c r="BC239" s="233"/>
      <c r="BD239" s="233"/>
      <c r="BE239" s="233"/>
      <c r="BF239" s="233"/>
      <c r="BG239" s="233"/>
      <c r="BH239" s="233"/>
      <c r="BI239" s="233"/>
      <c r="BJ239" s="233"/>
      <c r="BK239" s="233"/>
      <c r="BL239" s="233"/>
      <c r="BM239" s="233"/>
      <c r="BN239" s="233"/>
      <c r="BO239" s="233"/>
      <c r="BP239" s="233"/>
      <c r="BQ239" s="233"/>
      <c r="BR239" s="233"/>
      <c r="BS239" s="233"/>
      <c r="BT239" s="233"/>
      <c r="BU239" s="233"/>
      <c r="BV239" s="233"/>
      <c r="BW239" s="233"/>
      <c r="BX239" s="233"/>
      <c r="BY239" s="233"/>
      <c r="BZ239" s="233"/>
      <c r="CA239" s="233"/>
      <c r="CB239" s="233"/>
      <c r="CC239" s="233"/>
      <c r="CD239" s="233"/>
      <c r="CE239" s="233"/>
      <c r="CF239" s="233"/>
      <c r="CG239" s="233"/>
      <c r="CH239" s="233"/>
      <c r="CI239" s="233"/>
      <c r="CJ239" s="233"/>
      <c r="CK239" s="233"/>
      <c r="CL239" s="233"/>
      <c r="CM239" s="233"/>
      <c r="CN239" s="233"/>
      <c r="CO239" s="233"/>
      <c r="CP239" s="233"/>
      <c r="CQ239" s="233"/>
      <c r="CR239" s="233"/>
      <c r="CS239" s="233"/>
      <c r="CT239" s="233"/>
      <c r="CU239" s="233"/>
      <c r="CV239" s="233"/>
      <c r="CW239" s="233"/>
      <c r="CX239" s="233"/>
      <c r="CY239" s="233"/>
      <c r="CZ239" s="233"/>
      <c r="DA239" s="233"/>
      <c r="DB239" s="233"/>
      <c r="DC239" s="233"/>
      <c r="DD239" s="233"/>
      <c r="DE239" s="233"/>
      <c r="DF239" s="233"/>
      <c r="DG239" s="233"/>
      <c r="DH239" s="233"/>
      <c r="DI239" s="233"/>
      <c r="DJ239" s="233"/>
      <c r="DK239" s="233"/>
      <c r="DL239" s="233"/>
      <c r="DM239" s="233"/>
      <c r="DN239" s="233"/>
      <c r="DO239" s="233"/>
      <c r="DP239" s="233"/>
      <c r="DQ239" s="233"/>
      <c r="DR239" s="233"/>
      <c r="DS239" s="233"/>
      <c r="DT239" s="233"/>
      <c r="DU239" s="233"/>
      <c r="DV239" s="233"/>
      <c r="DW239" s="233"/>
      <c r="DX239" s="233"/>
      <c r="DY239" s="233"/>
      <c r="DZ239" s="233"/>
      <c r="EA239" s="233"/>
      <c r="EB239" s="233"/>
      <c r="EC239" s="233"/>
      <c r="ED239" s="233"/>
      <c r="EE239" s="233"/>
      <c r="EF239" s="233"/>
      <c r="EG239" s="233"/>
      <c r="EH239" s="233"/>
      <c r="EI239" s="233"/>
      <c r="EJ239" s="233"/>
      <c r="EK239" s="233"/>
      <c r="EL239" s="233"/>
      <c r="EM239" s="233"/>
      <c r="EN239" s="233"/>
      <c r="EO239" s="233"/>
      <c r="EP239" s="233"/>
      <c r="EQ239" s="233"/>
      <c r="ER239" s="233"/>
      <c r="ES239" s="233"/>
      <c r="ET239" s="233"/>
      <c r="EU239" s="233"/>
      <c r="EV239" s="233"/>
      <c r="EW239" s="233"/>
      <c r="EX239" s="233"/>
      <c r="EY239" s="233"/>
      <c r="EZ239" s="233"/>
      <c r="FA239" s="233"/>
      <c r="FB239" s="233"/>
      <c r="FC239" s="233"/>
      <c r="FD239" s="233"/>
    </row>
    <row r="240" spans="1:160">
      <c r="A240" s="20" t="s">
        <v>3036</v>
      </c>
      <c r="B240" s="14">
        <v>4</v>
      </c>
      <c r="C240" s="14" t="s">
        <v>3412</v>
      </c>
      <c r="D240" s="14">
        <v>2</v>
      </c>
      <c r="E240" s="110" t="s">
        <v>3381</v>
      </c>
      <c r="F240" s="14" t="s">
        <v>3914</v>
      </c>
      <c r="G240" s="44" t="s">
        <v>3809</v>
      </c>
      <c r="H240" s="44" t="s">
        <v>3037</v>
      </c>
      <c r="I240" s="44" t="s">
        <v>3916</v>
      </c>
      <c r="J240" s="28" t="s">
        <v>4037</v>
      </c>
      <c r="L240" s="233"/>
      <c r="M240" s="233"/>
      <c r="N240" s="233"/>
      <c r="O240" s="233"/>
      <c r="P240" s="233"/>
      <c r="Q240" s="233"/>
      <c r="R240" s="233"/>
      <c r="S240" s="233"/>
      <c r="T240" s="233"/>
      <c r="U240" s="233"/>
      <c r="V240" s="233"/>
      <c r="W240" s="233"/>
      <c r="X240" s="233"/>
      <c r="Y240" s="233"/>
      <c r="Z240" s="233"/>
      <c r="AA240" s="233"/>
      <c r="AB240" s="233"/>
      <c r="AC240" s="233"/>
      <c r="AD240" s="233"/>
      <c r="AE240" s="233"/>
      <c r="AF240" s="233"/>
      <c r="AG240" s="233"/>
      <c r="AH240" s="233"/>
      <c r="AI240" s="233"/>
      <c r="AJ240" s="233"/>
      <c r="AK240" s="233"/>
      <c r="AL240" s="233"/>
      <c r="AM240" s="233"/>
      <c r="AN240" s="233"/>
      <c r="AO240" s="233"/>
      <c r="AP240" s="233"/>
      <c r="AQ240" s="233"/>
      <c r="AR240" s="233"/>
      <c r="AS240" s="233"/>
      <c r="AT240" s="233"/>
      <c r="AU240" s="233"/>
      <c r="AV240" s="233"/>
      <c r="AW240" s="233"/>
      <c r="AX240" s="233"/>
      <c r="AY240" s="233"/>
      <c r="AZ240" s="233"/>
      <c r="BA240" s="233"/>
      <c r="BB240" s="233"/>
      <c r="BC240" s="233"/>
      <c r="BD240" s="233"/>
      <c r="BE240" s="233"/>
      <c r="BF240" s="233"/>
      <c r="BG240" s="233"/>
      <c r="BH240" s="233"/>
      <c r="BI240" s="233"/>
      <c r="BJ240" s="233"/>
      <c r="BK240" s="233"/>
      <c r="BL240" s="233"/>
      <c r="BM240" s="233"/>
      <c r="BN240" s="233"/>
      <c r="BO240" s="233"/>
      <c r="BP240" s="233"/>
      <c r="BQ240" s="233"/>
      <c r="BR240" s="233"/>
      <c r="BS240" s="233"/>
      <c r="BT240" s="233"/>
      <c r="BU240" s="233"/>
      <c r="BV240" s="233"/>
      <c r="BW240" s="233"/>
      <c r="BX240" s="233"/>
      <c r="BY240" s="233"/>
      <c r="BZ240" s="233"/>
      <c r="CA240" s="233"/>
      <c r="CB240" s="233"/>
      <c r="CC240" s="233"/>
      <c r="CD240" s="233"/>
      <c r="CE240" s="233"/>
      <c r="CF240" s="233"/>
      <c r="CG240" s="233"/>
      <c r="CH240" s="233"/>
      <c r="CI240" s="233"/>
      <c r="CJ240" s="233"/>
      <c r="CK240" s="233"/>
      <c r="CL240" s="233"/>
      <c r="CM240" s="233"/>
      <c r="CN240" s="233"/>
      <c r="CO240" s="233"/>
      <c r="CP240" s="233"/>
      <c r="CQ240" s="233"/>
      <c r="CR240" s="233"/>
      <c r="CS240" s="233"/>
      <c r="CT240" s="233"/>
      <c r="CU240" s="233"/>
      <c r="CV240" s="233"/>
      <c r="CW240" s="233"/>
      <c r="CX240" s="233"/>
      <c r="CY240" s="233"/>
      <c r="CZ240" s="233"/>
      <c r="DA240" s="233"/>
      <c r="DB240" s="233"/>
      <c r="DC240" s="233"/>
      <c r="DD240" s="233"/>
      <c r="DE240" s="233"/>
      <c r="DF240" s="233"/>
      <c r="DG240" s="233"/>
      <c r="DH240" s="233"/>
      <c r="DI240" s="233"/>
      <c r="DJ240" s="233"/>
      <c r="DK240" s="233"/>
      <c r="DL240" s="233"/>
      <c r="DM240" s="233"/>
      <c r="DN240" s="233"/>
      <c r="DO240" s="233"/>
      <c r="DP240" s="233"/>
      <c r="DQ240" s="233"/>
      <c r="DR240" s="233"/>
      <c r="DS240" s="233"/>
      <c r="DT240" s="233"/>
      <c r="DU240" s="233"/>
      <c r="DV240" s="233"/>
      <c r="DW240" s="233"/>
      <c r="DX240" s="233"/>
      <c r="DY240" s="233"/>
      <c r="DZ240" s="233"/>
      <c r="EA240" s="233"/>
      <c r="EB240" s="233"/>
      <c r="EC240" s="233"/>
      <c r="ED240" s="233"/>
      <c r="EE240" s="233"/>
      <c r="EF240" s="233"/>
      <c r="EG240" s="233"/>
      <c r="EH240" s="233"/>
      <c r="EI240" s="233"/>
      <c r="EJ240" s="233"/>
      <c r="EK240" s="233"/>
      <c r="EL240" s="233"/>
      <c r="EM240" s="233"/>
      <c r="EN240" s="233"/>
      <c r="EO240" s="233"/>
      <c r="EP240" s="233"/>
      <c r="EQ240" s="233"/>
      <c r="ER240" s="233"/>
      <c r="ES240" s="233"/>
      <c r="ET240" s="233"/>
      <c r="EU240" s="233"/>
      <c r="EV240" s="233"/>
      <c r="EW240" s="233"/>
      <c r="EX240" s="233"/>
      <c r="EY240" s="233"/>
      <c r="EZ240" s="233"/>
      <c r="FA240" s="233"/>
      <c r="FB240" s="233"/>
      <c r="FC240" s="233"/>
      <c r="FD240" s="233"/>
    </row>
    <row r="241" spans="1:160">
      <c r="A241" s="283" t="s">
        <v>445</v>
      </c>
      <c r="B241" s="284">
        <v>4</v>
      </c>
      <c r="C241" s="284" t="s">
        <v>5754</v>
      </c>
      <c r="D241" s="284">
        <v>2</v>
      </c>
      <c r="E241" s="285" t="s">
        <v>3682</v>
      </c>
      <c r="F241" s="284" t="s">
        <v>3548</v>
      </c>
      <c r="G241" s="286" t="s">
        <v>3550</v>
      </c>
      <c r="H241" s="289" t="s">
        <v>446</v>
      </c>
      <c r="I241" s="286" t="s">
        <v>3900</v>
      </c>
      <c r="J241" s="287" t="s">
        <v>4555</v>
      </c>
      <c r="L241" s="233"/>
      <c r="M241" s="233"/>
      <c r="N241" s="233"/>
      <c r="O241" s="233"/>
      <c r="P241" s="233"/>
      <c r="Q241" s="233"/>
      <c r="R241" s="233"/>
      <c r="S241" s="233"/>
      <c r="T241" s="233"/>
      <c r="U241" s="233"/>
      <c r="V241" s="233"/>
      <c r="W241" s="233"/>
      <c r="X241" s="233"/>
      <c r="Y241" s="233"/>
      <c r="Z241" s="233"/>
      <c r="AA241" s="233"/>
      <c r="AB241" s="233"/>
      <c r="AC241" s="233"/>
      <c r="AD241" s="233"/>
      <c r="AE241" s="233"/>
      <c r="AF241" s="233"/>
      <c r="AG241" s="233"/>
      <c r="AH241" s="233"/>
      <c r="AI241" s="233"/>
      <c r="AJ241" s="233"/>
      <c r="AK241" s="233"/>
      <c r="AL241" s="233"/>
      <c r="AM241" s="233"/>
      <c r="AN241" s="233"/>
      <c r="AO241" s="233"/>
      <c r="AP241" s="233"/>
      <c r="AQ241" s="233"/>
      <c r="AR241" s="233"/>
      <c r="AS241" s="233"/>
      <c r="AT241" s="233"/>
      <c r="AU241" s="233"/>
      <c r="AV241" s="233"/>
      <c r="AW241" s="233"/>
      <c r="AX241" s="233"/>
      <c r="AY241" s="233"/>
      <c r="AZ241" s="233"/>
      <c r="BA241" s="233"/>
      <c r="BB241" s="233"/>
      <c r="BC241" s="233"/>
      <c r="BD241" s="233"/>
      <c r="BE241" s="233"/>
      <c r="BF241" s="233"/>
      <c r="BG241" s="233"/>
      <c r="BH241" s="233"/>
      <c r="BI241" s="233"/>
      <c r="BJ241" s="233"/>
      <c r="BK241" s="233"/>
      <c r="BL241" s="233"/>
      <c r="BM241" s="233"/>
      <c r="BN241" s="233"/>
      <c r="BO241" s="233"/>
      <c r="BP241" s="233"/>
      <c r="BQ241" s="233"/>
      <c r="BR241" s="233"/>
      <c r="BS241" s="233"/>
      <c r="BT241" s="233"/>
      <c r="BU241" s="233"/>
      <c r="BV241" s="233"/>
      <c r="BW241" s="233"/>
      <c r="BX241" s="233"/>
      <c r="BY241" s="233"/>
      <c r="BZ241" s="233"/>
      <c r="CA241" s="233"/>
      <c r="CB241" s="233"/>
      <c r="CC241" s="233"/>
      <c r="CD241" s="233"/>
      <c r="CE241" s="233"/>
      <c r="CF241" s="233"/>
      <c r="CG241" s="233"/>
      <c r="CH241" s="233"/>
      <c r="CI241" s="233"/>
      <c r="CJ241" s="233"/>
      <c r="CK241" s="233"/>
      <c r="CL241" s="233"/>
      <c r="CM241" s="233"/>
      <c r="CN241" s="233"/>
      <c r="CO241" s="233"/>
      <c r="CP241" s="233"/>
      <c r="CQ241" s="233"/>
      <c r="CR241" s="233"/>
      <c r="CS241" s="233"/>
      <c r="CT241" s="233"/>
      <c r="CU241" s="233"/>
      <c r="CV241" s="233"/>
      <c r="CW241" s="233"/>
      <c r="CX241" s="233"/>
      <c r="CY241" s="233"/>
      <c r="CZ241" s="233"/>
      <c r="DA241" s="233"/>
      <c r="DB241" s="233"/>
      <c r="DC241" s="233"/>
      <c r="DD241" s="233"/>
      <c r="DE241" s="233"/>
      <c r="DF241" s="233"/>
      <c r="DG241" s="233"/>
      <c r="DH241" s="233"/>
      <c r="DI241" s="233"/>
      <c r="DJ241" s="233"/>
      <c r="DK241" s="233"/>
      <c r="DL241" s="233"/>
      <c r="DM241" s="233"/>
      <c r="DN241" s="233"/>
      <c r="DO241" s="233"/>
      <c r="DP241" s="233"/>
      <c r="DQ241" s="233"/>
      <c r="DR241" s="233"/>
      <c r="DS241" s="233"/>
      <c r="DT241" s="233"/>
      <c r="DU241" s="233"/>
      <c r="DV241" s="233"/>
      <c r="DW241" s="233"/>
      <c r="DX241" s="233"/>
      <c r="DY241" s="233"/>
      <c r="DZ241" s="233"/>
      <c r="EA241" s="233"/>
      <c r="EB241" s="233"/>
      <c r="EC241" s="233"/>
      <c r="ED241" s="233"/>
      <c r="EE241" s="233"/>
      <c r="EF241" s="233"/>
      <c r="EG241" s="233"/>
      <c r="EH241" s="233"/>
      <c r="EI241" s="233"/>
      <c r="EJ241" s="233"/>
      <c r="EK241" s="233"/>
      <c r="EL241" s="233"/>
      <c r="EM241" s="233"/>
      <c r="EN241" s="233"/>
      <c r="EO241" s="233"/>
      <c r="EP241" s="233"/>
      <c r="EQ241" s="233"/>
      <c r="ER241" s="233"/>
      <c r="ES241" s="233"/>
      <c r="ET241" s="233"/>
      <c r="EU241" s="233"/>
      <c r="EV241" s="233"/>
      <c r="EW241" s="233"/>
      <c r="EX241" s="233"/>
      <c r="EY241" s="233"/>
      <c r="EZ241" s="233"/>
      <c r="FA241" s="233"/>
      <c r="FB241" s="233"/>
      <c r="FC241" s="233"/>
      <c r="FD241" s="233"/>
    </row>
    <row r="242" spans="1:160">
      <c r="A242" s="20" t="s">
        <v>3035</v>
      </c>
      <c r="B242" s="14">
        <v>4</v>
      </c>
      <c r="C242" s="14" t="s">
        <v>3462</v>
      </c>
      <c r="D242" s="14">
        <v>3</v>
      </c>
      <c r="E242" s="110" t="s">
        <v>3381</v>
      </c>
      <c r="F242" s="14" t="s">
        <v>3716</v>
      </c>
      <c r="G242" s="44" t="s">
        <v>3467</v>
      </c>
      <c r="H242" s="44" t="s">
        <v>3915</v>
      </c>
      <c r="I242" s="44">
        <v>2</v>
      </c>
      <c r="J242" s="28" t="s">
        <v>4369</v>
      </c>
      <c r="L242" s="233"/>
      <c r="M242" s="233"/>
      <c r="N242" s="233"/>
      <c r="O242" s="233"/>
      <c r="P242" s="233"/>
      <c r="Q242" s="233"/>
      <c r="R242" s="233"/>
      <c r="S242" s="233"/>
      <c r="T242" s="233"/>
      <c r="U242" s="233"/>
      <c r="V242" s="233"/>
      <c r="W242" s="233"/>
      <c r="X242" s="233"/>
      <c r="Y242" s="233"/>
      <c r="Z242" s="233"/>
      <c r="AA242" s="233"/>
      <c r="AB242" s="233"/>
      <c r="AC242" s="233"/>
      <c r="AD242" s="233"/>
      <c r="AE242" s="233"/>
      <c r="AF242" s="233"/>
      <c r="AG242" s="233"/>
      <c r="AH242" s="233"/>
      <c r="AI242" s="233"/>
      <c r="AJ242" s="233"/>
      <c r="AK242" s="233"/>
      <c r="AL242" s="233"/>
      <c r="AM242" s="233"/>
      <c r="AN242" s="233"/>
      <c r="AO242" s="233"/>
      <c r="AP242" s="233"/>
      <c r="AQ242" s="233"/>
      <c r="AR242" s="233"/>
      <c r="AS242" s="233"/>
      <c r="AT242" s="233"/>
      <c r="AU242" s="233"/>
      <c r="AV242" s="233"/>
      <c r="AW242" s="233"/>
      <c r="AX242" s="233"/>
      <c r="AY242" s="233"/>
      <c r="AZ242" s="233"/>
      <c r="BA242" s="233"/>
      <c r="BB242" s="233"/>
      <c r="BC242" s="233"/>
      <c r="BD242" s="233"/>
      <c r="BE242" s="233"/>
      <c r="BF242" s="233"/>
      <c r="BG242" s="233"/>
      <c r="BH242" s="233"/>
      <c r="BI242" s="233"/>
      <c r="BJ242" s="233"/>
      <c r="BK242" s="233"/>
      <c r="BL242" s="233"/>
      <c r="BM242" s="233"/>
      <c r="BN242" s="233"/>
      <c r="BO242" s="233"/>
      <c r="BP242" s="233"/>
      <c r="BQ242" s="233"/>
      <c r="BR242" s="233"/>
      <c r="BS242" s="233"/>
      <c r="BT242" s="233"/>
      <c r="BU242" s="233"/>
      <c r="BV242" s="233"/>
      <c r="BW242" s="233"/>
      <c r="BX242" s="233"/>
      <c r="BY242" s="233"/>
      <c r="BZ242" s="233"/>
      <c r="CA242" s="233"/>
      <c r="CB242" s="233"/>
      <c r="CC242" s="233"/>
      <c r="CD242" s="233"/>
      <c r="CE242" s="233"/>
      <c r="CF242" s="233"/>
      <c r="CG242" s="233"/>
      <c r="CH242" s="233"/>
      <c r="CI242" s="233"/>
      <c r="CJ242" s="233"/>
      <c r="CK242" s="233"/>
      <c r="CL242" s="233"/>
      <c r="CM242" s="233"/>
      <c r="CN242" s="233"/>
      <c r="CO242" s="233"/>
      <c r="CP242" s="233"/>
      <c r="CQ242" s="233"/>
      <c r="CR242" s="233"/>
      <c r="CS242" s="233"/>
      <c r="CT242" s="233"/>
      <c r="CU242" s="233"/>
      <c r="CV242" s="233"/>
      <c r="CW242" s="233"/>
      <c r="CX242" s="233"/>
      <c r="CY242" s="233"/>
      <c r="CZ242" s="233"/>
      <c r="DA242" s="233"/>
      <c r="DB242" s="233"/>
      <c r="DC242" s="233"/>
      <c r="DD242" s="233"/>
      <c r="DE242" s="233"/>
      <c r="DF242" s="233"/>
      <c r="DG242" s="233"/>
      <c r="DH242" s="233"/>
      <c r="DI242" s="233"/>
      <c r="DJ242" s="233"/>
      <c r="DK242" s="233"/>
      <c r="DL242" s="233"/>
      <c r="DM242" s="233"/>
      <c r="DN242" s="233"/>
      <c r="DO242" s="233"/>
      <c r="DP242" s="233"/>
      <c r="DQ242" s="233"/>
      <c r="DR242" s="233"/>
      <c r="DS242" s="233"/>
      <c r="DT242" s="233"/>
      <c r="DU242" s="233"/>
      <c r="DV242" s="233"/>
      <c r="DW242" s="233"/>
      <c r="DX242" s="233"/>
      <c r="DY242" s="233"/>
      <c r="DZ242" s="233"/>
      <c r="EA242" s="233"/>
      <c r="EB242" s="233"/>
      <c r="EC242" s="233"/>
      <c r="ED242" s="233"/>
      <c r="EE242" s="233"/>
      <c r="EF242" s="233"/>
      <c r="EG242" s="233"/>
      <c r="EH242" s="233"/>
      <c r="EI242" s="233"/>
      <c r="EJ242" s="233"/>
      <c r="EK242" s="233"/>
      <c r="EL242" s="233"/>
      <c r="EM242" s="233"/>
      <c r="EN242" s="233"/>
      <c r="EO242" s="233"/>
      <c r="EP242" s="233"/>
      <c r="EQ242" s="233"/>
      <c r="ER242" s="233"/>
      <c r="ES242" s="233"/>
      <c r="ET242" s="233"/>
      <c r="EU242" s="233"/>
      <c r="EV242" s="233"/>
      <c r="EW242" s="233"/>
      <c r="EX242" s="233"/>
      <c r="EY242" s="233"/>
      <c r="EZ242" s="233"/>
      <c r="FA242" s="233"/>
      <c r="FB242" s="233"/>
      <c r="FC242" s="233"/>
      <c r="FD242" s="233"/>
    </row>
    <row r="243" spans="1:160">
      <c r="A243" s="20" t="s">
        <v>3365</v>
      </c>
      <c r="B243" s="14">
        <v>4</v>
      </c>
      <c r="C243" s="14" t="s">
        <v>3139</v>
      </c>
      <c r="D243" s="14">
        <v>2</v>
      </c>
      <c r="E243" s="110" t="s">
        <v>3526</v>
      </c>
      <c r="F243" s="14" t="s">
        <v>3548</v>
      </c>
      <c r="G243" s="44" t="s">
        <v>3651</v>
      </c>
      <c r="H243" s="44" t="s">
        <v>3183</v>
      </c>
      <c r="I243" s="44" t="s">
        <v>3900</v>
      </c>
      <c r="J243" s="28" t="s">
        <v>3739</v>
      </c>
      <c r="L243" s="233"/>
      <c r="M243" s="233"/>
      <c r="N243" s="233"/>
      <c r="O243" s="233"/>
      <c r="P243" s="233"/>
      <c r="Q243" s="233"/>
      <c r="R243" s="233"/>
      <c r="S243" s="233"/>
      <c r="T243" s="233"/>
      <c r="U243" s="233"/>
      <c r="V243" s="233"/>
      <c r="W243" s="233"/>
      <c r="X243" s="233"/>
      <c r="Y243" s="233"/>
      <c r="Z243" s="233"/>
      <c r="AA243" s="233"/>
      <c r="AB243" s="233"/>
      <c r="AC243" s="233"/>
      <c r="AD243" s="233"/>
      <c r="AE243" s="233"/>
      <c r="AF243" s="233"/>
      <c r="AG243" s="233"/>
      <c r="AH243" s="233"/>
      <c r="AI243" s="233"/>
      <c r="AJ243" s="233"/>
      <c r="AK243" s="233"/>
      <c r="AL243" s="233"/>
      <c r="AM243" s="233"/>
      <c r="AN243" s="233"/>
      <c r="AO243" s="233"/>
      <c r="AP243" s="233"/>
      <c r="AQ243" s="233"/>
      <c r="AR243" s="233"/>
      <c r="AS243" s="233"/>
      <c r="AT243" s="233"/>
      <c r="AU243" s="233"/>
      <c r="AV243" s="233"/>
      <c r="AW243" s="233"/>
      <c r="AX243" s="233"/>
      <c r="AY243" s="233"/>
      <c r="AZ243" s="233"/>
      <c r="BA243" s="233"/>
      <c r="BB243" s="233"/>
      <c r="BC243" s="233"/>
      <c r="BD243" s="233"/>
      <c r="BE243" s="233"/>
      <c r="BF243" s="233"/>
      <c r="BG243" s="233"/>
      <c r="BH243" s="233"/>
      <c r="BI243" s="233"/>
      <c r="BJ243" s="233"/>
      <c r="BK243" s="233"/>
      <c r="BL243" s="233"/>
      <c r="BM243" s="233"/>
      <c r="BN243" s="233"/>
      <c r="BO243" s="233"/>
      <c r="BP243" s="233"/>
      <c r="BQ243" s="233"/>
      <c r="BR243" s="233"/>
      <c r="BS243" s="233"/>
      <c r="BT243" s="233"/>
      <c r="BU243" s="233"/>
      <c r="BV243" s="233"/>
      <c r="BW243" s="233"/>
      <c r="BX243" s="233"/>
      <c r="BY243" s="233"/>
      <c r="BZ243" s="233"/>
      <c r="CA243" s="233"/>
      <c r="CB243" s="233"/>
      <c r="CC243" s="233"/>
      <c r="CD243" s="233"/>
      <c r="CE243" s="233"/>
      <c r="CF243" s="233"/>
      <c r="CG243" s="233"/>
      <c r="CH243" s="233"/>
      <c r="CI243" s="233"/>
      <c r="CJ243" s="233"/>
      <c r="CK243" s="233"/>
      <c r="CL243" s="233"/>
      <c r="CM243" s="233"/>
      <c r="CN243" s="233"/>
      <c r="CO243" s="233"/>
      <c r="CP243" s="233"/>
      <c r="CQ243" s="233"/>
      <c r="CR243" s="233"/>
      <c r="CS243" s="233"/>
      <c r="CT243" s="233"/>
      <c r="CU243" s="233"/>
      <c r="CV243" s="233"/>
      <c r="CW243" s="233"/>
      <c r="CX243" s="233"/>
      <c r="CY243" s="233"/>
      <c r="CZ243" s="233"/>
      <c r="DA243" s="233"/>
      <c r="DB243" s="233"/>
      <c r="DC243" s="233"/>
      <c r="DD243" s="233"/>
      <c r="DE243" s="233"/>
      <c r="DF243" s="233"/>
      <c r="DG243" s="233"/>
      <c r="DH243" s="233"/>
      <c r="DI243" s="233"/>
      <c r="DJ243" s="233"/>
      <c r="DK243" s="233"/>
      <c r="DL243" s="233"/>
      <c r="DM243" s="233"/>
      <c r="DN243" s="233"/>
      <c r="DO243" s="233"/>
      <c r="DP243" s="233"/>
      <c r="DQ243" s="233"/>
      <c r="DR243" s="233"/>
      <c r="DS243" s="233"/>
      <c r="DT243" s="233"/>
      <c r="DU243" s="233"/>
      <c r="DV243" s="233"/>
      <c r="DW243" s="233"/>
      <c r="DX243" s="233"/>
      <c r="DY243" s="233"/>
      <c r="DZ243" s="233"/>
      <c r="EA243" s="233"/>
      <c r="EB243" s="233"/>
      <c r="EC243" s="233"/>
      <c r="ED243" s="233"/>
      <c r="EE243" s="233"/>
      <c r="EF243" s="233"/>
      <c r="EG243" s="233"/>
      <c r="EH243" s="233"/>
      <c r="EI243" s="233"/>
      <c r="EJ243" s="233"/>
      <c r="EK243" s="233"/>
      <c r="EL243" s="233"/>
      <c r="EM243" s="233"/>
      <c r="EN243" s="233"/>
      <c r="EO243" s="233"/>
      <c r="EP243" s="233"/>
      <c r="EQ243" s="233"/>
      <c r="ER243" s="233"/>
      <c r="ES243" s="233"/>
      <c r="ET243" s="233"/>
      <c r="EU243" s="233"/>
      <c r="EV243" s="233"/>
      <c r="EW243" s="233"/>
      <c r="EX243" s="233"/>
      <c r="EY243" s="233"/>
      <c r="EZ243" s="233"/>
      <c r="FA243" s="233"/>
      <c r="FB243" s="233"/>
      <c r="FC243" s="233"/>
      <c r="FD243" s="233"/>
    </row>
    <row r="244" spans="1:160">
      <c r="A244" s="20" t="s">
        <v>3031</v>
      </c>
      <c r="B244" s="14">
        <v>4</v>
      </c>
      <c r="C244" s="14" t="s">
        <v>3032</v>
      </c>
      <c r="D244" s="14">
        <v>3</v>
      </c>
      <c r="E244" s="110" t="s">
        <v>3650</v>
      </c>
      <c r="F244" s="14" t="s">
        <v>3947</v>
      </c>
      <c r="G244" s="44" t="s">
        <v>3730</v>
      </c>
      <c r="H244" s="44" t="s">
        <v>3728</v>
      </c>
      <c r="I244" s="44" t="s">
        <v>3916</v>
      </c>
      <c r="J244" s="28" t="s">
        <v>2745</v>
      </c>
      <c r="L244" s="233"/>
      <c r="M244" s="233"/>
      <c r="N244" s="233"/>
      <c r="O244" s="233"/>
      <c r="P244" s="233"/>
      <c r="Q244" s="233"/>
      <c r="R244" s="233"/>
      <c r="S244" s="233"/>
      <c r="T244" s="233"/>
      <c r="U244" s="233"/>
      <c r="V244" s="233"/>
      <c r="W244" s="233"/>
      <c r="X244" s="233"/>
      <c r="Y244" s="233"/>
      <c r="Z244" s="233"/>
      <c r="AA244" s="233"/>
      <c r="AB244" s="233"/>
      <c r="AC244" s="233"/>
      <c r="AD244" s="233"/>
      <c r="AE244" s="233"/>
      <c r="AF244" s="233"/>
      <c r="AG244" s="233"/>
      <c r="AH244" s="233"/>
      <c r="AI244" s="233"/>
      <c r="AJ244" s="233"/>
      <c r="AK244" s="233"/>
      <c r="AL244" s="233"/>
      <c r="AM244" s="233"/>
      <c r="AN244" s="233"/>
      <c r="AO244" s="233"/>
      <c r="AP244" s="233"/>
      <c r="AQ244" s="233"/>
      <c r="AR244" s="233"/>
      <c r="AS244" s="233"/>
      <c r="AT244" s="233"/>
      <c r="AU244" s="233"/>
      <c r="AV244" s="233"/>
      <c r="AW244" s="233"/>
      <c r="AX244" s="233"/>
      <c r="AY244" s="233"/>
      <c r="AZ244" s="233"/>
      <c r="BA244" s="233"/>
      <c r="BB244" s="233"/>
      <c r="BC244" s="233"/>
      <c r="BD244" s="233"/>
      <c r="BE244" s="233"/>
      <c r="BF244" s="233"/>
      <c r="BG244" s="233"/>
      <c r="BH244" s="233"/>
      <c r="BI244" s="233"/>
      <c r="BJ244" s="233"/>
      <c r="BK244" s="233"/>
      <c r="BL244" s="233"/>
      <c r="BM244" s="233"/>
      <c r="BN244" s="233"/>
      <c r="BO244" s="233"/>
      <c r="BP244" s="233"/>
      <c r="BQ244" s="233"/>
      <c r="BR244" s="233"/>
      <c r="BS244" s="233"/>
      <c r="BT244" s="233"/>
      <c r="BU244" s="233"/>
      <c r="BV244" s="233"/>
      <c r="BW244" s="233"/>
      <c r="BX244" s="233"/>
      <c r="BY244" s="233"/>
      <c r="BZ244" s="233"/>
      <c r="CA244" s="233"/>
      <c r="CB244" s="233"/>
      <c r="CC244" s="233"/>
      <c r="CD244" s="233"/>
      <c r="CE244" s="233"/>
      <c r="CF244" s="233"/>
      <c r="CG244" s="233"/>
      <c r="CH244" s="233"/>
      <c r="CI244" s="233"/>
      <c r="CJ244" s="233"/>
      <c r="CK244" s="233"/>
      <c r="CL244" s="233"/>
      <c r="CM244" s="233"/>
      <c r="CN244" s="233"/>
      <c r="CO244" s="233"/>
      <c r="CP244" s="233"/>
      <c r="CQ244" s="233"/>
      <c r="CR244" s="233"/>
      <c r="CS244" s="233"/>
      <c r="CT244" s="233"/>
      <c r="CU244" s="233"/>
      <c r="CV244" s="233"/>
      <c r="CW244" s="233"/>
      <c r="CX244" s="233"/>
      <c r="CY244" s="233"/>
      <c r="CZ244" s="233"/>
      <c r="DA244" s="233"/>
      <c r="DB244" s="233"/>
      <c r="DC244" s="233"/>
      <c r="DD244" s="233"/>
      <c r="DE244" s="233"/>
      <c r="DF244" s="233"/>
      <c r="DG244" s="233"/>
      <c r="DH244" s="233"/>
      <c r="DI244" s="233"/>
      <c r="DJ244" s="233"/>
      <c r="DK244" s="233"/>
      <c r="DL244" s="233"/>
      <c r="DM244" s="233"/>
      <c r="DN244" s="233"/>
      <c r="DO244" s="233"/>
      <c r="DP244" s="233"/>
      <c r="DQ244" s="233"/>
      <c r="DR244" s="233"/>
      <c r="DS244" s="233"/>
      <c r="DT244" s="233"/>
      <c r="DU244" s="233"/>
      <c r="DV244" s="233"/>
      <c r="DW244" s="233"/>
      <c r="DX244" s="233"/>
      <c r="DY244" s="233"/>
      <c r="DZ244" s="233"/>
      <c r="EA244" s="233"/>
      <c r="EB244" s="233"/>
      <c r="EC244" s="233"/>
      <c r="ED244" s="233"/>
      <c r="EE244" s="233"/>
      <c r="EF244" s="233"/>
      <c r="EG244" s="233"/>
      <c r="EH244" s="233"/>
      <c r="EI244" s="233"/>
      <c r="EJ244" s="233"/>
      <c r="EK244" s="233"/>
      <c r="EL244" s="233"/>
      <c r="EM244" s="233"/>
      <c r="EN244" s="233"/>
      <c r="EO244" s="233"/>
      <c r="EP244" s="233"/>
      <c r="EQ244" s="233"/>
      <c r="ER244" s="233"/>
      <c r="ES244" s="233"/>
      <c r="ET244" s="233"/>
      <c r="EU244" s="233"/>
      <c r="EV244" s="233"/>
      <c r="EW244" s="233"/>
      <c r="EX244" s="233"/>
      <c r="EY244" s="233"/>
      <c r="EZ244" s="233"/>
      <c r="FA244" s="233"/>
      <c r="FB244" s="233"/>
      <c r="FC244" s="233"/>
      <c r="FD244" s="233"/>
    </row>
    <row r="245" spans="1:160">
      <c r="A245" s="20" t="s">
        <v>3192</v>
      </c>
      <c r="B245" s="14">
        <v>4</v>
      </c>
      <c r="C245" s="14" t="s">
        <v>3139</v>
      </c>
      <c r="D245" s="14">
        <v>1</v>
      </c>
      <c r="E245" s="110" t="s">
        <v>3526</v>
      </c>
      <c r="F245" s="14" t="s">
        <v>3193</v>
      </c>
      <c r="G245" s="44" t="s">
        <v>3753</v>
      </c>
      <c r="H245" s="44" t="s">
        <v>3728</v>
      </c>
      <c r="I245" s="44">
        <v>4</v>
      </c>
      <c r="J245" s="28" t="s">
        <v>5232</v>
      </c>
      <c r="L245" s="233"/>
      <c r="M245" s="233"/>
      <c r="N245" s="233"/>
      <c r="O245" s="233"/>
      <c r="P245" s="233"/>
      <c r="Q245" s="233"/>
      <c r="R245" s="233"/>
      <c r="S245" s="233"/>
      <c r="T245" s="233"/>
      <c r="U245" s="233"/>
      <c r="V245" s="233"/>
      <c r="W245" s="233"/>
      <c r="X245" s="233"/>
      <c r="Y245" s="233"/>
      <c r="Z245" s="233"/>
      <c r="AA245" s="233"/>
      <c r="AB245" s="233"/>
      <c r="AC245" s="233"/>
      <c r="AD245" s="233"/>
      <c r="AE245" s="233"/>
      <c r="AF245" s="233"/>
      <c r="AG245" s="233"/>
      <c r="AH245" s="233"/>
      <c r="AI245" s="233"/>
      <c r="AJ245" s="233"/>
      <c r="AK245" s="233"/>
      <c r="AL245" s="233"/>
      <c r="AM245" s="233"/>
      <c r="AN245" s="233"/>
      <c r="AO245" s="233"/>
      <c r="AP245" s="233"/>
      <c r="AQ245" s="233"/>
      <c r="AR245" s="233"/>
      <c r="AS245" s="233"/>
      <c r="AT245" s="233"/>
      <c r="AU245" s="233"/>
      <c r="AV245" s="233"/>
      <c r="AW245" s="233"/>
      <c r="AX245" s="233"/>
      <c r="AY245" s="233"/>
      <c r="AZ245" s="233"/>
      <c r="BA245" s="233"/>
      <c r="BB245" s="233"/>
      <c r="BC245" s="233"/>
      <c r="BD245" s="233"/>
      <c r="BE245" s="233"/>
      <c r="BF245" s="233"/>
      <c r="BG245" s="233"/>
      <c r="BH245" s="233"/>
      <c r="BI245" s="233"/>
      <c r="BJ245" s="233"/>
      <c r="BK245" s="233"/>
      <c r="BL245" s="233"/>
      <c r="BM245" s="233"/>
      <c r="BN245" s="233"/>
      <c r="BO245" s="233"/>
      <c r="BP245" s="233"/>
      <c r="BQ245" s="233"/>
      <c r="BR245" s="233"/>
      <c r="BS245" s="233"/>
      <c r="BT245" s="233"/>
      <c r="BU245" s="233"/>
      <c r="BV245" s="233"/>
      <c r="BW245" s="233"/>
      <c r="BX245" s="233"/>
      <c r="BY245" s="233"/>
      <c r="BZ245" s="233"/>
      <c r="CA245" s="233"/>
      <c r="CB245" s="233"/>
      <c r="CC245" s="233"/>
      <c r="CD245" s="233"/>
      <c r="CE245" s="233"/>
      <c r="CF245" s="233"/>
      <c r="CG245" s="233"/>
      <c r="CH245" s="233"/>
      <c r="CI245" s="233"/>
      <c r="CJ245" s="233"/>
      <c r="CK245" s="233"/>
      <c r="CL245" s="233"/>
      <c r="CM245" s="233"/>
      <c r="CN245" s="233"/>
      <c r="CO245" s="233"/>
      <c r="CP245" s="233"/>
      <c r="CQ245" s="233"/>
      <c r="CR245" s="233"/>
      <c r="CS245" s="233"/>
      <c r="CT245" s="233"/>
      <c r="CU245" s="233"/>
      <c r="CV245" s="233"/>
      <c r="CW245" s="233"/>
      <c r="CX245" s="233"/>
      <c r="CY245" s="233"/>
      <c r="CZ245" s="233"/>
      <c r="DA245" s="233"/>
      <c r="DB245" s="233"/>
      <c r="DC245" s="233"/>
      <c r="DD245" s="233"/>
      <c r="DE245" s="233"/>
      <c r="DF245" s="233"/>
      <c r="DG245" s="233"/>
      <c r="DH245" s="233"/>
      <c r="DI245" s="233"/>
      <c r="DJ245" s="233"/>
      <c r="DK245" s="233"/>
      <c r="DL245" s="233"/>
      <c r="DM245" s="233"/>
      <c r="DN245" s="233"/>
      <c r="DO245" s="233"/>
      <c r="DP245" s="233"/>
      <c r="DQ245" s="233"/>
      <c r="DR245" s="233"/>
      <c r="DS245" s="233"/>
      <c r="DT245" s="233"/>
      <c r="DU245" s="233"/>
      <c r="DV245" s="233"/>
      <c r="DW245" s="233"/>
      <c r="DX245" s="233"/>
      <c r="DY245" s="233"/>
      <c r="DZ245" s="233"/>
      <c r="EA245" s="233"/>
      <c r="EB245" s="233"/>
      <c r="EC245" s="233"/>
      <c r="ED245" s="233"/>
      <c r="EE245" s="233"/>
      <c r="EF245" s="233"/>
      <c r="EG245" s="233"/>
      <c r="EH245" s="233"/>
      <c r="EI245" s="233"/>
      <c r="EJ245" s="233"/>
      <c r="EK245" s="233"/>
      <c r="EL245" s="233"/>
      <c r="EM245" s="233"/>
      <c r="EN245" s="233"/>
      <c r="EO245" s="233"/>
      <c r="EP245" s="233"/>
      <c r="EQ245" s="233"/>
      <c r="ER245" s="233"/>
      <c r="ES245" s="233"/>
      <c r="ET245" s="233"/>
      <c r="EU245" s="233"/>
      <c r="EV245" s="233"/>
      <c r="EW245" s="233"/>
      <c r="EX245" s="233"/>
      <c r="EY245" s="233"/>
      <c r="EZ245" s="233"/>
      <c r="FA245" s="233"/>
      <c r="FB245" s="233"/>
      <c r="FC245" s="233"/>
      <c r="FD245" s="233"/>
    </row>
    <row r="246" spans="1:160">
      <c r="A246" s="20" t="s">
        <v>3234</v>
      </c>
      <c r="B246" s="14">
        <v>4</v>
      </c>
      <c r="C246" s="14" t="s">
        <v>3187</v>
      </c>
      <c r="D246" s="14">
        <v>2</v>
      </c>
      <c r="E246" s="110" t="s">
        <v>3526</v>
      </c>
      <c r="F246" s="14" t="s">
        <v>3947</v>
      </c>
      <c r="G246" s="44" t="s">
        <v>3753</v>
      </c>
      <c r="H246" s="44" t="s">
        <v>3728</v>
      </c>
      <c r="I246" s="44" t="s">
        <v>3900</v>
      </c>
      <c r="J246" s="28" t="s">
        <v>4447</v>
      </c>
      <c r="L246" s="233"/>
      <c r="M246" s="233"/>
      <c r="N246" s="233"/>
      <c r="O246" s="233"/>
      <c r="P246" s="233"/>
      <c r="Q246" s="233"/>
      <c r="R246" s="233"/>
      <c r="S246" s="233"/>
      <c r="T246" s="233"/>
      <c r="U246" s="233"/>
      <c r="V246" s="233"/>
      <c r="W246" s="233"/>
      <c r="X246" s="233"/>
      <c r="Y246" s="233"/>
      <c r="Z246" s="233"/>
      <c r="AA246" s="233"/>
      <c r="AB246" s="233"/>
      <c r="AC246" s="233"/>
      <c r="AD246" s="233"/>
      <c r="AE246" s="233"/>
      <c r="AF246" s="233"/>
      <c r="AG246" s="233"/>
      <c r="AH246" s="233"/>
      <c r="AI246" s="233"/>
      <c r="AJ246" s="233"/>
      <c r="AK246" s="233"/>
      <c r="AL246" s="233"/>
      <c r="AM246" s="233"/>
      <c r="AN246" s="233"/>
      <c r="AO246" s="233"/>
      <c r="AP246" s="233"/>
      <c r="AQ246" s="233"/>
      <c r="AR246" s="233"/>
      <c r="AS246" s="233"/>
      <c r="AT246" s="233"/>
      <c r="AU246" s="233"/>
      <c r="AV246" s="233"/>
      <c r="AW246" s="233"/>
      <c r="AX246" s="233"/>
      <c r="AY246" s="233"/>
      <c r="AZ246" s="233"/>
      <c r="BA246" s="233"/>
      <c r="BB246" s="233"/>
      <c r="BC246" s="233"/>
      <c r="BD246" s="233"/>
      <c r="BE246" s="233"/>
      <c r="BF246" s="233"/>
      <c r="BG246" s="233"/>
      <c r="BH246" s="233"/>
      <c r="BI246" s="233"/>
      <c r="BJ246" s="233"/>
      <c r="BK246" s="233"/>
      <c r="BL246" s="233"/>
      <c r="BM246" s="233"/>
      <c r="BN246" s="233"/>
      <c r="BO246" s="233"/>
      <c r="BP246" s="233"/>
      <c r="BQ246" s="233"/>
      <c r="BR246" s="233"/>
      <c r="BS246" s="233"/>
      <c r="BT246" s="233"/>
      <c r="BU246" s="233"/>
      <c r="BV246" s="233"/>
      <c r="BW246" s="233"/>
      <c r="BX246" s="233"/>
      <c r="BY246" s="233"/>
      <c r="BZ246" s="233"/>
      <c r="CA246" s="233"/>
      <c r="CB246" s="233"/>
      <c r="CC246" s="233"/>
      <c r="CD246" s="233"/>
      <c r="CE246" s="233"/>
      <c r="CF246" s="233"/>
      <c r="CG246" s="233"/>
      <c r="CH246" s="233"/>
      <c r="CI246" s="233"/>
      <c r="CJ246" s="233"/>
      <c r="CK246" s="233"/>
      <c r="CL246" s="233"/>
      <c r="CM246" s="233"/>
      <c r="CN246" s="233"/>
      <c r="CO246" s="233"/>
      <c r="CP246" s="233"/>
      <c r="CQ246" s="233"/>
      <c r="CR246" s="233"/>
      <c r="CS246" s="233"/>
      <c r="CT246" s="233"/>
      <c r="CU246" s="233"/>
      <c r="CV246" s="233"/>
      <c r="CW246" s="233"/>
      <c r="CX246" s="233"/>
      <c r="CY246" s="233"/>
      <c r="CZ246" s="233"/>
      <c r="DA246" s="233"/>
      <c r="DB246" s="233"/>
      <c r="DC246" s="233"/>
      <c r="DD246" s="233"/>
      <c r="DE246" s="233"/>
      <c r="DF246" s="233"/>
      <c r="DG246" s="233"/>
      <c r="DH246" s="233"/>
      <c r="DI246" s="233"/>
      <c r="DJ246" s="233"/>
      <c r="DK246" s="233"/>
      <c r="DL246" s="233"/>
      <c r="DM246" s="233"/>
      <c r="DN246" s="233"/>
      <c r="DO246" s="233"/>
      <c r="DP246" s="233"/>
      <c r="DQ246" s="233"/>
      <c r="DR246" s="233"/>
      <c r="DS246" s="233"/>
      <c r="DT246" s="233"/>
      <c r="DU246" s="233"/>
      <c r="DV246" s="233"/>
      <c r="DW246" s="233"/>
      <c r="DX246" s="233"/>
      <c r="DY246" s="233"/>
      <c r="DZ246" s="233"/>
      <c r="EA246" s="233"/>
      <c r="EB246" s="233"/>
      <c r="EC246" s="233"/>
      <c r="ED246" s="233"/>
      <c r="EE246" s="233"/>
      <c r="EF246" s="233"/>
      <c r="EG246" s="233"/>
      <c r="EH246" s="233"/>
      <c r="EI246" s="233"/>
      <c r="EJ246" s="233"/>
      <c r="EK246" s="233"/>
      <c r="EL246" s="233"/>
      <c r="EM246" s="233"/>
      <c r="EN246" s="233"/>
      <c r="EO246" s="233"/>
      <c r="EP246" s="233"/>
      <c r="EQ246" s="233"/>
      <c r="ER246" s="233"/>
      <c r="ES246" s="233"/>
      <c r="ET246" s="233"/>
      <c r="EU246" s="233"/>
      <c r="EV246" s="233"/>
      <c r="EW246" s="233"/>
      <c r="EX246" s="233"/>
      <c r="EY246" s="233"/>
      <c r="EZ246" s="233"/>
      <c r="FA246" s="233"/>
      <c r="FB246" s="233"/>
      <c r="FC246" s="233"/>
      <c r="FD246" s="233"/>
    </row>
    <row r="247" spans="1:160">
      <c r="A247" s="20" t="s">
        <v>3025</v>
      </c>
      <c r="B247" s="14">
        <v>4</v>
      </c>
      <c r="C247" s="14" t="s">
        <v>3139</v>
      </c>
      <c r="D247" s="14">
        <v>2</v>
      </c>
      <c r="E247" s="110" t="s">
        <v>3026</v>
      </c>
      <c r="F247" s="14" t="s">
        <v>3914</v>
      </c>
      <c r="G247" s="44" t="s">
        <v>3550</v>
      </c>
      <c r="H247" s="44" t="s">
        <v>3915</v>
      </c>
      <c r="I247" s="44" t="s">
        <v>2746</v>
      </c>
      <c r="J247" s="28" t="s">
        <v>5232</v>
      </c>
      <c r="L247" s="233"/>
      <c r="M247" s="233"/>
      <c r="N247" s="233"/>
      <c r="O247" s="233"/>
      <c r="P247" s="233"/>
      <c r="Q247" s="233"/>
      <c r="R247" s="233"/>
      <c r="S247" s="233"/>
      <c r="T247" s="233"/>
      <c r="U247" s="233"/>
      <c r="V247" s="233"/>
      <c r="W247" s="233"/>
      <c r="X247" s="233"/>
      <c r="Y247" s="233"/>
      <c r="Z247" s="233"/>
      <c r="AA247" s="233"/>
      <c r="AB247" s="233"/>
      <c r="AC247" s="233"/>
      <c r="AD247" s="233"/>
      <c r="AE247" s="233"/>
      <c r="AF247" s="233"/>
      <c r="AG247" s="233"/>
      <c r="AH247" s="233"/>
      <c r="AI247" s="233"/>
      <c r="AJ247" s="233"/>
      <c r="AK247" s="233"/>
      <c r="AL247" s="233"/>
      <c r="AM247" s="233"/>
      <c r="AN247" s="233"/>
      <c r="AO247" s="233"/>
      <c r="AP247" s="233"/>
      <c r="AQ247" s="233"/>
      <c r="AR247" s="233"/>
      <c r="AS247" s="233"/>
      <c r="AT247" s="233"/>
      <c r="AU247" s="233"/>
      <c r="AV247" s="233"/>
      <c r="AW247" s="233"/>
      <c r="AX247" s="233"/>
      <c r="AY247" s="233"/>
      <c r="AZ247" s="233"/>
      <c r="BA247" s="233"/>
      <c r="BB247" s="233"/>
      <c r="BC247" s="233"/>
      <c r="BD247" s="233"/>
      <c r="BE247" s="233"/>
      <c r="BF247" s="233"/>
      <c r="BG247" s="233"/>
      <c r="BH247" s="233"/>
      <c r="BI247" s="233"/>
      <c r="BJ247" s="233"/>
      <c r="BK247" s="233"/>
      <c r="BL247" s="233"/>
      <c r="BM247" s="233"/>
      <c r="BN247" s="233"/>
      <c r="BO247" s="233"/>
      <c r="BP247" s="233"/>
      <c r="BQ247" s="233"/>
      <c r="BR247" s="233"/>
      <c r="BS247" s="233"/>
      <c r="BT247" s="233"/>
      <c r="BU247" s="233"/>
      <c r="BV247" s="233"/>
      <c r="BW247" s="233"/>
      <c r="BX247" s="233"/>
      <c r="BY247" s="233"/>
      <c r="BZ247" s="233"/>
      <c r="CA247" s="233"/>
      <c r="CB247" s="233"/>
      <c r="CC247" s="233"/>
      <c r="CD247" s="233"/>
      <c r="CE247" s="233"/>
      <c r="CF247" s="233"/>
      <c r="CG247" s="233"/>
      <c r="CH247" s="233"/>
      <c r="CI247" s="233"/>
      <c r="CJ247" s="233"/>
      <c r="CK247" s="233"/>
      <c r="CL247" s="233"/>
      <c r="CM247" s="233"/>
      <c r="CN247" s="233"/>
      <c r="CO247" s="233"/>
      <c r="CP247" s="233"/>
      <c r="CQ247" s="233"/>
      <c r="CR247" s="233"/>
      <c r="CS247" s="233"/>
      <c r="CT247" s="233"/>
      <c r="CU247" s="233"/>
      <c r="CV247" s="233"/>
      <c r="CW247" s="233"/>
      <c r="CX247" s="233"/>
      <c r="CY247" s="233"/>
      <c r="CZ247" s="233"/>
      <c r="DA247" s="233"/>
      <c r="DB247" s="233"/>
      <c r="DC247" s="233"/>
      <c r="DD247" s="233"/>
      <c r="DE247" s="233"/>
      <c r="DF247" s="233"/>
      <c r="DG247" s="233"/>
      <c r="DH247" s="233"/>
      <c r="DI247" s="233"/>
      <c r="DJ247" s="233"/>
      <c r="DK247" s="233"/>
      <c r="DL247" s="233"/>
      <c r="DM247" s="233"/>
      <c r="DN247" s="233"/>
      <c r="DO247" s="233"/>
      <c r="DP247" s="233"/>
      <c r="DQ247" s="233"/>
      <c r="DR247" s="233"/>
      <c r="DS247" s="233"/>
      <c r="DT247" s="233"/>
      <c r="DU247" s="233"/>
      <c r="DV247" s="233"/>
      <c r="DW247" s="233"/>
      <c r="DX247" s="233"/>
      <c r="DY247" s="233"/>
      <c r="DZ247" s="233"/>
      <c r="EA247" s="233"/>
      <c r="EB247" s="233"/>
      <c r="EC247" s="233"/>
      <c r="ED247" s="233"/>
      <c r="EE247" s="233"/>
      <c r="EF247" s="233"/>
      <c r="EG247" s="233"/>
      <c r="EH247" s="233"/>
      <c r="EI247" s="233"/>
      <c r="EJ247" s="233"/>
      <c r="EK247" s="233"/>
      <c r="EL247" s="233"/>
      <c r="EM247" s="233"/>
      <c r="EN247" s="233"/>
      <c r="EO247" s="233"/>
      <c r="EP247" s="233"/>
      <c r="EQ247" s="233"/>
      <c r="ER247" s="233"/>
      <c r="ES247" s="233"/>
      <c r="ET247" s="233"/>
      <c r="EU247" s="233"/>
      <c r="EV247" s="233"/>
      <c r="EW247" s="233"/>
      <c r="EX247" s="233"/>
      <c r="EY247" s="233"/>
      <c r="EZ247" s="233"/>
      <c r="FA247" s="233"/>
      <c r="FB247" s="233"/>
      <c r="FC247" s="233"/>
      <c r="FD247" s="233"/>
    </row>
    <row r="248" spans="1:160">
      <c r="A248" s="20" t="s">
        <v>3218</v>
      </c>
      <c r="B248" s="14">
        <v>4</v>
      </c>
      <c r="C248" s="14" t="s">
        <v>3689</v>
      </c>
      <c r="D248" s="14">
        <v>1</v>
      </c>
      <c r="E248" s="14" t="s">
        <v>3887</v>
      </c>
      <c r="F248" s="14" t="s">
        <v>3898</v>
      </c>
      <c r="G248" s="44" t="s">
        <v>3400</v>
      </c>
      <c r="H248" s="44" t="s">
        <v>3222</v>
      </c>
      <c r="I248" s="44" t="s">
        <v>3900</v>
      </c>
      <c r="J248" s="28" t="s">
        <v>4369</v>
      </c>
      <c r="L248" s="233"/>
      <c r="M248" s="233"/>
      <c r="N248" s="233"/>
      <c r="O248" s="233"/>
      <c r="P248" s="233"/>
      <c r="Q248" s="233"/>
      <c r="R248" s="233"/>
      <c r="S248" s="233"/>
      <c r="T248" s="233"/>
      <c r="U248" s="233"/>
      <c r="V248" s="233"/>
      <c r="W248" s="233"/>
      <c r="X248" s="233"/>
      <c r="Y248" s="233"/>
      <c r="Z248" s="233"/>
      <c r="AA248" s="233"/>
      <c r="AB248" s="233"/>
      <c r="AC248" s="233"/>
      <c r="AD248" s="233"/>
      <c r="AE248" s="233"/>
      <c r="AF248" s="233"/>
      <c r="AG248" s="233"/>
      <c r="AH248" s="233"/>
      <c r="AI248" s="233"/>
      <c r="AJ248" s="233"/>
      <c r="AK248" s="233"/>
      <c r="AL248" s="233"/>
      <c r="AM248" s="233"/>
      <c r="AN248" s="233"/>
      <c r="AO248" s="233"/>
      <c r="AP248" s="233"/>
      <c r="AQ248" s="233"/>
      <c r="AR248" s="233"/>
      <c r="AS248" s="233"/>
      <c r="AT248" s="233"/>
      <c r="AU248" s="233"/>
      <c r="AV248" s="233"/>
      <c r="AW248" s="233"/>
      <c r="AX248" s="233"/>
      <c r="AY248" s="233"/>
      <c r="AZ248" s="233"/>
      <c r="BA248" s="233"/>
      <c r="BB248" s="233"/>
      <c r="BC248" s="233"/>
      <c r="BD248" s="233"/>
      <c r="BE248" s="233"/>
      <c r="BF248" s="233"/>
      <c r="BG248" s="233"/>
      <c r="BH248" s="233"/>
      <c r="BI248" s="233"/>
      <c r="BJ248" s="233"/>
      <c r="BK248" s="233"/>
      <c r="BL248" s="233"/>
      <c r="BM248" s="233"/>
      <c r="BN248" s="233"/>
      <c r="BO248" s="233"/>
      <c r="BP248" s="233"/>
      <c r="BQ248" s="233"/>
      <c r="BR248" s="233"/>
      <c r="BS248" s="233"/>
      <c r="BT248" s="233"/>
      <c r="BU248" s="233"/>
      <c r="BV248" s="233"/>
      <c r="BW248" s="233"/>
      <c r="BX248" s="233"/>
      <c r="BY248" s="233"/>
      <c r="BZ248" s="233"/>
      <c r="CA248" s="233"/>
      <c r="CB248" s="233"/>
      <c r="CC248" s="233"/>
      <c r="CD248" s="233"/>
      <c r="CE248" s="233"/>
      <c r="CF248" s="233"/>
      <c r="CG248" s="233"/>
      <c r="CH248" s="233"/>
      <c r="CI248" s="233"/>
      <c r="CJ248" s="233"/>
      <c r="CK248" s="233"/>
      <c r="CL248" s="233"/>
      <c r="CM248" s="233"/>
      <c r="CN248" s="233"/>
      <c r="CO248" s="233"/>
      <c r="CP248" s="233"/>
      <c r="CQ248" s="233"/>
      <c r="CR248" s="233"/>
      <c r="CS248" s="233"/>
      <c r="CT248" s="233"/>
      <c r="CU248" s="233"/>
      <c r="CV248" s="233"/>
      <c r="CW248" s="233"/>
      <c r="CX248" s="233"/>
      <c r="CY248" s="233"/>
      <c r="CZ248" s="233"/>
      <c r="DA248" s="233"/>
      <c r="DB248" s="233"/>
      <c r="DC248" s="233"/>
      <c r="DD248" s="233"/>
      <c r="DE248" s="233"/>
      <c r="DF248" s="233"/>
      <c r="DG248" s="233"/>
      <c r="DH248" s="233"/>
      <c r="DI248" s="233"/>
      <c r="DJ248" s="233"/>
      <c r="DK248" s="233"/>
      <c r="DL248" s="233"/>
      <c r="DM248" s="233"/>
      <c r="DN248" s="233"/>
      <c r="DO248" s="233"/>
      <c r="DP248" s="233"/>
      <c r="DQ248" s="233"/>
      <c r="DR248" s="233"/>
      <c r="DS248" s="233"/>
      <c r="DT248" s="233"/>
      <c r="DU248" s="233"/>
      <c r="DV248" s="233"/>
      <c r="DW248" s="233"/>
      <c r="DX248" s="233"/>
      <c r="DY248" s="233"/>
      <c r="DZ248" s="233"/>
      <c r="EA248" s="233"/>
      <c r="EB248" s="233"/>
      <c r="EC248" s="233"/>
      <c r="ED248" s="233"/>
      <c r="EE248" s="233"/>
      <c r="EF248" s="233"/>
      <c r="EG248" s="233"/>
      <c r="EH248" s="233"/>
      <c r="EI248" s="233"/>
      <c r="EJ248" s="233"/>
      <c r="EK248" s="233"/>
      <c r="EL248" s="233"/>
      <c r="EM248" s="233"/>
      <c r="EN248" s="233"/>
      <c r="EO248" s="233"/>
      <c r="EP248" s="233"/>
      <c r="EQ248" s="233"/>
      <c r="ER248" s="233"/>
      <c r="ES248" s="233"/>
      <c r="ET248" s="233"/>
      <c r="EU248" s="233"/>
      <c r="EV248" s="233"/>
      <c r="EW248" s="233"/>
      <c r="EX248" s="233"/>
      <c r="EY248" s="233"/>
      <c r="EZ248" s="233"/>
      <c r="FA248" s="233"/>
      <c r="FB248" s="233"/>
      <c r="FC248" s="233"/>
      <c r="FD248" s="233"/>
    </row>
    <row r="249" spans="1:160">
      <c r="A249" s="283" t="s">
        <v>447</v>
      </c>
      <c r="B249" s="284">
        <v>4</v>
      </c>
      <c r="C249" s="284" t="s">
        <v>5755</v>
      </c>
      <c r="D249" s="284">
        <v>1</v>
      </c>
      <c r="E249" s="290" t="s">
        <v>3451</v>
      </c>
      <c r="F249" s="284" t="s">
        <v>3947</v>
      </c>
      <c r="G249" s="291" t="s">
        <v>3575</v>
      </c>
      <c r="H249" s="286" t="s">
        <v>448</v>
      </c>
      <c r="I249" s="286" t="s">
        <v>3900</v>
      </c>
      <c r="J249" s="287" t="s">
        <v>5232</v>
      </c>
      <c r="L249" s="233"/>
      <c r="M249" s="233"/>
      <c r="N249" s="233"/>
      <c r="O249" s="233"/>
      <c r="P249" s="233"/>
      <c r="Q249" s="233"/>
      <c r="R249" s="233"/>
      <c r="S249" s="233"/>
      <c r="T249" s="233"/>
      <c r="U249" s="233"/>
      <c r="V249" s="233"/>
      <c r="W249" s="233"/>
      <c r="X249" s="233"/>
      <c r="Y249" s="233"/>
      <c r="Z249" s="233"/>
      <c r="AA249" s="233"/>
      <c r="AB249" s="233"/>
      <c r="AC249" s="233"/>
      <c r="AD249" s="233"/>
      <c r="AE249" s="233"/>
      <c r="AF249" s="233"/>
      <c r="AG249" s="233"/>
      <c r="AH249" s="233"/>
      <c r="AI249" s="233"/>
      <c r="AJ249" s="233"/>
      <c r="AK249" s="233"/>
      <c r="AL249" s="233"/>
      <c r="AM249" s="233"/>
      <c r="AN249" s="233"/>
      <c r="AO249" s="233"/>
      <c r="AP249" s="233"/>
      <c r="AQ249" s="233"/>
      <c r="AR249" s="233"/>
      <c r="AS249" s="233"/>
      <c r="AT249" s="233"/>
      <c r="AU249" s="233"/>
      <c r="AV249" s="233"/>
      <c r="AW249" s="233"/>
      <c r="AX249" s="233"/>
      <c r="AY249" s="233"/>
      <c r="AZ249" s="233"/>
      <c r="BA249" s="233"/>
      <c r="BB249" s="233"/>
      <c r="BC249" s="233"/>
      <c r="BD249" s="233"/>
      <c r="BE249" s="233"/>
      <c r="BF249" s="233"/>
      <c r="BG249" s="233"/>
      <c r="BH249" s="233"/>
      <c r="BI249" s="233"/>
      <c r="BJ249" s="233"/>
      <c r="BK249" s="233"/>
      <c r="BL249" s="233"/>
      <c r="BM249" s="233"/>
      <c r="BN249" s="233"/>
      <c r="BO249" s="233"/>
      <c r="BP249" s="233"/>
      <c r="BQ249" s="233"/>
      <c r="BR249" s="233"/>
      <c r="BS249" s="233"/>
      <c r="BT249" s="233"/>
      <c r="BU249" s="233"/>
      <c r="BV249" s="233"/>
      <c r="BW249" s="233"/>
      <c r="BX249" s="233"/>
      <c r="BY249" s="233"/>
      <c r="BZ249" s="233"/>
      <c r="CA249" s="233"/>
      <c r="CB249" s="233"/>
      <c r="CC249" s="233"/>
      <c r="CD249" s="233"/>
      <c r="CE249" s="233"/>
      <c r="CF249" s="233"/>
      <c r="CG249" s="233"/>
      <c r="CH249" s="233"/>
      <c r="CI249" s="233"/>
      <c r="CJ249" s="233"/>
      <c r="CK249" s="233"/>
      <c r="CL249" s="233"/>
      <c r="CM249" s="233"/>
      <c r="CN249" s="233"/>
      <c r="CO249" s="233"/>
      <c r="CP249" s="233"/>
      <c r="CQ249" s="233"/>
      <c r="CR249" s="233"/>
      <c r="CS249" s="233"/>
      <c r="CT249" s="233"/>
      <c r="CU249" s="233"/>
      <c r="CV249" s="233"/>
      <c r="CW249" s="233"/>
      <c r="CX249" s="233"/>
      <c r="CY249" s="233"/>
      <c r="CZ249" s="233"/>
      <c r="DA249" s="233"/>
      <c r="DB249" s="233"/>
      <c r="DC249" s="233"/>
      <c r="DD249" s="233"/>
      <c r="DE249" s="233"/>
      <c r="DF249" s="233"/>
      <c r="DG249" s="233"/>
      <c r="DH249" s="233"/>
      <c r="DI249" s="233"/>
      <c r="DJ249" s="233"/>
      <c r="DK249" s="233"/>
      <c r="DL249" s="233"/>
      <c r="DM249" s="233"/>
      <c r="DN249" s="233"/>
      <c r="DO249" s="233"/>
      <c r="DP249" s="233"/>
      <c r="DQ249" s="233"/>
      <c r="DR249" s="233"/>
      <c r="DS249" s="233"/>
      <c r="DT249" s="233"/>
      <c r="DU249" s="233"/>
      <c r="DV249" s="233"/>
      <c r="DW249" s="233"/>
      <c r="DX249" s="233"/>
      <c r="DY249" s="233"/>
      <c r="DZ249" s="233"/>
      <c r="EA249" s="233"/>
      <c r="EB249" s="233"/>
      <c r="EC249" s="233"/>
      <c r="ED249" s="233"/>
      <c r="EE249" s="233"/>
      <c r="EF249" s="233"/>
      <c r="EG249" s="233"/>
      <c r="EH249" s="233"/>
      <c r="EI249" s="233"/>
      <c r="EJ249" s="233"/>
      <c r="EK249" s="233"/>
      <c r="EL249" s="233"/>
      <c r="EM249" s="233"/>
      <c r="EN249" s="233"/>
      <c r="EO249" s="233"/>
      <c r="EP249" s="233"/>
      <c r="EQ249" s="233"/>
      <c r="ER249" s="233"/>
      <c r="ES249" s="233"/>
      <c r="ET249" s="233"/>
      <c r="EU249" s="233"/>
      <c r="EV249" s="233"/>
      <c r="EW249" s="233"/>
      <c r="EX249" s="233"/>
      <c r="EY249" s="233"/>
      <c r="EZ249" s="233"/>
      <c r="FA249" s="233"/>
      <c r="FB249" s="233"/>
      <c r="FC249" s="233"/>
      <c r="FD249" s="233"/>
    </row>
    <row r="250" spans="1:160">
      <c r="A250" s="20" t="s">
        <v>3038</v>
      </c>
      <c r="B250" s="14">
        <v>4</v>
      </c>
      <c r="C250" s="14" t="s">
        <v>3886</v>
      </c>
      <c r="D250" s="14">
        <v>0</v>
      </c>
      <c r="E250" s="14" t="s">
        <v>3039</v>
      </c>
      <c r="F250" s="14" t="s">
        <v>3914</v>
      </c>
      <c r="G250" s="44" t="s">
        <v>3753</v>
      </c>
      <c r="H250" s="44" t="s">
        <v>3214</v>
      </c>
      <c r="I250" s="44" t="s">
        <v>3900</v>
      </c>
      <c r="J250" s="28" t="s">
        <v>4555</v>
      </c>
      <c r="L250" s="233"/>
      <c r="M250" s="233"/>
      <c r="N250" s="233"/>
      <c r="O250" s="233"/>
      <c r="P250" s="233"/>
      <c r="Q250" s="233"/>
      <c r="R250" s="233"/>
      <c r="S250" s="233"/>
      <c r="T250" s="233"/>
      <c r="U250" s="233"/>
      <c r="V250" s="233"/>
      <c r="W250" s="233"/>
      <c r="X250" s="233"/>
      <c r="Y250" s="233"/>
      <c r="Z250" s="233"/>
      <c r="AA250" s="233"/>
      <c r="AB250" s="233"/>
      <c r="AC250" s="233"/>
      <c r="AD250" s="233"/>
      <c r="AE250" s="233"/>
      <c r="AF250" s="233"/>
      <c r="AG250" s="233"/>
      <c r="AH250" s="233"/>
      <c r="AI250" s="233"/>
      <c r="AJ250" s="233"/>
      <c r="AK250" s="233"/>
      <c r="AL250" s="233"/>
      <c r="AM250" s="233"/>
      <c r="AN250" s="233"/>
      <c r="AO250" s="233"/>
      <c r="AP250" s="233"/>
      <c r="AQ250" s="233"/>
      <c r="AR250" s="233"/>
      <c r="AS250" s="233"/>
      <c r="AT250" s="233"/>
      <c r="AU250" s="233"/>
      <c r="AV250" s="233"/>
      <c r="AW250" s="233"/>
      <c r="AX250" s="233"/>
      <c r="AY250" s="233"/>
      <c r="AZ250" s="233"/>
      <c r="BA250" s="233"/>
      <c r="BB250" s="233"/>
      <c r="BC250" s="233"/>
      <c r="BD250" s="233"/>
      <c r="BE250" s="233"/>
      <c r="BF250" s="233"/>
      <c r="BG250" s="233"/>
      <c r="BH250" s="233"/>
      <c r="BI250" s="233"/>
      <c r="BJ250" s="233"/>
      <c r="BK250" s="233"/>
      <c r="BL250" s="233"/>
      <c r="BM250" s="233"/>
      <c r="BN250" s="233"/>
      <c r="BO250" s="233"/>
      <c r="BP250" s="233"/>
      <c r="BQ250" s="233"/>
      <c r="BR250" s="233"/>
      <c r="BS250" s="233"/>
      <c r="BT250" s="233"/>
      <c r="BU250" s="233"/>
      <c r="BV250" s="233"/>
      <c r="BW250" s="233"/>
      <c r="BX250" s="233"/>
      <c r="BY250" s="233"/>
      <c r="BZ250" s="233"/>
      <c r="CA250" s="233"/>
      <c r="CB250" s="233"/>
      <c r="CC250" s="233"/>
      <c r="CD250" s="233"/>
      <c r="CE250" s="233"/>
      <c r="CF250" s="233"/>
      <c r="CG250" s="233"/>
      <c r="CH250" s="233"/>
      <c r="CI250" s="233"/>
      <c r="CJ250" s="233"/>
      <c r="CK250" s="233"/>
      <c r="CL250" s="233"/>
      <c r="CM250" s="233"/>
      <c r="CN250" s="233"/>
      <c r="CO250" s="233"/>
      <c r="CP250" s="233"/>
      <c r="CQ250" s="233"/>
      <c r="CR250" s="233"/>
      <c r="CS250" s="233"/>
      <c r="CT250" s="233"/>
      <c r="CU250" s="233"/>
      <c r="CV250" s="233"/>
      <c r="CW250" s="233"/>
      <c r="CX250" s="233"/>
      <c r="CY250" s="233"/>
      <c r="CZ250" s="233"/>
      <c r="DA250" s="233"/>
      <c r="DB250" s="233"/>
      <c r="DC250" s="233"/>
      <c r="DD250" s="233"/>
      <c r="DE250" s="233"/>
      <c r="DF250" s="233"/>
      <c r="DG250" s="233"/>
      <c r="DH250" s="233"/>
      <c r="DI250" s="233"/>
      <c r="DJ250" s="233"/>
      <c r="DK250" s="233"/>
      <c r="DL250" s="233"/>
      <c r="DM250" s="233"/>
      <c r="DN250" s="233"/>
      <c r="DO250" s="233"/>
      <c r="DP250" s="233"/>
      <c r="DQ250" s="233"/>
      <c r="DR250" s="233"/>
      <c r="DS250" s="233"/>
      <c r="DT250" s="233"/>
      <c r="DU250" s="233"/>
      <c r="DV250" s="233"/>
      <c r="DW250" s="233"/>
      <c r="DX250" s="233"/>
      <c r="DY250" s="233"/>
      <c r="DZ250" s="233"/>
      <c r="EA250" s="233"/>
      <c r="EB250" s="233"/>
      <c r="EC250" s="233"/>
      <c r="ED250" s="233"/>
      <c r="EE250" s="233"/>
      <c r="EF250" s="233"/>
      <c r="EG250" s="233"/>
      <c r="EH250" s="233"/>
      <c r="EI250" s="233"/>
      <c r="EJ250" s="233"/>
      <c r="EK250" s="233"/>
      <c r="EL250" s="233"/>
      <c r="EM250" s="233"/>
      <c r="EN250" s="233"/>
      <c r="EO250" s="233"/>
      <c r="EP250" s="233"/>
      <c r="EQ250" s="233"/>
      <c r="ER250" s="233"/>
      <c r="ES250" s="233"/>
      <c r="ET250" s="233"/>
      <c r="EU250" s="233"/>
      <c r="EV250" s="233"/>
      <c r="EW250" s="233"/>
      <c r="EX250" s="233"/>
      <c r="EY250" s="233"/>
      <c r="EZ250" s="233"/>
      <c r="FA250" s="233"/>
      <c r="FB250" s="233"/>
      <c r="FC250" s="233"/>
      <c r="FD250" s="233"/>
    </row>
    <row r="251" spans="1:160">
      <c r="A251" s="20" t="s">
        <v>3228</v>
      </c>
      <c r="B251" s="14">
        <v>4</v>
      </c>
      <c r="C251" s="14" t="s">
        <v>3689</v>
      </c>
      <c r="D251" s="14">
        <v>3</v>
      </c>
      <c r="E251" s="110" t="s">
        <v>3701</v>
      </c>
      <c r="F251" s="14" t="s">
        <v>3898</v>
      </c>
      <c r="G251" s="44" t="s">
        <v>3420</v>
      </c>
      <c r="H251" s="44" t="s">
        <v>3052</v>
      </c>
      <c r="I251" s="44" t="s">
        <v>3900</v>
      </c>
      <c r="J251" s="28" t="s">
        <v>4369</v>
      </c>
      <c r="L251" s="233"/>
      <c r="M251" s="233"/>
      <c r="N251" s="233"/>
      <c r="O251" s="233"/>
      <c r="P251" s="233"/>
      <c r="Q251" s="233"/>
      <c r="R251" s="233"/>
      <c r="S251" s="233"/>
      <c r="T251" s="233"/>
      <c r="U251" s="233"/>
      <c r="V251" s="233"/>
      <c r="W251" s="233"/>
      <c r="X251" s="233"/>
      <c r="Y251" s="233"/>
      <c r="Z251" s="233"/>
      <c r="AA251" s="233"/>
      <c r="AB251" s="233"/>
      <c r="AC251" s="233"/>
      <c r="AD251" s="233"/>
      <c r="AE251" s="233"/>
      <c r="AF251" s="233"/>
      <c r="AG251" s="233"/>
      <c r="AH251" s="233"/>
      <c r="AI251" s="233"/>
      <c r="AJ251" s="233"/>
      <c r="AK251" s="233"/>
      <c r="AL251" s="233"/>
      <c r="AM251" s="233"/>
      <c r="AN251" s="233"/>
      <c r="AO251" s="233"/>
      <c r="AP251" s="233"/>
      <c r="AQ251" s="233"/>
      <c r="AR251" s="233"/>
      <c r="AS251" s="233"/>
      <c r="AT251" s="233"/>
      <c r="AU251" s="233"/>
      <c r="AV251" s="233"/>
      <c r="AW251" s="233"/>
      <c r="AX251" s="233"/>
      <c r="AY251" s="233"/>
      <c r="AZ251" s="233"/>
      <c r="BA251" s="233"/>
      <c r="BB251" s="233"/>
      <c r="BC251" s="233"/>
      <c r="BD251" s="233"/>
      <c r="BE251" s="233"/>
      <c r="BF251" s="233"/>
      <c r="BG251" s="233"/>
      <c r="BH251" s="233"/>
      <c r="BI251" s="233"/>
      <c r="BJ251" s="233"/>
      <c r="BK251" s="233"/>
      <c r="BL251" s="233"/>
      <c r="BM251" s="233"/>
      <c r="BN251" s="233"/>
      <c r="BO251" s="233"/>
      <c r="BP251" s="233"/>
      <c r="BQ251" s="233"/>
      <c r="BR251" s="233"/>
      <c r="BS251" s="233"/>
      <c r="BT251" s="233"/>
      <c r="BU251" s="233"/>
      <c r="BV251" s="233"/>
      <c r="BW251" s="233"/>
      <c r="BX251" s="233"/>
      <c r="BY251" s="233"/>
      <c r="BZ251" s="233"/>
      <c r="CA251" s="233"/>
      <c r="CB251" s="233"/>
      <c r="CC251" s="233"/>
      <c r="CD251" s="233"/>
      <c r="CE251" s="233"/>
      <c r="CF251" s="233"/>
      <c r="CG251" s="233"/>
      <c r="CH251" s="233"/>
      <c r="CI251" s="233"/>
      <c r="CJ251" s="233"/>
      <c r="CK251" s="233"/>
      <c r="CL251" s="233"/>
      <c r="CM251" s="233"/>
      <c r="CN251" s="233"/>
      <c r="CO251" s="233"/>
      <c r="CP251" s="233"/>
      <c r="CQ251" s="233"/>
      <c r="CR251" s="233"/>
      <c r="CS251" s="233"/>
      <c r="CT251" s="233"/>
      <c r="CU251" s="233"/>
      <c r="CV251" s="233"/>
      <c r="CW251" s="233"/>
      <c r="CX251" s="233"/>
      <c r="CY251" s="233"/>
      <c r="CZ251" s="233"/>
      <c r="DA251" s="233"/>
      <c r="DB251" s="233"/>
      <c r="DC251" s="233"/>
      <c r="DD251" s="233"/>
      <c r="DE251" s="233"/>
      <c r="DF251" s="233"/>
      <c r="DG251" s="233"/>
      <c r="DH251" s="233"/>
      <c r="DI251" s="233"/>
      <c r="DJ251" s="233"/>
      <c r="DK251" s="233"/>
      <c r="DL251" s="233"/>
      <c r="DM251" s="233"/>
      <c r="DN251" s="233"/>
      <c r="DO251" s="233"/>
      <c r="DP251" s="233"/>
      <c r="DQ251" s="233"/>
      <c r="DR251" s="233"/>
      <c r="DS251" s="233"/>
      <c r="DT251" s="233"/>
      <c r="DU251" s="233"/>
      <c r="DV251" s="233"/>
      <c r="DW251" s="233"/>
      <c r="DX251" s="233"/>
      <c r="DY251" s="233"/>
      <c r="DZ251" s="233"/>
      <c r="EA251" s="233"/>
      <c r="EB251" s="233"/>
      <c r="EC251" s="233"/>
      <c r="ED251" s="233"/>
      <c r="EE251" s="233"/>
      <c r="EF251" s="233"/>
      <c r="EG251" s="233"/>
      <c r="EH251" s="233"/>
      <c r="EI251" s="233"/>
      <c r="EJ251" s="233"/>
      <c r="EK251" s="233"/>
      <c r="EL251" s="233"/>
      <c r="EM251" s="233"/>
      <c r="EN251" s="233"/>
      <c r="EO251" s="233"/>
      <c r="EP251" s="233"/>
      <c r="EQ251" s="233"/>
      <c r="ER251" s="233"/>
      <c r="ES251" s="233"/>
      <c r="ET251" s="233"/>
      <c r="EU251" s="233"/>
      <c r="EV251" s="233"/>
      <c r="EW251" s="233"/>
      <c r="EX251" s="233"/>
      <c r="EY251" s="233"/>
      <c r="EZ251" s="233"/>
      <c r="FA251" s="233"/>
      <c r="FB251" s="233"/>
      <c r="FC251" s="233"/>
      <c r="FD251" s="233"/>
    </row>
    <row r="252" spans="1:160">
      <c r="A252" s="20" t="s">
        <v>3223</v>
      </c>
      <c r="B252" s="14">
        <v>4</v>
      </c>
      <c r="C252" s="14" t="s">
        <v>3886</v>
      </c>
      <c r="D252" s="14">
        <v>1</v>
      </c>
      <c r="E252" s="110" t="s">
        <v>3858</v>
      </c>
      <c r="F252" s="14" t="s">
        <v>3548</v>
      </c>
      <c r="G252" s="44" t="s">
        <v>3901</v>
      </c>
      <c r="H252" s="44" t="s">
        <v>3224</v>
      </c>
      <c r="I252" s="44" t="s">
        <v>3900</v>
      </c>
      <c r="J252" s="28" t="s">
        <v>4555</v>
      </c>
      <c r="L252" s="233"/>
      <c r="M252" s="233"/>
      <c r="N252" s="233"/>
      <c r="O252" s="233"/>
      <c r="P252" s="233"/>
      <c r="Q252" s="233"/>
      <c r="R252" s="233"/>
      <c r="S252" s="233"/>
      <c r="T252" s="233"/>
      <c r="U252" s="233"/>
      <c r="V252" s="233"/>
      <c r="W252" s="233"/>
      <c r="X252" s="233"/>
      <c r="Y252" s="233"/>
      <c r="Z252" s="233"/>
      <c r="AA252" s="233"/>
      <c r="AB252" s="233"/>
      <c r="AC252" s="233"/>
      <c r="AD252" s="233"/>
      <c r="AE252" s="233"/>
      <c r="AF252" s="233"/>
      <c r="AG252" s="233"/>
      <c r="AH252" s="233"/>
      <c r="AI252" s="233"/>
      <c r="AJ252" s="233"/>
      <c r="AK252" s="233"/>
      <c r="AL252" s="233"/>
      <c r="AM252" s="233"/>
      <c r="AN252" s="233"/>
      <c r="AO252" s="233"/>
      <c r="AP252" s="233"/>
      <c r="AQ252" s="233"/>
      <c r="AR252" s="233"/>
      <c r="AS252" s="233"/>
      <c r="AT252" s="233"/>
      <c r="AU252" s="233"/>
      <c r="AV252" s="233"/>
      <c r="AW252" s="233"/>
      <c r="AX252" s="233"/>
      <c r="AY252" s="233"/>
      <c r="AZ252" s="233"/>
      <c r="BA252" s="233"/>
      <c r="BB252" s="233"/>
      <c r="BC252" s="233"/>
      <c r="BD252" s="233"/>
      <c r="BE252" s="233"/>
      <c r="BF252" s="233"/>
      <c r="BG252" s="233"/>
      <c r="BH252" s="233"/>
      <c r="BI252" s="233"/>
      <c r="BJ252" s="233"/>
      <c r="BK252" s="233"/>
      <c r="BL252" s="233"/>
      <c r="BM252" s="233"/>
      <c r="BN252" s="233"/>
      <c r="BO252" s="233"/>
      <c r="BP252" s="233"/>
      <c r="BQ252" s="233"/>
      <c r="BR252" s="233"/>
      <c r="BS252" s="233"/>
      <c r="BT252" s="233"/>
      <c r="BU252" s="233"/>
      <c r="BV252" s="233"/>
      <c r="BW252" s="233"/>
      <c r="BX252" s="233"/>
      <c r="BY252" s="233"/>
      <c r="BZ252" s="233"/>
      <c r="CA252" s="233"/>
      <c r="CB252" s="233"/>
      <c r="CC252" s="233"/>
      <c r="CD252" s="233"/>
      <c r="CE252" s="233"/>
      <c r="CF252" s="233"/>
      <c r="CG252" s="233"/>
      <c r="CH252" s="233"/>
      <c r="CI252" s="233"/>
      <c r="CJ252" s="233"/>
      <c r="CK252" s="233"/>
      <c r="CL252" s="233"/>
      <c r="CM252" s="233"/>
      <c r="CN252" s="233"/>
      <c r="CO252" s="233"/>
      <c r="CP252" s="233"/>
      <c r="CQ252" s="233"/>
      <c r="CR252" s="233"/>
      <c r="CS252" s="233"/>
      <c r="CT252" s="233"/>
      <c r="CU252" s="233"/>
      <c r="CV252" s="233"/>
      <c r="CW252" s="233"/>
      <c r="CX252" s="233"/>
      <c r="CY252" s="233"/>
      <c r="CZ252" s="233"/>
      <c r="DA252" s="233"/>
      <c r="DB252" s="233"/>
      <c r="DC252" s="233"/>
      <c r="DD252" s="233"/>
      <c r="DE252" s="233"/>
      <c r="DF252" s="233"/>
      <c r="DG252" s="233"/>
      <c r="DH252" s="233"/>
      <c r="DI252" s="233"/>
      <c r="DJ252" s="233"/>
      <c r="DK252" s="233"/>
      <c r="DL252" s="233"/>
      <c r="DM252" s="233"/>
      <c r="DN252" s="233"/>
      <c r="DO252" s="233"/>
      <c r="DP252" s="233"/>
      <c r="DQ252" s="233"/>
      <c r="DR252" s="233"/>
      <c r="DS252" s="233"/>
      <c r="DT252" s="233"/>
      <c r="DU252" s="233"/>
      <c r="DV252" s="233"/>
      <c r="DW252" s="233"/>
      <c r="DX252" s="233"/>
      <c r="DY252" s="233"/>
      <c r="DZ252" s="233"/>
      <c r="EA252" s="233"/>
      <c r="EB252" s="233"/>
      <c r="EC252" s="233"/>
      <c r="ED252" s="233"/>
      <c r="EE252" s="233"/>
      <c r="EF252" s="233"/>
      <c r="EG252" s="233"/>
      <c r="EH252" s="233"/>
      <c r="EI252" s="233"/>
      <c r="EJ252" s="233"/>
      <c r="EK252" s="233"/>
      <c r="EL252" s="233"/>
      <c r="EM252" s="233"/>
      <c r="EN252" s="233"/>
      <c r="EO252" s="233"/>
      <c r="EP252" s="233"/>
      <c r="EQ252" s="233"/>
      <c r="ER252" s="233"/>
      <c r="ES252" s="233"/>
      <c r="ET252" s="233"/>
      <c r="EU252" s="233"/>
      <c r="EV252" s="233"/>
      <c r="EW252" s="233"/>
      <c r="EX252" s="233"/>
      <c r="EY252" s="233"/>
      <c r="EZ252" s="233"/>
      <c r="FA252" s="233"/>
      <c r="FB252" s="233"/>
      <c r="FC252" s="233"/>
      <c r="FD252" s="233"/>
    </row>
    <row r="253" spans="1:160">
      <c r="A253" s="20" t="s">
        <v>449</v>
      </c>
      <c r="B253" s="14">
        <v>4</v>
      </c>
      <c r="C253" s="14" t="s">
        <v>3886</v>
      </c>
      <c r="D253" s="14">
        <v>1</v>
      </c>
      <c r="E253" s="110" t="s">
        <v>3858</v>
      </c>
      <c r="F253" s="14" t="s">
        <v>3548</v>
      </c>
      <c r="G253" s="44" t="s">
        <v>3901</v>
      </c>
      <c r="H253" s="44" t="s">
        <v>3224</v>
      </c>
      <c r="I253" s="44" t="s">
        <v>3900</v>
      </c>
      <c r="J253" s="28" t="s">
        <v>450</v>
      </c>
      <c r="L253" s="233"/>
      <c r="M253" s="233"/>
      <c r="N253" s="233"/>
      <c r="O253" s="233"/>
      <c r="P253" s="233"/>
      <c r="Q253" s="233"/>
      <c r="R253" s="233"/>
      <c r="S253" s="233"/>
      <c r="T253" s="233"/>
      <c r="U253" s="233"/>
      <c r="V253" s="233"/>
      <c r="W253" s="233"/>
      <c r="X253" s="233"/>
      <c r="Y253" s="233"/>
      <c r="Z253" s="233"/>
      <c r="AA253" s="233"/>
      <c r="AB253" s="233"/>
      <c r="AC253" s="233"/>
      <c r="AD253" s="233"/>
      <c r="AE253" s="233"/>
      <c r="AF253" s="233"/>
      <c r="AG253" s="233"/>
      <c r="AH253" s="233"/>
      <c r="AI253" s="233"/>
      <c r="AJ253" s="233"/>
      <c r="AK253" s="233"/>
      <c r="AL253" s="233"/>
      <c r="AM253" s="233"/>
      <c r="AN253" s="233"/>
      <c r="AO253" s="233"/>
      <c r="AP253" s="233"/>
      <c r="AQ253" s="233"/>
      <c r="AR253" s="233"/>
      <c r="AS253" s="233"/>
      <c r="AT253" s="233"/>
      <c r="AU253" s="233"/>
      <c r="AV253" s="233"/>
      <c r="AW253" s="233"/>
      <c r="AX253" s="233"/>
      <c r="AY253" s="233"/>
      <c r="AZ253" s="233"/>
      <c r="BA253" s="233"/>
      <c r="BB253" s="233"/>
      <c r="BC253" s="233"/>
      <c r="BD253" s="233"/>
      <c r="BE253" s="233"/>
      <c r="BF253" s="233"/>
      <c r="BG253" s="233"/>
      <c r="BH253" s="233"/>
      <c r="BI253" s="233"/>
      <c r="BJ253" s="233"/>
      <c r="BK253" s="233"/>
      <c r="BL253" s="233"/>
      <c r="BM253" s="233"/>
      <c r="BN253" s="233"/>
      <c r="BO253" s="233"/>
      <c r="BP253" s="233"/>
      <c r="BQ253" s="233"/>
      <c r="BR253" s="233"/>
      <c r="BS253" s="233"/>
      <c r="BT253" s="233"/>
      <c r="BU253" s="233"/>
      <c r="BV253" s="233"/>
      <c r="BW253" s="233"/>
      <c r="BX253" s="233"/>
      <c r="BY253" s="233"/>
      <c r="BZ253" s="233"/>
      <c r="CA253" s="233"/>
      <c r="CB253" s="233"/>
      <c r="CC253" s="233"/>
      <c r="CD253" s="233"/>
      <c r="CE253" s="233"/>
      <c r="CF253" s="233"/>
      <c r="CG253" s="233"/>
      <c r="CH253" s="233"/>
      <c r="CI253" s="233"/>
      <c r="CJ253" s="233"/>
      <c r="CK253" s="233"/>
      <c r="CL253" s="233"/>
      <c r="CM253" s="233"/>
      <c r="CN253" s="233"/>
      <c r="CO253" s="233"/>
      <c r="CP253" s="233"/>
      <c r="CQ253" s="233"/>
      <c r="CR253" s="233"/>
      <c r="CS253" s="233"/>
      <c r="CT253" s="233"/>
      <c r="CU253" s="233"/>
      <c r="CV253" s="233"/>
      <c r="CW253" s="233"/>
      <c r="CX253" s="233"/>
      <c r="CY253" s="233"/>
      <c r="CZ253" s="233"/>
      <c r="DA253" s="233"/>
      <c r="DB253" s="233"/>
      <c r="DC253" s="233"/>
      <c r="DD253" s="233"/>
      <c r="DE253" s="233"/>
      <c r="DF253" s="233"/>
      <c r="DG253" s="233"/>
      <c r="DH253" s="233"/>
      <c r="DI253" s="233"/>
      <c r="DJ253" s="233"/>
      <c r="DK253" s="233"/>
      <c r="DL253" s="233"/>
      <c r="DM253" s="233"/>
      <c r="DN253" s="233"/>
      <c r="DO253" s="233"/>
      <c r="DP253" s="233"/>
      <c r="DQ253" s="233"/>
      <c r="DR253" s="233"/>
      <c r="DS253" s="233"/>
      <c r="DT253" s="233"/>
      <c r="DU253" s="233"/>
      <c r="DV253" s="233"/>
      <c r="DW253" s="233"/>
      <c r="DX253" s="233"/>
      <c r="DY253" s="233"/>
      <c r="DZ253" s="233"/>
      <c r="EA253" s="233"/>
      <c r="EB253" s="233"/>
      <c r="EC253" s="233"/>
      <c r="ED253" s="233"/>
      <c r="EE253" s="233"/>
      <c r="EF253" s="233"/>
      <c r="EG253" s="233"/>
      <c r="EH253" s="233"/>
      <c r="EI253" s="233"/>
      <c r="EJ253" s="233"/>
      <c r="EK253" s="233"/>
      <c r="EL253" s="233"/>
      <c r="EM253" s="233"/>
      <c r="EN253" s="233"/>
      <c r="EO253" s="233"/>
      <c r="EP253" s="233"/>
      <c r="EQ253" s="233"/>
      <c r="ER253" s="233"/>
      <c r="ES253" s="233"/>
      <c r="ET253" s="233"/>
      <c r="EU253" s="233"/>
      <c r="EV253" s="233"/>
      <c r="EW253" s="233"/>
      <c r="EX253" s="233"/>
      <c r="EY253" s="233"/>
      <c r="EZ253" s="233"/>
      <c r="FA253" s="233"/>
      <c r="FB253" s="233"/>
      <c r="FC253" s="233"/>
      <c r="FD253" s="233"/>
    </row>
    <row r="254" spans="1:160">
      <c r="A254" s="20" t="s">
        <v>3235</v>
      </c>
      <c r="B254" s="14">
        <v>4</v>
      </c>
      <c r="C254" s="14" t="s">
        <v>3886</v>
      </c>
      <c r="D254" s="14">
        <v>1</v>
      </c>
      <c r="E254" s="110" t="s">
        <v>3526</v>
      </c>
      <c r="F254" s="14" t="s">
        <v>3200</v>
      </c>
      <c r="G254" s="44" t="s">
        <v>3736</v>
      </c>
      <c r="H254" s="44" t="s">
        <v>3706</v>
      </c>
      <c r="I254" s="44" t="s">
        <v>3900</v>
      </c>
      <c r="J254" s="28" t="s">
        <v>4555</v>
      </c>
      <c r="L254" s="233"/>
      <c r="M254" s="233"/>
      <c r="N254" s="233"/>
      <c r="O254" s="233"/>
      <c r="P254" s="233"/>
      <c r="Q254" s="233"/>
      <c r="R254" s="233"/>
      <c r="S254" s="233"/>
      <c r="T254" s="233"/>
      <c r="U254" s="233"/>
      <c r="V254" s="233"/>
      <c r="W254" s="233"/>
      <c r="X254" s="233"/>
      <c r="Y254" s="233"/>
      <c r="Z254" s="233"/>
      <c r="AA254" s="233"/>
      <c r="AB254" s="233"/>
      <c r="AC254" s="233"/>
      <c r="AD254" s="233"/>
      <c r="AE254" s="233"/>
      <c r="AF254" s="233"/>
      <c r="AG254" s="233"/>
      <c r="AH254" s="233"/>
      <c r="AI254" s="233"/>
      <c r="AJ254" s="233"/>
      <c r="AK254" s="233"/>
      <c r="AL254" s="233"/>
      <c r="AM254" s="233"/>
      <c r="AN254" s="233"/>
      <c r="AO254" s="233"/>
      <c r="AP254" s="233"/>
      <c r="AQ254" s="233"/>
      <c r="AR254" s="233"/>
      <c r="AS254" s="233"/>
      <c r="AT254" s="233"/>
      <c r="AU254" s="233"/>
      <c r="AV254" s="233"/>
      <c r="AW254" s="233"/>
      <c r="AX254" s="233"/>
      <c r="AY254" s="233"/>
      <c r="AZ254" s="233"/>
      <c r="BA254" s="233"/>
      <c r="BB254" s="233"/>
      <c r="BC254" s="233"/>
      <c r="BD254" s="233"/>
      <c r="BE254" s="233"/>
      <c r="BF254" s="233"/>
      <c r="BG254" s="233"/>
      <c r="BH254" s="233"/>
      <c r="BI254" s="233"/>
      <c r="BJ254" s="233"/>
      <c r="BK254" s="233"/>
      <c r="BL254" s="233"/>
      <c r="BM254" s="233"/>
      <c r="BN254" s="233"/>
      <c r="BO254" s="233"/>
      <c r="BP254" s="233"/>
      <c r="BQ254" s="233"/>
      <c r="BR254" s="233"/>
      <c r="BS254" s="233"/>
      <c r="BT254" s="233"/>
      <c r="BU254" s="233"/>
      <c r="BV254" s="233"/>
      <c r="BW254" s="233"/>
      <c r="BX254" s="233"/>
      <c r="BY254" s="233"/>
      <c r="BZ254" s="233"/>
      <c r="CA254" s="233"/>
      <c r="CB254" s="233"/>
      <c r="CC254" s="233"/>
      <c r="CD254" s="233"/>
      <c r="CE254" s="233"/>
      <c r="CF254" s="233"/>
      <c r="CG254" s="233"/>
      <c r="CH254" s="233"/>
      <c r="CI254" s="233"/>
      <c r="CJ254" s="233"/>
      <c r="CK254" s="233"/>
      <c r="CL254" s="233"/>
      <c r="CM254" s="233"/>
      <c r="CN254" s="233"/>
      <c r="CO254" s="233"/>
      <c r="CP254" s="233"/>
      <c r="CQ254" s="233"/>
      <c r="CR254" s="233"/>
      <c r="CS254" s="233"/>
      <c r="CT254" s="233"/>
      <c r="CU254" s="233"/>
      <c r="CV254" s="233"/>
      <c r="CW254" s="233"/>
      <c r="CX254" s="233"/>
      <c r="CY254" s="233"/>
      <c r="CZ254" s="233"/>
      <c r="DA254" s="233"/>
      <c r="DB254" s="233"/>
      <c r="DC254" s="233"/>
      <c r="DD254" s="233"/>
      <c r="DE254" s="233"/>
      <c r="DF254" s="233"/>
      <c r="DG254" s="233"/>
      <c r="DH254" s="233"/>
      <c r="DI254" s="233"/>
      <c r="DJ254" s="233"/>
      <c r="DK254" s="233"/>
      <c r="DL254" s="233"/>
      <c r="DM254" s="233"/>
      <c r="DN254" s="233"/>
      <c r="DO254" s="233"/>
      <c r="DP254" s="233"/>
      <c r="DQ254" s="233"/>
      <c r="DR254" s="233"/>
      <c r="DS254" s="233"/>
      <c r="DT254" s="233"/>
      <c r="DU254" s="233"/>
      <c r="DV254" s="233"/>
      <c r="DW254" s="233"/>
      <c r="DX254" s="233"/>
      <c r="DY254" s="233"/>
      <c r="DZ254" s="233"/>
      <c r="EA254" s="233"/>
      <c r="EB254" s="233"/>
      <c r="EC254" s="233"/>
      <c r="ED254" s="233"/>
      <c r="EE254" s="233"/>
      <c r="EF254" s="233"/>
      <c r="EG254" s="233"/>
      <c r="EH254" s="233"/>
      <c r="EI254" s="233"/>
      <c r="EJ254" s="233"/>
      <c r="EK254" s="233"/>
      <c r="EL254" s="233"/>
      <c r="EM254" s="233"/>
      <c r="EN254" s="233"/>
      <c r="EO254" s="233"/>
      <c r="EP254" s="233"/>
      <c r="EQ254" s="233"/>
      <c r="ER254" s="233"/>
      <c r="ES254" s="233"/>
      <c r="ET254" s="233"/>
      <c r="EU254" s="233"/>
      <c r="EV254" s="233"/>
      <c r="EW254" s="233"/>
      <c r="EX254" s="233"/>
      <c r="EY254" s="233"/>
      <c r="EZ254" s="233"/>
      <c r="FA254" s="233"/>
      <c r="FB254" s="233"/>
      <c r="FC254" s="233"/>
      <c r="FD254" s="233"/>
    </row>
    <row r="255" spans="1:160">
      <c r="A255" s="20" t="s">
        <v>3247</v>
      </c>
      <c r="B255" s="14">
        <v>4</v>
      </c>
      <c r="C255" s="14" t="s">
        <v>3462</v>
      </c>
      <c r="D255" s="14">
        <v>3</v>
      </c>
      <c r="E255" s="110" t="s">
        <v>3248</v>
      </c>
      <c r="F255" s="14" t="s">
        <v>3735</v>
      </c>
      <c r="G255" s="44" t="s">
        <v>3612</v>
      </c>
      <c r="H255" s="44" t="s">
        <v>3746</v>
      </c>
      <c r="I255" s="44" t="s">
        <v>3900</v>
      </c>
      <c r="J255" s="28" t="s">
        <v>4369</v>
      </c>
      <c r="L255" s="233"/>
      <c r="M255" s="233"/>
      <c r="N255" s="233"/>
      <c r="O255" s="233"/>
      <c r="P255" s="233"/>
      <c r="Q255" s="233"/>
      <c r="R255" s="233"/>
      <c r="S255" s="233"/>
      <c r="T255" s="233"/>
      <c r="U255" s="233"/>
      <c r="V255" s="233"/>
      <c r="W255" s="233"/>
      <c r="X255" s="233"/>
      <c r="Y255" s="233"/>
      <c r="Z255" s="233"/>
      <c r="AA255" s="233"/>
      <c r="AB255" s="233"/>
      <c r="AC255" s="233"/>
      <c r="AD255" s="233"/>
      <c r="AE255" s="233"/>
      <c r="AF255" s="233"/>
      <c r="AG255" s="233"/>
      <c r="AH255" s="233"/>
      <c r="AI255" s="233"/>
      <c r="AJ255" s="233"/>
      <c r="AK255" s="233"/>
      <c r="AL255" s="233"/>
      <c r="AM255" s="233"/>
      <c r="AN255" s="233"/>
      <c r="AO255" s="233"/>
      <c r="AP255" s="233"/>
      <c r="AQ255" s="233"/>
      <c r="AR255" s="233"/>
      <c r="AS255" s="233"/>
      <c r="AT255" s="233"/>
      <c r="AU255" s="233"/>
      <c r="AV255" s="233"/>
      <c r="AW255" s="233"/>
      <c r="AX255" s="233"/>
      <c r="AY255" s="233"/>
      <c r="AZ255" s="233"/>
      <c r="BA255" s="233"/>
      <c r="BB255" s="233"/>
      <c r="BC255" s="233"/>
      <c r="BD255" s="233"/>
      <c r="BE255" s="233"/>
      <c r="BF255" s="233"/>
      <c r="BG255" s="233"/>
      <c r="BH255" s="233"/>
      <c r="BI255" s="233"/>
      <c r="BJ255" s="233"/>
      <c r="BK255" s="233"/>
      <c r="BL255" s="233"/>
      <c r="BM255" s="233"/>
      <c r="BN255" s="233"/>
      <c r="BO255" s="233"/>
      <c r="BP255" s="233"/>
      <c r="BQ255" s="233"/>
      <c r="BR255" s="233"/>
      <c r="BS255" s="233"/>
      <c r="BT255" s="233"/>
      <c r="BU255" s="233"/>
      <c r="BV255" s="233"/>
      <c r="BW255" s="233"/>
      <c r="BX255" s="233"/>
      <c r="BY255" s="233"/>
      <c r="BZ255" s="233"/>
      <c r="CA255" s="233"/>
      <c r="CB255" s="233"/>
      <c r="CC255" s="233"/>
      <c r="CD255" s="233"/>
      <c r="CE255" s="233"/>
      <c r="CF255" s="233"/>
      <c r="CG255" s="233"/>
      <c r="CH255" s="233"/>
      <c r="CI255" s="233"/>
      <c r="CJ255" s="233"/>
      <c r="CK255" s="233"/>
      <c r="CL255" s="233"/>
      <c r="CM255" s="233"/>
      <c r="CN255" s="233"/>
      <c r="CO255" s="233"/>
      <c r="CP255" s="233"/>
      <c r="CQ255" s="233"/>
      <c r="CR255" s="233"/>
      <c r="CS255" s="233"/>
      <c r="CT255" s="233"/>
      <c r="CU255" s="233"/>
      <c r="CV255" s="233"/>
      <c r="CW255" s="233"/>
      <c r="CX255" s="233"/>
      <c r="CY255" s="233"/>
      <c r="CZ255" s="233"/>
      <c r="DA255" s="233"/>
      <c r="DB255" s="233"/>
      <c r="DC255" s="233"/>
      <c r="DD255" s="233"/>
      <c r="DE255" s="233"/>
      <c r="DF255" s="233"/>
      <c r="DG255" s="233"/>
      <c r="DH255" s="233"/>
      <c r="DI255" s="233"/>
      <c r="DJ255" s="233"/>
      <c r="DK255" s="233"/>
      <c r="DL255" s="233"/>
      <c r="DM255" s="233"/>
      <c r="DN255" s="233"/>
      <c r="DO255" s="233"/>
      <c r="DP255" s="233"/>
      <c r="DQ255" s="233"/>
      <c r="DR255" s="233"/>
      <c r="DS255" s="233"/>
      <c r="DT255" s="233"/>
      <c r="DU255" s="233"/>
      <c r="DV255" s="233"/>
      <c r="DW255" s="233"/>
      <c r="DX255" s="233"/>
      <c r="DY255" s="233"/>
      <c r="DZ255" s="233"/>
      <c r="EA255" s="233"/>
      <c r="EB255" s="233"/>
      <c r="EC255" s="233"/>
      <c r="ED255" s="233"/>
      <c r="EE255" s="233"/>
      <c r="EF255" s="233"/>
      <c r="EG255" s="233"/>
      <c r="EH255" s="233"/>
      <c r="EI255" s="233"/>
      <c r="EJ255" s="233"/>
      <c r="EK255" s="233"/>
      <c r="EL255" s="233"/>
      <c r="EM255" s="233"/>
      <c r="EN255" s="233"/>
      <c r="EO255" s="233"/>
      <c r="EP255" s="233"/>
      <c r="EQ255" s="233"/>
      <c r="ER255" s="233"/>
      <c r="ES255" s="233"/>
      <c r="ET255" s="233"/>
      <c r="EU255" s="233"/>
      <c r="EV255" s="233"/>
      <c r="EW255" s="233"/>
      <c r="EX255" s="233"/>
      <c r="EY255" s="233"/>
      <c r="EZ255" s="233"/>
      <c r="FA255" s="233"/>
      <c r="FB255" s="233"/>
      <c r="FC255" s="233"/>
      <c r="FD255" s="233"/>
    </row>
    <row r="256" spans="1:160">
      <c r="A256" s="20" t="s">
        <v>3215</v>
      </c>
      <c r="B256" s="14">
        <v>4</v>
      </c>
      <c r="C256" s="5" t="s">
        <v>3840</v>
      </c>
      <c r="D256" s="14">
        <v>2</v>
      </c>
      <c r="E256" s="110" t="s">
        <v>3934</v>
      </c>
      <c r="F256" s="14" t="s">
        <v>3898</v>
      </c>
      <c r="G256" s="44" t="s">
        <v>3843</v>
      </c>
      <c r="H256" s="44" t="s">
        <v>3216</v>
      </c>
      <c r="I256" s="44" t="s">
        <v>3900</v>
      </c>
      <c r="J256" s="28" t="s">
        <v>4773</v>
      </c>
      <c r="L256" s="233"/>
      <c r="M256" s="233"/>
      <c r="N256" s="233"/>
      <c r="O256" s="233"/>
      <c r="P256" s="233"/>
      <c r="Q256" s="233"/>
      <c r="R256" s="233"/>
      <c r="S256" s="233"/>
      <c r="T256" s="233"/>
      <c r="U256" s="233"/>
      <c r="V256" s="233"/>
      <c r="W256" s="233"/>
      <c r="X256" s="233"/>
      <c r="Y256" s="233"/>
      <c r="Z256" s="233"/>
      <c r="AA256" s="233"/>
      <c r="AB256" s="233"/>
      <c r="AC256" s="233"/>
      <c r="AD256" s="233"/>
      <c r="AE256" s="233"/>
      <c r="AF256" s="233"/>
      <c r="AG256" s="233"/>
      <c r="AH256" s="233"/>
      <c r="AI256" s="233"/>
      <c r="AJ256" s="233"/>
      <c r="AK256" s="233"/>
      <c r="AL256" s="233"/>
      <c r="AM256" s="233"/>
      <c r="AN256" s="233"/>
      <c r="AO256" s="233"/>
      <c r="AP256" s="233"/>
      <c r="AQ256" s="233"/>
      <c r="AR256" s="233"/>
      <c r="AS256" s="233"/>
      <c r="AT256" s="233"/>
      <c r="AU256" s="233"/>
      <c r="AV256" s="233"/>
      <c r="AW256" s="233"/>
      <c r="AX256" s="233"/>
      <c r="AY256" s="233"/>
      <c r="AZ256" s="233"/>
      <c r="BA256" s="233"/>
      <c r="BB256" s="233"/>
      <c r="BC256" s="233"/>
      <c r="BD256" s="233"/>
      <c r="BE256" s="233"/>
      <c r="BF256" s="233"/>
      <c r="BG256" s="233"/>
      <c r="BH256" s="233"/>
      <c r="BI256" s="233"/>
      <c r="BJ256" s="233"/>
      <c r="BK256" s="233"/>
      <c r="BL256" s="233"/>
      <c r="BM256" s="233"/>
      <c r="BN256" s="233"/>
      <c r="BO256" s="233"/>
      <c r="BP256" s="233"/>
      <c r="BQ256" s="233"/>
      <c r="BR256" s="233"/>
      <c r="BS256" s="233"/>
      <c r="BT256" s="233"/>
      <c r="BU256" s="233"/>
      <c r="BV256" s="233"/>
      <c r="BW256" s="233"/>
      <c r="BX256" s="233"/>
      <c r="BY256" s="233"/>
      <c r="BZ256" s="233"/>
      <c r="CA256" s="233"/>
      <c r="CB256" s="233"/>
      <c r="CC256" s="233"/>
      <c r="CD256" s="233"/>
      <c r="CE256" s="233"/>
      <c r="CF256" s="233"/>
      <c r="CG256" s="233"/>
      <c r="CH256" s="233"/>
      <c r="CI256" s="233"/>
      <c r="CJ256" s="233"/>
      <c r="CK256" s="233"/>
      <c r="CL256" s="233"/>
      <c r="CM256" s="233"/>
      <c r="CN256" s="233"/>
      <c r="CO256" s="233"/>
      <c r="CP256" s="233"/>
      <c r="CQ256" s="233"/>
      <c r="CR256" s="233"/>
      <c r="CS256" s="233"/>
      <c r="CT256" s="233"/>
      <c r="CU256" s="233"/>
      <c r="CV256" s="233"/>
      <c r="CW256" s="233"/>
      <c r="CX256" s="233"/>
      <c r="CY256" s="233"/>
      <c r="CZ256" s="233"/>
      <c r="DA256" s="233"/>
      <c r="DB256" s="233"/>
      <c r="DC256" s="233"/>
      <c r="DD256" s="233"/>
      <c r="DE256" s="233"/>
      <c r="DF256" s="233"/>
      <c r="DG256" s="233"/>
      <c r="DH256" s="233"/>
      <c r="DI256" s="233"/>
      <c r="DJ256" s="233"/>
      <c r="DK256" s="233"/>
      <c r="DL256" s="233"/>
      <c r="DM256" s="233"/>
      <c r="DN256" s="233"/>
      <c r="DO256" s="233"/>
      <c r="DP256" s="233"/>
      <c r="DQ256" s="233"/>
      <c r="DR256" s="233"/>
      <c r="DS256" s="233"/>
      <c r="DT256" s="233"/>
      <c r="DU256" s="233"/>
      <c r="DV256" s="233"/>
      <c r="DW256" s="233"/>
      <c r="DX256" s="233"/>
      <c r="DY256" s="233"/>
      <c r="DZ256" s="233"/>
      <c r="EA256" s="233"/>
      <c r="EB256" s="233"/>
      <c r="EC256" s="233"/>
      <c r="ED256" s="233"/>
      <c r="EE256" s="233"/>
      <c r="EF256" s="233"/>
      <c r="EG256" s="233"/>
      <c r="EH256" s="233"/>
      <c r="EI256" s="233"/>
      <c r="EJ256" s="233"/>
      <c r="EK256" s="233"/>
      <c r="EL256" s="233"/>
      <c r="EM256" s="233"/>
      <c r="EN256" s="233"/>
      <c r="EO256" s="233"/>
      <c r="EP256" s="233"/>
      <c r="EQ256" s="233"/>
      <c r="ER256" s="233"/>
      <c r="ES256" s="233"/>
      <c r="ET256" s="233"/>
      <c r="EU256" s="233"/>
      <c r="EV256" s="233"/>
      <c r="EW256" s="233"/>
      <c r="EX256" s="233"/>
      <c r="EY256" s="233"/>
      <c r="EZ256" s="233"/>
      <c r="FA256" s="233"/>
      <c r="FB256" s="233"/>
      <c r="FC256" s="233"/>
      <c r="FD256" s="233"/>
    </row>
    <row r="257" spans="1:160">
      <c r="A257" s="20" t="s">
        <v>3423</v>
      </c>
      <c r="B257" s="14">
        <v>4</v>
      </c>
      <c r="C257" s="14" t="s">
        <v>3210</v>
      </c>
      <c r="D257" s="14">
        <v>4</v>
      </c>
      <c r="E257" s="110" t="s">
        <v>3233</v>
      </c>
      <c r="F257" s="14" t="s">
        <v>3914</v>
      </c>
      <c r="G257" s="44" t="s">
        <v>3758</v>
      </c>
      <c r="H257" s="44" t="s">
        <v>3859</v>
      </c>
      <c r="I257" s="44" t="s">
        <v>3916</v>
      </c>
      <c r="J257" s="28" t="s">
        <v>4555</v>
      </c>
      <c r="L257" s="233"/>
      <c r="M257" s="233"/>
      <c r="N257" s="233"/>
      <c r="O257" s="233"/>
      <c r="P257" s="233"/>
      <c r="Q257" s="233"/>
      <c r="R257" s="233"/>
      <c r="S257" s="233"/>
      <c r="T257" s="233"/>
      <c r="U257" s="233"/>
      <c r="V257" s="233"/>
      <c r="W257" s="233"/>
      <c r="X257" s="233"/>
      <c r="Y257" s="233"/>
      <c r="Z257" s="233"/>
      <c r="AA257" s="233"/>
      <c r="AB257" s="233"/>
      <c r="AC257" s="233"/>
      <c r="AD257" s="233"/>
      <c r="AE257" s="233"/>
      <c r="AF257" s="233"/>
      <c r="AG257" s="233"/>
      <c r="AH257" s="233"/>
      <c r="AI257" s="233"/>
      <c r="AJ257" s="233"/>
      <c r="AK257" s="233"/>
      <c r="AL257" s="233"/>
      <c r="AM257" s="233"/>
      <c r="AN257" s="233"/>
      <c r="AO257" s="233"/>
      <c r="AP257" s="233"/>
      <c r="AQ257" s="233"/>
      <c r="AR257" s="233"/>
      <c r="AS257" s="233"/>
      <c r="AT257" s="233"/>
      <c r="AU257" s="233"/>
      <c r="AV257" s="233"/>
      <c r="AW257" s="233"/>
      <c r="AX257" s="233"/>
      <c r="AY257" s="233"/>
      <c r="AZ257" s="233"/>
      <c r="BA257" s="233"/>
      <c r="BB257" s="233"/>
      <c r="BC257" s="233"/>
      <c r="BD257" s="233"/>
      <c r="BE257" s="233"/>
      <c r="BF257" s="233"/>
      <c r="BG257" s="233"/>
      <c r="BH257" s="233"/>
      <c r="BI257" s="233"/>
      <c r="BJ257" s="233"/>
      <c r="BK257" s="233"/>
      <c r="BL257" s="233"/>
      <c r="BM257" s="233"/>
      <c r="BN257" s="233"/>
      <c r="BO257" s="233"/>
      <c r="BP257" s="233"/>
      <c r="BQ257" s="233"/>
      <c r="BR257" s="233"/>
      <c r="BS257" s="233"/>
      <c r="BT257" s="233"/>
      <c r="BU257" s="233"/>
      <c r="BV257" s="233"/>
      <c r="BW257" s="233"/>
      <c r="BX257" s="233"/>
      <c r="BY257" s="233"/>
      <c r="BZ257" s="233"/>
      <c r="CA257" s="233"/>
      <c r="CB257" s="233"/>
      <c r="CC257" s="233"/>
      <c r="CD257" s="233"/>
      <c r="CE257" s="233"/>
      <c r="CF257" s="233"/>
      <c r="CG257" s="233"/>
      <c r="CH257" s="233"/>
      <c r="CI257" s="233"/>
      <c r="CJ257" s="233"/>
      <c r="CK257" s="233"/>
      <c r="CL257" s="233"/>
      <c r="CM257" s="233"/>
      <c r="CN257" s="233"/>
      <c r="CO257" s="233"/>
      <c r="CP257" s="233"/>
      <c r="CQ257" s="233"/>
      <c r="CR257" s="233"/>
      <c r="CS257" s="233"/>
      <c r="CT257" s="233"/>
      <c r="CU257" s="233"/>
      <c r="CV257" s="233"/>
      <c r="CW257" s="233"/>
      <c r="CX257" s="233"/>
      <c r="CY257" s="233"/>
      <c r="CZ257" s="233"/>
      <c r="DA257" s="233"/>
      <c r="DB257" s="233"/>
      <c r="DC257" s="233"/>
      <c r="DD257" s="233"/>
      <c r="DE257" s="233"/>
      <c r="DF257" s="233"/>
      <c r="DG257" s="233"/>
      <c r="DH257" s="233"/>
      <c r="DI257" s="233"/>
      <c r="DJ257" s="233"/>
      <c r="DK257" s="233"/>
      <c r="DL257" s="233"/>
      <c r="DM257" s="233"/>
      <c r="DN257" s="233"/>
      <c r="DO257" s="233"/>
      <c r="DP257" s="233"/>
      <c r="DQ257" s="233"/>
      <c r="DR257" s="233"/>
      <c r="DS257" s="233"/>
      <c r="DT257" s="233"/>
      <c r="DU257" s="233"/>
      <c r="DV257" s="233"/>
      <c r="DW257" s="233"/>
      <c r="DX257" s="233"/>
      <c r="DY257" s="233"/>
      <c r="DZ257" s="233"/>
      <c r="EA257" s="233"/>
      <c r="EB257" s="233"/>
      <c r="EC257" s="233"/>
      <c r="ED257" s="233"/>
      <c r="EE257" s="233"/>
      <c r="EF257" s="233"/>
      <c r="EG257" s="233"/>
      <c r="EH257" s="233"/>
      <c r="EI257" s="233"/>
      <c r="EJ257" s="233"/>
      <c r="EK257" s="233"/>
      <c r="EL257" s="233"/>
      <c r="EM257" s="233"/>
      <c r="EN257" s="233"/>
      <c r="EO257" s="233"/>
      <c r="EP257" s="233"/>
      <c r="EQ257" s="233"/>
      <c r="ER257" s="233"/>
      <c r="ES257" s="233"/>
      <c r="ET257" s="233"/>
      <c r="EU257" s="233"/>
      <c r="EV257" s="233"/>
      <c r="EW257" s="233"/>
      <c r="EX257" s="233"/>
      <c r="EY257" s="233"/>
      <c r="EZ257" s="233"/>
      <c r="FA257" s="233"/>
      <c r="FB257" s="233"/>
      <c r="FC257" s="233"/>
      <c r="FD257" s="233"/>
    </row>
    <row r="258" spans="1:160">
      <c r="A258" s="20" t="s">
        <v>3797</v>
      </c>
      <c r="B258" s="14">
        <v>4</v>
      </c>
      <c r="C258" s="14" t="s">
        <v>3886</v>
      </c>
      <c r="D258" s="14">
        <v>2</v>
      </c>
      <c r="E258" s="110" t="s">
        <v>3701</v>
      </c>
      <c r="F258" s="14" t="s">
        <v>3979</v>
      </c>
      <c r="G258" s="44" t="s">
        <v>3843</v>
      </c>
      <c r="H258" s="44" t="s">
        <v>3728</v>
      </c>
      <c r="I258" s="44" t="s">
        <v>2746</v>
      </c>
      <c r="J258" s="28" t="s">
        <v>4555</v>
      </c>
      <c r="L258" s="233"/>
      <c r="M258" s="233"/>
      <c r="N258" s="233"/>
      <c r="O258" s="233"/>
      <c r="P258" s="233"/>
      <c r="Q258" s="233"/>
      <c r="R258" s="233"/>
      <c r="S258" s="233"/>
      <c r="T258" s="233"/>
      <c r="U258" s="233"/>
      <c r="V258" s="233"/>
      <c r="W258" s="233"/>
      <c r="X258" s="233"/>
      <c r="Y258" s="233"/>
      <c r="Z258" s="233"/>
      <c r="AA258" s="233"/>
      <c r="AB258" s="233"/>
      <c r="AC258" s="233"/>
      <c r="AD258" s="233"/>
      <c r="AE258" s="233"/>
      <c r="AF258" s="233"/>
      <c r="AG258" s="233"/>
      <c r="AH258" s="233"/>
      <c r="AI258" s="233"/>
      <c r="AJ258" s="233"/>
      <c r="AK258" s="233"/>
      <c r="AL258" s="233"/>
      <c r="AM258" s="233"/>
      <c r="AN258" s="233"/>
      <c r="AO258" s="233"/>
      <c r="AP258" s="233"/>
      <c r="AQ258" s="233"/>
      <c r="AR258" s="233"/>
      <c r="AS258" s="233"/>
      <c r="AT258" s="233"/>
      <c r="AU258" s="233"/>
      <c r="AV258" s="233"/>
      <c r="AW258" s="233"/>
      <c r="AX258" s="233"/>
      <c r="AY258" s="233"/>
      <c r="AZ258" s="233"/>
      <c r="BA258" s="233"/>
      <c r="BB258" s="233"/>
      <c r="BC258" s="233"/>
      <c r="BD258" s="233"/>
      <c r="BE258" s="233"/>
      <c r="BF258" s="233"/>
      <c r="BG258" s="233"/>
      <c r="BH258" s="233"/>
      <c r="BI258" s="233"/>
      <c r="BJ258" s="233"/>
      <c r="BK258" s="233"/>
      <c r="BL258" s="233"/>
      <c r="BM258" s="233"/>
      <c r="BN258" s="233"/>
      <c r="BO258" s="233"/>
      <c r="BP258" s="233"/>
      <c r="BQ258" s="233"/>
      <c r="BR258" s="233"/>
      <c r="BS258" s="233"/>
      <c r="BT258" s="233"/>
      <c r="BU258" s="233"/>
      <c r="BV258" s="233"/>
      <c r="BW258" s="233"/>
      <c r="BX258" s="233"/>
      <c r="BY258" s="233"/>
      <c r="BZ258" s="233"/>
      <c r="CA258" s="233"/>
      <c r="CB258" s="233"/>
      <c r="CC258" s="233"/>
      <c r="CD258" s="233"/>
      <c r="CE258" s="233"/>
      <c r="CF258" s="233"/>
      <c r="CG258" s="233"/>
      <c r="CH258" s="233"/>
      <c r="CI258" s="233"/>
      <c r="CJ258" s="233"/>
      <c r="CK258" s="233"/>
      <c r="CL258" s="233"/>
      <c r="CM258" s="233"/>
      <c r="CN258" s="233"/>
      <c r="CO258" s="233"/>
      <c r="CP258" s="233"/>
      <c r="CQ258" s="233"/>
      <c r="CR258" s="233"/>
      <c r="CS258" s="233"/>
      <c r="CT258" s="233"/>
      <c r="CU258" s="233"/>
      <c r="CV258" s="233"/>
      <c r="CW258" s="233"/>
      <c r="CX258" s="233"/>
      <c r="CY258" s="233"/>
      <c r="CZ258" s="233"/>
      <c r="DA258" s="233"/>
      <c r="DB258" s="233"/>
      <c r="DC258" s="233"/>
      <c r="DD258" s="233"/>
      <c r="DE258" s="233"/>
      <c r="DF258" s="233"/>
      <c r="DG258" s="233"/>
      <c r="DH258" s="233"/>
      <c r="DI258" s="233"/>
      <c r="DJ258" s="233"/>
      <c r="DK258" s="233"/>
      <c r="DL258" s="233"/>
      <c r="DM258" s="233"/>
      <c r="DN258" s="233"/>
      <c r="DO258" s="233"/>
      <c r="DP258" s="233"/>
      <c r="DQ258" s="233"/>
      <c r="DR258" s="233"/>
      <c r="DS258" s="233"/>
      <c r="DT258" s="233"/>
      <c r="DU258" s="233"/>
      <c r="DV258" s="233"/>
      <c r="DW258" s="233"/>
      <c r="DX258" s="233"/>
      <c r="DY258" s="233"/>
      <c r="DZ258" s="233"/>
      <c r="EA258" s="233"/>
      <c r="EB258" s="233"/>
      <c r="EC258" s="233"/>
      <c r="ED258" s="233"/>
      <c r="EE258" s="233"/>
      <c r="EF258" s="233"/>
      <c r="EG258" s="233"/>
      <c r="EH258" s="233"/>
      <c r="EI258" s="233"/>
      <c r="EJ258" s="233"/>
      <c r="EK258" s="233"/>
      <c r="EL258" s="233"/>
      <c r="EM258" s="233"/>
      <c r="EN258" s="233"/>
      <c r="EO258" s="233"/>
      <c r="EP258" s="233"/>
      <c r="EQ258" s="233"/>
      <c r="ER258" s="233"/>
      <c r="ES258" s="233"/>
      <c r="ET258" s="233"/>
      <c r="EU258" s="233"/>
      <c r="EV258" s="233"/>
      <c r="EW258" s="233"/>
      <c r="EX258" s="233"/>
      <c r="EY258" s="233"/>
      <c r="EZ258" s="233"/>
      <c r="FA258" s="233"/>
      <c r="FB258" s="233"/>
      <c r="FC258" s="233"/>
      <c r="FD258" s="233"/>
    </row>
    <row r="259" spans="1:160">
      <c r="A259" s="20" t="s">
        <v>3094</v>
      </c>
      <c r="B259" s="14">
        <v>4</v>
      </c>
      <c r="C259" s="14" t="s">
        <v>3095</v>
      </c>
      <c r="D259" s="14">
        <v>4</v>
      </c>
      <c r="E259" s="110" t="s">
        <v>3749</v>
      </c>
      <c r="F259" s="14" t="s">
        <v>3898</v>
      </c>
      <c r="G259" s="44" t="s">
        <v>3096</v>
      </c>
      <c r="H259" s="44" t="s">
        <v>3746</v>
      </c>
      <c r="I259" s="44" t="s">
        <v>3900</v>
      </c>
      <c r="J259" s="196" t="s">
        <v>4555</v>
      </c>
    </row>
    <row r="260" spans="1:160">
      <c r="A260" s="20" t="s">
        <v>3285</v>
      </c>
      <c r="B260" s="14">
        <v>4</v>
      </c>
      <c r="C260" s="14" t="s">
        <v>3886</v>
      </c>
      <c r="D260" s="14">
        <v>1</v>
      </c>
      <c r="E260" s="110" t="s">
        <v>3701</v>
      </c>
      <c r="F260" s="14" t="s">
        <v>3898</v>
      </c>
      <c r="G260" s="44" t="s">
        <v>3736</v>
      </c>
      <c r="H260" s="44" t="s">
        <v>3286</v>
      </c>
      <c r="I260" s="44" t="s">
        <v>3900</v>
      </c>
      <c r="J260" s="28" t="s">
        <v>4555</v>
      </c>
    </row>
    <row r="261" spans="1:160">
      <c r="A261" s="20" t="s">
        <v>3421</v>
      </c>
      <c r="B261" s="14">
        <v>4</v>
      </c>
      <c r="C261" s="14" t="s">
        <v>3187</v>
      </c>
      <c r="D261" s="14">
        <v>1</v>
      </c>
      <c r="E261" s="110" t="s">
        <v>3381</v>
      </c>
      <c r="F261" s="14" t="s">
        <v>3898</v>
      </c>
      <c r="G261" s="44" t="s">
        <v>3736</v>
      </c>
      <c r="H261" s="44" t="s">
        <v>3422</v>
      </c>
      <c r="I261" s="44" t="s">
        <v>3900</v>
      </c>
      <c r="J261" s="28" t="s">
        <v>4447</v>
      </c>
    </row>
    <row r="262" spans="1:160">
      <c r="A262" s="292" t="s">
        <v>3033</v>
      </c>
      <c r="B262" s="293">
        <v>4</v>
      </c>
      <c r="C262" s="293" t="s">
        <v>3685</v>
      </c>
      <c r="D262" s="293">
        <v>1</v>
      </c>
      <c r="E262" s="294" t="s">
        <v>3530</v>
      </c>
      <c r="F262" s="293" t="s">
        <v>3947</v>
      </c>
      <c r="G262" s="295" t="s">
        <v>3034</v>
      </c>
      <c r="H262" s="295" t="s">
        <v>3488</v>
      </c>
      <c r="I262" s="295" t="s">
        <v>3916</v>
      </c>
      <c r="J262" s="296" t="s">
        <v>451</v>
      </c>
    </row>
    <row r="263" spans="1:160">
      <c r="A263" s="20" t="s">
        <v>2747</v>
      </c>
      <c r="B263" s="14">
        <v>4</v>
      </c>
      <c r="C263" s="14" t="s">
        <v>3430</v>
      </c>
      <c r="D263" s="14">
        <v>1</v>
      </c>
      <c r="E263" s="110" t="s">
        <v>3331</v>
      </c>
      <c r="F263" s="14" t="s">
        <v>3979</v>
      </c>
      <c r="G263" s="44" t="s">
        <v>3736</v>
      </c>
      <c r="H263" s="44" t="s">
        <v>3728</v>
      </c>
      <c r="I263" s="44" t="s">
        <v>3900</v>
      </c>
      <c r="J263" s="28" t="s">
        <v>5232</v>
      </c>
    </row>
    <row r="264" spans="1:160">
      <c r="A264" s="20" t="s">
        <v>3217</v>
      </c>
      <c r="B264" s="14">
        <v>4</v>
      </c>
      <c r="C264" s="14" t="s">
        <v>3685</v>
      </c>
      <c r="D264" s="14" t="s">
        <v>5036</v>
      </c>
      <c r="E264" s="14" t="s">
        <v>3745</v>
      </c>
      <c r="F264" s="14" t="s">
        <v>3898</v>
      </c>
      <c r="G264" s="44" t="s">
        <v>3378</v>
      </c>
      <c r="H264" s="44" t="s">
        <v>3488</v>
      </c>
      <c r="I264" s="44" t="s">
        <v>2775</v>
      </c>
      <c r="J264" s="28" t="s">
        <v>3535</v>
      </c>
    </row>
    <row r="265" spans="1:160">
      <c r="A265" s="20" t="s">
        <v>3227</v>
      </c>
      <c r="B265" s="14">
        <v>4</v>
      </c>
      <c r="C265" s="14" t="s">
        <v>3226</v>
      </c>
      <c r="D265" s="14">
        <v>3</v>
      </c>
      <c r="E265" s="110" t="s">
        <v>3701</v>
      </c>
      <c r="F265" s="14" t="s">
        <v>3548</v>
      </c>
      <c r="G265" s="44" t="s">
        <v>3759</v>
      </c>
      <c r="H265" s="44" t="s">
        <v>4212</v>
      </c>
      <c r="I265" s="44" t="s">
        <v>3900</v>
      </c>
      <c r="J265" s="28" t="s">
        <v>5232</v>
      </c>
    </row>
    <row r="266" spans="1:160">
      <c r="A266" s="20" t="s">
        <v>3225</v>
      </c>
      <c r="B266" s="14">
        <v>4</v>
      </c>
      <c r="C266" s="14" t="s">
        <v>3226</v>
      </c>
      <c r="D266" s="14">
        <v>1</v>
      </c>
      <c r="E266" s="110" t="s">
        <v>3701</v>
      </c>
      <c r="F266" s="14" t="s">
        <v>3200</v>
      </c>
      <c r="G266" s="44" t="s">
        <v>3736</v>
      </c>
      <c r="H266" s="44" t="s">
        <v>3687</v>
      </c>
      <c r="I266" s="44" t="s">
        <v>3900</v>
      </c>
      <c r="J266" s="28" t="s">
        <v>3739</v>
      </c>
    </row>
    <row r="267" spans="1:160">
      <c r="A267" s="20" t="s">
        <v>3791</v>
      </c>
      <c r="B267" s="14">
        <v>4</v>
      </c>
      <c r="C267" s="14" t="s">
        <v>3226</v>
      </c>
      <c r="D267" s="14">
        <v>2</v>
      </c>
      <c r="E267" s="14" t="s">
        <v>3792</v>
      </c>
      <c r="F267" s="14" t="s">
        <v>3947</v>
      </c>
      <c r="G267" s="44" t="s">
        <v>3901</v>
      </c>
      <c r="H267" s="44" t="s">
        <v>3488</v>
      </c>
      <c r="I267" s="44" t="s">
        <v>3900</v>
      </c>
      <c r="J267" s="28" t="s">
        <v>5232</v>
      </c>
    </row>
    <row r="268" spans="1:160">
      <c r="A268" s="20" t="s">
        <v>3793</v>
      </c>
      <c r="B268" s="14">
        <v>4</v>
      </c>
      <c r="C268" s="14" t="s">
        <v>3794</v>
      </c>
      <c r="D268" s="14">
        <v>2</v>
      </c>
      <c r="E268" s="110" t="s">
        <v>3701</v>
      </c>
      <c r="F268" s="14" t="s">
        <v>3140</v>
      </c>
      <c r="G268" s="44" t="s">
        <v>3612</v>
      </c>
      <c r="H268" s="44" t="s">
        <v>3915</v>
      </c>
      <c r="I268" s="44" t="s">
        <v>3900</v>
      </c>
      <c r="J268" s="28" t="s">
        <v>4369</v>
      </c>
    </row>
    <row r="269" spans="1:160">
      <c r="A269" s="20" t="s">
        <v>3268</v>
      </c>
      <c r="B269" s="14">
        <v>4</v>
      </c>
      <c r="C269" s="14" t="s">
        <v>3462</v>
      </c>
      <c r="D269" s="14">
        <v>2</v>
      </c>
      <c r="E269" s="110" t="s">
        <v>3682</v>
      </c>
      <c r="F269" s="14" t="s">
        <v>3898</v>
      </c>
      <c r="G269" s="44" t="s">
        <v>3269</v>
      </c>
      <c r="H269" s="44" t="s">
        <v>2748</v>
      </c>
      <c r="I269" s="44" t="s">
        <v>3790</v>
      </c>
      <c r="J269" s="28" t="s">
        <v>4369</v>
      </c>
    </row>
    <row r="270" spans="1:160">
      <c r="A270" s="20" t="s">
        <v>3795</v>
      </c>
      <c r="B270" s="14">
        <v>4</v>
      </c>
      <c r="C270" s="14" t="s">
        <v>3187</v>
      </c>
      <c r="D270" s="14">
        <v>2</v>
      </c>
      <c r="E270" s="110" t="s">
        <v>3381</v>
      </c>
      <c r="F270" s="14" t="s">
        <v>3548</v>
      </c>
      <c r="G270" s="44" t="s">
        <v>3570</v>
      </c>
      <c r="H270" s="44" t="s">
        <v>3796</v>
      </c>
      <c r="I270" s="44" t="s">
        <v>2749</v>
      </c>
      <c r="J270" s="28" t="s">
        <v>4447</v>
      </c>
    </row>
    <row r="271" spans="1:160">
      <c r="A271" s="20" t="s">
        <v>3100</v>
      </c>
      <c r="B271" s="14">
        <v>4</v>
      </c>
      <c r="C271" s="14" t="s">
        <v>3794</v>
      </c>
      <c r="D271" s="14">
        <v>5</v>
      </c>
      <c r="E271" s="110" t="s">
        <v>3701</v>
      </c>
      <c r="F271" s="14" t="s">
        <v>3931</v>
      </c>
      <c r="G271" s="44" t="s">
        <v>3420</v>
      </c>
      <c r="H271" s="44" t="s">
        <v>3101</v>
      </c>
      <c r="I271" s="44" t="s">
        <v>3900</v>
      </c>
      <c r="J271" s="28" t="s">
        <v>4369</v>
      </c>
    </row>
    <row r="272" spans="1:160">
      <c r="A272" s="20" t="s">
        <v>3464</v>
      </c>
      <c r="B272" s="14">
        <v>4</v>
      </c>
      <c r="C272" s="14" t="s">
        <v>5884</v>
      </c>
      <c r="D272" s="14">
        <v>1</v>
      </c>
      <c r="E272" s="110" t="s">
        <v>3451</v>
      </c>
      <c r="F272" s="14" t="s">
        <v>3898</v>
      </c>
      <c r="G272" s="44" t="s">
        <v>3550</v>
      </c>
      <c r="H272" s="44" t="s">
        <v>380</v>
      </c>
      <c r="I272" s="44" t="s">
        <v>3900</v>
      </c>
      <c r="J272" s="28" t="s">
        <v>4369</v>
      </c>
    </row>
    <row r="273" spans="1:10">
      <c r="A273" s="20" t="s">
        <v>2935</v>
      </c>
      <c r="B273" s="14">
        <v>4</v>
      </c>
      <c r="C273" s="14" t="s">
        <v>3507</v>
      </c>
      <c r="D273" s="14">
        <v>1</v>
      </c>
      <c r="E273" s="110" t="s">
        <v>3812</v>
      </c>
      <c r="F273" s="14" t="s">
        <v>3979</v>
      </c>
      <c r="G273" s="44" t="s">
        <v>3911</v>
      </c>
      <c r="H273" s="44" t="s">
        <v>2936</v>
      </c>
      <c r="I273" s="44" t="s">
        <v>3900</v>
      </c>
      <c r="J273" s="28" t="s">
        <v>4369</v>
      </c>
    </row>
    <row r="274" spans="1:10">
      <c r="A274" s="20" t="s">
        <v>2939</v>
      </c>
      <c r="B274" s="14">
        <v>4</v>
      </c>
      <c r="C274" s="14" t="s">
        <v>3494</v>
      </c>
      <c r="D274" s="14">
        <v>2</v>
      </c>
      <c r="E274" s="110" t="s">
        <v>3934</v>
      </c>
      <c r="F274" s="14" t="s">
        <v>3898</v>
      </c>
      <c r="G274" s="111" t="s">
        <v>2940</v>
      </c>
      <c r="H274" s="111" t="s">
        <v>2941</v>
      </c>
      <c r="I274" s="44" t="s">
        <v>3900</v>
      </c>
      <c r="J274" s="28" t="s">
        <v>4555</v>
      </c>
    </row>
    <row r="275" spans="1:10">
      <c r="A275" s="20" t="s">
        <v>499</v>
      </c>
      <c r="B275" s="14">
        <v>4</v>
      </c>
      <c r="C275" s="14" t="s">
        <v>5885</v>
      </c>
      <c r="D275" s="14">
        <v>1</v>
      </c>
      <c r="E275" s="110" t="s">
        <v>3451</v>
      </c>
      <c r="F275" s="14" t="s">
        <v>3931</v>
      </c>
      <c r="G275" s="111" t="s">
        <v>3736</v>
      </c>
      <c r="H275" s="111" t="s">
        <v>4209</v>
      </c>
      <c r="I275" s="44" t="s">
        <v>3900</v>
      </c>
      <c r="J275" s="28" t="s">
        <v>4369</v>
      </c>
    </row>
    <row r="276" spans="1:10">
      <c r="A276" s="20" t="s">
        <v>3236</v>
      </c>
      <c r="B276" s="14">
        <v>4</v>
      </c>
      <c r="C276" s="14" t="s">
        <v>3237</v>
      </c>
      <c r="D276" s="14">
        <v>3</v>
      </c>
      <c r="E276" s="110" t="s">
        <v>3233</v>
      </c>
      <c r="F276" s="14" t="s">
        <v>3851</v>
      </c>
      <c r="G276" s="44" t="s">
        <v>3651</v>
      </c>
      <c r="H276" s="44" t="s">
        <v>3418</v>
      </c>
      <c r="I276" s="44" t="s">
        <v>3900</v>
      </c>
      <c r="J276" s="28" t="s">
        <v>4773</v>
      </c>
    </row>
    <row r="277" spans="1:10">
      <c r="A277" s="20" t="s">
        <v>3287</v>
      </c>
      <c r="B277" s="14">
        <v>4</v>
      </c>
      <c r="C277" s="14" t="s">
        <v>3210</v>
      </c>
      <c r="D277" s="14">
        <v>3</v>
      </c>
      <c r="E277" s="110" t="s">
        <v>3323</v>
      </c>
      <c r="F277" s="14" t="s">
        <v>3898</v>
      </c>
      <c r="G277" s="44" t="s">
        <v>3736</v>
      </c>
      <c r="H277" s="44" t="s">
        <v>4212</v>
      </c>
      <c r="I277" s="44" t="s">
        <v>3916</v>
      </c>
      <c r="J277" s="28" t="s">
        <v>3890</v>
      </c>
    </row>
    <row r="278" spans="1:10">
      <c r="A278" s="20" t="s">
        <v>500</v>
      </c>
      <c r="B278" s="14">
        <v>4</v>
      </c>
      <c r="C278" s="14" t="s">
        <v>501</v>
      </c>
      <c r="D278" s="14">
        <v>1</v>
      </c>
      <c r="E278" s="110" t="s">
        <v>3749</v>
      </c>
      <c r="F278" s="14" t="s">
        <v>3898</v>
      </c>
      <c r="G278" s="44" t="s">
        <v>2484</v>
      </c>
      <c r="H278" s="44" t="s">
        <v>3859</v>
      </c>
      <c r="I278" s="44" t="s">
        <v>3916</v>
      </c>
      <c r="J278" s="28" t="s">
        <v>4555</v>
      </c>
    </row>
    <row r="279" spans="1:10">
      <c r="A279" s="20" t="s">
        <v>3604</v>
      </c>
      <c r="B279" s="14">
        <v>4</v>
      </c>
      <c r="C279" s="14" t="s">
        <v>3605</v>
      </c>
      <c r="D279" s="14">
        <v>0</v>
      </c>
      <c r="E279" s="14" t="s">
        <v>3039</v>
      </c>
      <c r="F279" s="14" t="s">
        <v>3947</v>
      </c>
      <c r="G279" s="44" t="s">
        <v>3753</v>
      </c>
      <c r="H279" s="44" t="s">
        <v>4212</v>
      </c>
      <c r="I279" s="44">
        <v>4</v>
      </c>
      <c r="J279" s="28" t="s">
        <v>5232</v>
      </c>
    </row>
    <row r="280" spans="1:10">
      <c r="A280" s="20" t="s">
        <v>3099</v>
      </c>
      <c r="B280" s="14">
        <v>4</v>
      </c>
      <c r="C280" s="14" t="s">
        <v>3605</v>
      </c>
      <c r="D280" s="14">
        <v>1</v>
      </c>
      <c r="E280" s="110" t="s">
        <v>3701</v>
      </c>
      <c r="F280" s="14" t="s">
        <v>3898</v>
      </c>
      <c r="G280" s="44" t="s">
        <v>3753</v>
      </c>
      <c r="H280" s="44" t="s">
        <v>3728</v>
      </c>
      <c r="I280" s="44" t="s">
        <v>3900</v>
      </c>
      <c r="J280" s="28" t="s">
        <v>5232</v>
      </c>
    </row>
    <row r="281" spans="1:10">
      <c r="A281" s="20" t="s">
        <v>3288</v>
      </c>
      <c r="B281" s="14">
        <v>4</v>
      </c>
      <c r="C281" s="14" t="s">
        <v>3669</v>
      </c>
      <c r="D281" s="14">
        <v>2</v>
      </c>
      <c r="E281" s="110" t="s">
        <v>3233</v>
      </c>
      <c r="F281" s="14" t="s">
        <v>3289</v>
      </c>
      <c r="G281" s="44" t="s">
        <v>3106</v>
      </c>
      <c r="H281" s="44" t="s">
        <v>3107</v>
      </c>
      <c r="I281" s="44">
        <v>6</v>
      </c>
      <c r="J281" s="28" t="s">
        <v>5232</v>
      </c>
    </row>
    <row r="282" spans="1:10">
      <c r="A282" s="20" t="s">
        <v>2942</v>
      </c>
      <c r="B282" s="14">
        <v>4</v>
      </c>
      <c r="C282" s="14" t="s">
        <v>3605</v>
      </c>
      <c r="D282" s="14">
        <v>1</v>
      </c>
      <c r="E282" s="110" t="s">
        <v>3812</v>
      </c>
      <c r="F282" s="14" t="s">
        <v>3854</v>
      </c>
      <c r="G282" s="44" t="s">
        <v>3736</v>
      </c>
      <c r="H282" s="44" t="s">
        <v>3728</v>
      </c>
      <c r="I282" s="44" t="s">
        <v>3900</v>
      </c>
      <c r="J282" s="28" t="s">
        <v>5232</v>
      </c>
    </row>
    <row r="283" spans="1:10">
      <c r="A283" s="20" t="s">
        <v>3271</v>
      </c>
      <c r="B283" s="14">
        <v>4</v>
      </c>
      <c r="C283" s="14" t="s">
        <v>3032</v>
      </c>
      <c r="D283" s="14">
        <v>3</v>
      </c>
      <c r="E283" s="110" t="s">
        <v>3272</v>
      </c>
      <c r="F283" s="14" t="s">
        <v>3898</v>
      </c>
      <c r="G283" s="44" t="s">
        <v>3273</v>
      </c>
      <c r="H283" s="44" t="s">
        <v>3274</v>
      </c>
      <c r="I283" s="44">
        <v>9</v>
      </c>
      <c r="J283" s="28" t="s">
        <v>4447</v>
      </c>
    </row>
    <row r="284" spans="1:10">
      <c r="A284" s="20" t="s">
        <v>2945</v>
      </c>
      <c r="B284" s="14">
        <v>4</v>
      </c>
      <c r="C284" s="14" t="s">
        <v>3605</v>
      </c>
      <c r="D284" s="14">
        <v>3</v>
      </c>
      <c r="E284" s="110" t="s">
        <v>3701</v>
      </c>
      <c r="F284" s="14" t="s">
        <v>3898</v>
      </c>
      <c r="G284" s="44" t="s">
        <v>3651</v>
      </c>
      <c r="H284" s="44" t="s">
        <v>3728</v>
      </c>
      <c r="I284" s="44">
        <v>10</v>
      </c>
      <c r="J284" s="28" t="s">
        <v>5232</v>
      </c>
    </row>
    <row r="285" spans="1:10">
      <c r="A285" s="20" t="s">
        <v>2943</v>
      </c>
      <c r="B285" s="14">
        <v>4</v>
      </c>
      <c r="C285" s="14" t="s">
        <v>2944</v>
      </c>
      <c r="D285" s="14" t="s">
        <v>5036</v>
      </c>
      <c r="E285" s="14" t="s">
        <v>3841</v>
      </c>
      <c r="F285" s="14" t="s">
        <v>3716</v>
      </c>
      <c r="G285" s="44" t="s">
        <v>3843</v>
      </c>
      <c r="H285" s="44" t="s">
        <v>3488</v>
      </c>
      <c r="I285" s="44" t="s">
        <v>3900</v>
      </c>
      <c r="J285" s="28" t="s">
        <v>4369</v>
      </c>
    </row>
    <row r="286" spans="1:10">
      <c r="A286" s="20" t="s">
        <v>2950</v>
      </c>
      <c r="B286" s="14">
        <v>4</v>
      </c>
      <c r="C286" s="14" t="s">
        <v>3685</v>
      </c>
      <c r="D286" s="14">
        <v>2</v>
      </c>
      <c r="E286" s="110" t="s">
        <v>3233</v>
      </c>
      <c r="F286" s="14" t="s">
        <v>3914</v>
      </c>
      <c r="G286" s="44" t="s">
        <v>3120</v>
      </c>
      <c r="H286" s="44" t="s">
        <v>3121</v>
      </c>
      <c r="I286" s="44" t="s">
        <v>3916</v>
      </c>
      <c r="J286" s="28" t="s">
        <v>5232</v>
      </c>
    </row>
    <row r="287" spans="1:10">
      <c r="A287" s="20" t="s">
        <v>3424</v>
      </c>
      <c r="B287" s="14">
        <v>4</v>
      </c>
      <c r="C287" s="5" t="s">
        <v>3615</v>
      </c>
      <c r="D287" s="14" t="s">
        <v>5036</v>
      </c>
      <c r="E287" s="197" t="s">
        <v>3425</v>
      </c>
      <c r="F287" s="14" t="s">
        <v>3851</v>
      </c>
      <c r="G287" s="44" t="s">
        <v>3843</v>
      </c>
      <c r="H287" s="44" t="s">
        <v>3426</v>
      </c>
      <c r="I287" s="44" t="s">
        <v>3900</v>
      </c>
      <c r="J287" s="28" t="s">
        <v>4773</v>
      </c>
    </row>
    <row r="288" spans="1:10">
      <c r="A288" s="20" t="s">
        <v>3601</v>
      </c>
      <c r="B288" s="14">
        <v>4</v>
      </c>
      <c r="C288" s="5" t="s">
        <v>3615</v>
      </c>
      <c r="D288" s="14">
        <v>2</v>
      </c>
      <c r="E288" s="110" t="s">
        <v>3190</v>
      </c>
      <c r="F288" s="14" t="s">
        <v>3602</v>
      </c>
      <c r="G288" s="44" t="s">
        <v>3736</v>
      </c>
      <c r="H288" s="44" t="s">
        <v>3603</v>
      </c>
      <c r="I288" s="44" t="s">
        <v>3900</v>
      </c>
      <c r="J288" s="28" t="s">
        <v>4773</v>
      </c>
    </row>
    <row r="289" spans="1:10">
      <c r="A289" s="20" t="s">
        <v>2947</v>
      </c>
      <c r="B289" s="14">
        <v>4</v>
      </c>
      <c r="C289" s="14" t="s">
        <v>2948</v>
      </c>
      <c r="D289" s="14">
        <v>1</v>
      </c>
      <c r="E289" s="110" t="s">
        <v>2949</v>
      </c>
      <c r="F289" s="14" t="s">
        <v>3898</v>
      </c>
      <c r="G289" s="44" t="s">
        <v>3378</v>
      </c>
      <c r="H289" s="44" t="s">
        <v>4212</v>
      </c>
      <c r="I289" s="44">
        <v>2</v>
      </c>
      <c r="J289" s="28" t="s">
        <v>3890</v>
      </c>
    </row>
    <row r="290" spans="1:10">
      <c r="A290" s="20" t="s">
        <v>3097</v>
      </c>
      <c r="B290" s="14">
        <v>4</v>
      </c>
      <c r="C290" s="5" t="s">
        <v>3615</v>
      </c>
      <c r="D290" s="14">
        <v>1</v>
      </c>
      <c r="E290" s="110" t="s">
        <v>3934</v>
      </c>
      <c r="F290" s="14" t="s">
        <v>3898</v>
      </c>
      <c r="G290" s="44" t="s">
        <v>3651</v>
      </c>
      <c r="H290" s="44" t="s">
        <v>3098</v>
      </c>
      <c r="I290" s="44" t="s">
        <v>3900</v>
      </c>
      <c r="J290" s="28" t="s">
        <v>4773</v>
      </c>
    </row>
    <row r="291" spans="1:10">
      <c r="A291" s="20" t="s">
        <v>2750</v>
      </c>
      <c r="B291" s="14">
        <v>4</v>
      </c>
      <c r="C291" s="14" t="s">
        <v>3505</v>
      </c>
      <c r="D291" s="14" t="s">
        <v>5036</v>
      </c>
      <c r="E291" s="197" t="s">
        <v>3745</v>
      </c>
      <c r="F291" s="14" t="s">
        <v>3006</v>
      </c>
      <c r="G291" s="44" t="s">
        <v>3911</v>
      </c>
      <c r="H291" s="44" t="s">
        <v>2907</v>
      </c>
      <c r="I291" s="44" t="s">
        <v>3900</v>
      </c>
      <c r="J291" s="28" t="s">
        <v>5232</v>
      </c>
    </row>
    <row r="292" spans="1:10">
      <c r="A292" s="20" t="s">
        <v>3122</v>
      </c>
      <c r="B292" s="14">
        <v>4</v>
      </c>
      <c r="C292" s="14" t="s">
        <v>2948</v>
      </c>
      <c r="D292" s="14">
        <v>1</v>
      </c>
      <c r="E292" s="14" t="s">
        <v>3792</v>
      </c>
      <c r="F292" s="14" t="s">
        <v>3573</v>
      </c>
      <c r="G292" s="44" t="s">
        <v>3550</v>
      </c>
      <c r="H292" s="44" t="s">
        <v>3488</v>
      </c>
      <c r="I292" s="44" t="s">
        <v>3916</v>
      </c>
      <c r="J292" s="28" t="s">
        <v>4555</v>
      </c>
    </row>
    <row r="293" spans="1:10">
      <c r="A293" s="20" t="s">
        <v>3123</v>
      </c>
      <c r="B293" s="14">
        <v>4</v>
      </c>
      <c r="C293" s="14" t="s">
        <v>3685</v>
      </c>
      <c r="D293" s="14">
        <v>1</v>
      </c>
      <c r="E293" s="110" t="s">
        <v>3124</v>
      </c>
      <c r="F293" s="14" t="s">
        <v>3914</v>
      </c>
      <c r="G293" s="44" t="s">
        <v>3747</v>
      </c>
      <c r="H293" s="44" t="s">
        <v>3125</v>
      </c>
      <c r="I293" s="44" t="s">
        <v>2775</v>
      </c>
      <c r="J293" s="28" t="s">
        <v>3535</v>
      </c>
    </row>
    <row r="294" spans="1:10">
      <c r="A294" s="20" t="s">
        <v>2946</v>
      </c>
      <c r="B294" s="14">
        <v>4</v>
      </c>
      <c r="C294" s="14" t="s">
        <v>3794</v>
      </c>
      <c r="D294" s="14">
        <v>1</v>
      </c>
      <c r="E294" s="110" t="s">
        <v>3526</v>
      </c>
      <c r="F294" s="14" t="s">
        <v>3931</v>
      </c>
      <c r="G294" s="44" t="s">
        <v>3765</v>
      </c>
      <c r="H294" s="44" t="s">
        <v>3728</v>
      </c>
      <c r="I294" s="44" t="s">
        <v>3900</v>
      </c>
      <c r="J294" s="28" t="s">
        <v>4369</v>
      </c>
    </row>
    <row r="295" spans="1:10">
      <c r="A295" s="20" t="s">
        <v>3102</v>
      </c>
      <c r="B295" s="14">
        <v>4</v>
      </c>
      <c r="C295" s="14" t="s">
        <v>3032</v>
      </c>
      <c r="D295" s="14">
        <v>1</v>
      </c>
      <c r="E295" s="110" t="s">
        <v>3650</v>
      </c>
      <c r="F295" s="14" t="s">
        <v>3898</v>
      </c>
      <c r="G295" s="44" t="s">
        <v>3927</v>
      </c>
      <c r="H295" s="44" t="s">
        <v>3103</v>
      </c>
      <c r="I295" s="44">
        <v>2</v>
      </c>
      <c r="J295" s="28" t="s">
        <v>4037</v>
      </c>
    </row>
    <row r="296" spans="1:10">
      <c r="A296" s="20" t="s">
        <v>2937</v>
      </c>
      <c r="B296" s="14">
        <v>4</v>
      </c>
      <c r="C296" s="14" t="s">
        <v>3032</v>
      </c>
      <c r="D296" s="14">
        <v>1</v>
      </c>
      <c r="E296" s="110" t="s">
        <v>3650</v>
      </c>
      <c r="F296" s="14" t="s">
        <v>4000</v>
      </c>
      <c r="G296" s="44" t="s">
        <v>3395</v>
      </c>
      <c r="H296" s="44" t="s">
        <v>2938</v>
      </c>
      <c r="I296" s="44" t="s">
        <v>3916</v>
      </c>
      <c r="J296" s="28" t="s">
        <v>4447</v>
      </c>
    </row>
    <row r="297" spans="1:10">
      <c r="A297" s="292" t="s">
        <v>3308</v>
      </c>
      <c r="B297" s="297" t="s">
        <v>452</v>
      </c>
      <c r="C297" s="293" t="s">
        <v>3685</v>
      </c>
      <c r="D297" s="293">
        <v>2</v>
      </c>
      <c r="E297" s="294" t="s">
        <v>3309</v>
      </c>
      <c r="F297" s="293" t="s">
        <v>3854</v>
      </c>
      <c r="G297" s="295" t="s">
        <v>3759</v>
      </c>
      <c r="H297" s="295" t="s">
        <v>3728</v>
      </c>
      <c r="I297" s="295" t="s">
        <v>2775</v>
      </c>
      <c r="J297" s="296" t="s">
        <v>453</v>
      </c>
    </row>
    <row r="298" spans="1:10">
      <c r="A298" s="20" t="s">
        <v>3126</v>
      </c>
      <c r="B298" s="14">
        <v>4</v>
      </c>
      <c r="C298" s="14" t="s">
        <v>3127</v>
      </c>
      <c r="D298" s="14">
        <v>2</v>
      </c>
      <c r="E298" s="110" t="s">
        <v>3701</v>
      </c>
      <c r="F298" s="14" t="s">
        <v>3898</v>
      </c>
      <c r="G298" s="44" t="s">
        <v>3901</v>
      </c>
      <c r="H298" s="44" t="s">
        <v>3859</v>
      </c>
      <c r="I298" s="44" t="s">
        <v>3900</v>
      </c>
      <c r="J298" s="28" t="s">
        <v>4555</v>
      </c>
    </row>
    <row r="299" spans="1:10">
      <c r="A299" s="20" t="s">
        <v>3132</v>
      </c>
      <c r="B299" s="14">
        <v>5</v>
      </c>
      <c r="C299" s="14" t="s">
        <v>3032</v>
      </c>
      <c r="D299" s="14">
        <v>3</v>
      </c>
      <c r="E299" s="110" t="s">
        <v>3133</v>
      </c>
      <c r="F299" s="14" t="s">
        <v>3914</v>
      </c>
      <c r="G299" s="44" t="s">
        <v>3321</v>
      </c>
      <c r="H299" s="44" t="s">
        <v>3746</v>
      </c>
      <c r="I299" s="44" t="s">
        <v>2752</v>
      </c>
      <c r="J299" s="28" t="s">
        <v>4447</v>
      </c>
    </row>
    <row r="300" spans="1:10">
      <c r="A300" s="283" t="s">
        <v>454</v>
      </c>
      <c r="B300" s="284">
        <v>5</v>
      </c>
      <c r="C300" s="284" t="s">
        <v>5756</v>
      </c>
      <c r="D300" s="284">
        <v>1</v>
      </c>
      <c r="E300" s="285" t="s">
        <v>503</v>
      </c>
      <c r="F300" s="284" t="s">
        <v>3898</v>
      </c>
      <c r="G300" s="286" t="s">
        <v>3843</v>
      </c>
      <c r="H300" s="286" t="s">
        <v>455</v>
      </c>
      <c r="I300" s="286" t="s">
        <v>3900</v>
      </c>
      <c r="J300" s="287" t="s">
        <v>4447</v>
      </c>
    </row>
    <row r="301" spans="1:10">
      <c r="A301" s="20" t="s">
        <v>3144</v>
      </c>
      <c r="B301" s="14">
        <v>5</v>
      </c>
      <c r="C301" s="14" t="s">
        <v>3141</v>
      </c>
      <c r="D301" s="14">
        <v>3</v>
      </c>
      <c r="E301" s="110" t="s">
        <v>3145</v>
      </c>
      <c r="F301" s="14" t="s">
        <v>3735</v>
      </c>
      <c r="G301" s="44" t="s">
        <v>3467</v>
      </c>
      <c r="H301" s="44" t="s">
        <v>3728</v>
      </c>
      <c r="I301" s="44" t="s">
        <v>2910</v>
      </c>
      <c r="J301" s="28" t="s">
        <v>4447</v>
      </c>
    </row>
    <row r="302" spans="1:10">
      <c r="A302" s="20" t="s">
        <v>3334</v>
      </c>
      <c r="B302" s="14">
        <v>5</v>
      </c>
      <c r="C302" s="14" t="s">
        <v>3129</v>
      </c>
      <c r="D302" s="14" t="s">
        <v>3335</v>
      </c>
      <c r="E302" s="110" t="s">
        <v>3336</v>
      </c>
      <c r="F302" s="14" t="s">
        <v>3140</v>
      </c>
      <c r="G302" s="44" t="s">
        <v>3612</v>
      </c>
      <c r="H302" s="44" t="s">
        <v>3706</v>
      </c>
      <c r="I302" s="44">
        <v>8</v>
      </c>
      <c r="J302" s="28" t="s">
        <v>4447</v>
      </c>
    </row>
    <row r="303" spans="1:10">
      <c r="A303" s="20" t="s">
        <v>3310</v>
      </c>
      <c r="B303" s="14">
        <v>5</v>
      </c>
      <c r="C303" s="14" t="s">
        <v>3129</v>
      </c>
      <c r="D303" s="14">
        <v>2</v>
      </c>
      <c r="E303" s="110" t="s">
        <v>3124</v>
      </c>
      <c r="F303" s="14" t="s">
        <v>3548</v>
      </c>
      <c r="G303" s="44" t="s">
        <v>3765</v>
      </c>
      <c r="H303" s="44" t="s">
        <v>3859</v>
      </c>
      <c r="I303" s="44">
        <v>6</v>
      </c>
      <c r="J303" s="28" t="s">
        <v>4447</v>
      </c>
    </row>
    <row r="304" spans="1:10">
      <c r="A304" s="20" t="s">
        <v>3131</v>
      </c>
      <c r="B304" s="14">
        <v>5</v>
      </c>
      <c r="C304" s="14" t="s">
        <v>3794</v>
      </c>
      <c r="D304" s="14">
        <v>2</v>
      </c>
      <c r="E304" s="110" t="s">
        <v>3124</v>
      </c>
      <c r="F304" s="14" t="s">
        <v>3898</v>
      </c>
      <c r="G304" s="44" t="s">
        <v>3736</v>
      </c>
      <c r="H304" s="44" t="s">
        <v>3728</v>
      </c>
      <c r="I304" s="44" t="s">
        <v>3900</v>
      </c>
      <c r="J304" s="28" t="s">
        <v>3908</v>
      </c>
    </row>
    <row r="305" spans="1:10">
      <c r="A305" s="20" t="s">
        <v>3130</v>
      </c>
      <c r="B305" s="14">
        <v>5</v>
      </c>
      <c r="C305" s="14" t="s">
        <v>3605</v>
      </c>
      <c r="D305" s="14">
        <v>3</v>
      </c>
      <c r="E305" s="110" t="s">
        <v>3279</v>
      </c>
      <c r="F305" s="14" t="s">
        <v>3914</v>
      </c>
      <c r="G305" s="44" t="s">
        <v>3901</v>
      </c>
      <c r="H305" s="44" t="s">
        <v>3915</v>
      </c>
      <c r="I305" s="44">
        <v>2</v>
      </c>
      <c r="J305" s="28" t="s">
        <v>5232</v>
      </c>
    </row>
    <row r="306" spans="1:10">
      <c r="A306" s="20" t="s">
        <v>3519</v>
      </c>
      <c r="B306" s="14">
        <v>5</v>
      </c>
      <c r="C306" s="14" t="s">
        <v>3129</v>
      </c>
      <c r="D306" s="14">
        <v>3</v>
      </c>
      <c r="E306" s="110" t="s">
        <v>3520</v>
      </c>
      <c r="F306" s="14" t="s">
        <v>3931</v>
      </c>
      <c r="G306" s="44" t="s">
        <v>3753</v>
      </c>
      <c r="H306" s="44" t="s">
        <v>3859</v>
      </c>
      <c r="I306" s="44" t="s">
        <v>5651</v>
      </c>
      <c r="J306" s="28" t="s">
        <v>4447</v>
      </c>
    </row>
    <row r="307" spans="1:10">
      <c r="A307" s="20" t="s">
        <v>3143</v>
      </c>
      <c r="B307" s="14">
        <v>5</v>
      </c>
      <c r="C307" s="14" t="s">
        <v>3794</v>
      </c>
      <c r="D307" s="14">
        <v>3</v>
      </c>
      <c r="E307" s="110" t="s">
        <v>3124</v>
      </c>
      <c r="F307" s="14" t="s">
        <v>3931</v>
      </c>
      <c r="G307" s="44" t="s">
        <v>3550</v>
      </c>
      <c r="H307" s="44" t="s">
        <v>3915</v>
      </c>
      <c r="I307" s="44" t="s">
        <v>3900</v>
      </c>
      <c r="J307" s="28" t="s">
        <v>4369</v>
      </c>
    </row>
    <row r="308" spans="1:10">
      <c r="A308" s="20" t="s">
        <v>2967</v>
      </c>
      <c r="B308" s="14">
        <v>5</v>
      </c>
      <c r="C308" s="14" t="s">
        <v>3141</v>
      </c>
      <c r="D308" s="14">
        <v>3</v>
      </c>
      <c r="E308" s="110" t="s">
        <v>3305</v>
      </c>
      <c r="F308" s="14" t="s">
        <v>3898</v>
      </c>
      <c r="G308" s="44" t="s">
        <v>3467</v>
      </c>
      <c r="H308" s="44" t="s">
        <v>3859</v>
      </c>
      <c r="I308" s="44" t="s">
        <v>3916</v>
      </c>
      <c r="J308" s="28" t="s">
        <v>4037</v>
      </c>
    </row>
    <row r="309" spans="1:10">
      <c r="A309" s="20" t="s">
        <v>3330</v>
      </c>
      <c r="B309" s="14">
        <v>5</v>
      </c>
      <c r="C309" s="14" t="s">
        <v>3794</v>
      </c>
      <c r="D309" s="14">
        <v>3</v>
      </c>
      <c r="E309" s="110" t="s">
        <v>3331</v>
      </c>
      <c r="F309" s="14" t="s">
        <v>3716</v>
      </c>
      <c r="G309" s="44" t="s">
        <v>3332</v>
      </c>
      <c r="H309" s="44" t="s">
        <v>3333</v>
      </c>
      <c r="I309" s="44" t="s">
        <v>3900</v>
      </c>
      <c r="J309" s="28" t="s">
        <v>4369</v>
      </c>
    </row>
    <row r="310" spans="1:10">
      <c r="A310" s="20" t="s">
        <v>3134</v>
      </c>
      <c r="B310" s="14">
        <v>5</v>
      </c>
      <c r="C310" s="14" t="s">
        <v>2948</v>
      </c>
      <c r="D310" s="14" t="s">
        <v>5036</v>
      </c>
      <c r="E310" s="14" t="s">
        <v>3472</v>
      </c>
      <c r="F310" s="14" t="s">
        <v>3618</v>
      </c>
      <c r="G310" s="44" t="s">
        <v>3809</v>
      </c>
      <c r="H310" s="44" t="s">
        <v>3746</v>
      </c>
      <c r="I310" s="44" t="s">
        <v>3916</v>
      </c>
      <c r="J310" s="28" t="s">
        <v>3732</v>
      </c>
    </row>
    <row r="311" spans="1:10">
      <c r="A311" s="20" t="s">
        <v>3980</v>
      </c>
      <c r="B311" s="14">
        <v>5</v>
      </c>
      <c r="C311" s="14" t="s">
        <v>3142</v>
      </c>
      <c r="D311" s="14">
        <v>1</v>
      </c>
      <c r="E311" s="110" t="s">
        <v>3807</v>
      </c>
      <c r="F311" s="14" t="s">
        <v>3716</v>
      </c>
      <c r="G311" s="44" t="s">
        <v>3736</v>
      </c>
      <c r="H311" s="44" t="s">
        <v>5483</v>
      </c>
      <c r="I311" s="44">
        <v>2</v>
      </c>
      <c r="J311" s="28" t="s">
        <v>2696</v>
      </c>
    </row>
    <row r="312" spans="1:10">
      <c r="A312" s="20" t="s">
        <v>3327</v>
      </c>
      <c r="B312" s="14">
        <v>5</v>
      </c>
      <c r="C312" s="14" t="s">
        <v>3583</v>
      </c>
      <c r="D312" s="14">
        <v>4</v>
      </c>
      <c r="E312" s="110" t="s">
        <v>3328</v>
      </c>
      <c r="F312" s="14" t="s">
        <v>3898</v>
      </c>
      <c r="G312" s="44" t="s">
        <v>3570</v>
      </c>
      <c r="H312" s="44" t="s">
        <v>3329</v>
      </c>
      <c r="I312" s="44">
        <v>6</v>
      </c>
      <c r="J312" s="28" t="s">
        <v>5232</v>
      </c>
    </row>
    <row r="313" spans="1:10">
      <c r="A313" s="20" t="s">
        <v>3339</v>
      </c>
      <c r="B313" s="14">
        <v>5</v>
      </c>
      <c r="C313" s="14" t="s">
        <v>3691</v>
      </c>
      <c r="D313" s="14">
        <v>1</v>
      </c>
      <c r="E313" s="110" t="s">
        <v>3124</v>
      </c>
      <c r="F313" s="14" t="s">
        <v>3898</v>
      </c>
      <c r="G313" s="44" t="s">
        <v>3901</v>
      </c>
      <c r="H313" s="44" t="s">
        <v>3692</v>
      </c>
      <c r="I313" s="44">
        <v>2</v>
      </c>
      <c r="J313" s="28" t="s">
        <v>3535</v>
      </c>
    </row>
    <row r="314" spans="1:10">
      <c r="A314" s="20" t="s">
        <v>3517</v>
      </c>
      <c r="B314" s="14">
        <v>5</v>
      </c>
      <c r="C314" s="14" t="s">
        <v>3696</v>
      </c>
      <c r="D314" s="14">
        <v>3</v>
      </c>
      <c r="E314" s="110" t="s">
        <v>3331</v>
      </c>
      <c r="F314" s="14" t="s">
        <v>3716</v>
      </c>
      <c r="G314" s="44" t="s">
        <v>3901</v>
      </c>
      <c r="H314" s="44" t="s">
        <v>3518</v>
      </c>
      <c r="I314" s="44">
        <v>6</v>
      </c>
      <c r="J314" s="28" t="s">
        <v>4369</v>
      </c>
    </row>
    <row r="315" spans="1:10">
      <c r="A315" s="20" t="s">
        <v>3695</v>
      </c>
      <c r="B315" s="14">
        <v>5</v>
      </c>
      <c r="C315" s="14" t="s">
        <v>3696</v>
      </c>
      <c r="D315" s="14">
        <v>1</v>
      </c>
      <c r="E315" s="110" t="s">
        <v>3124</v>
      </c>
      <c r="F315" s="14" t="s">
        <v>3548</v>
      </c>
      <c r="G315" s="44" t="s">
        <v>3901</v>
      </c>
      <c r="H315" s="107" t="s">
        <v>3697</v>
      </c>
      <c r="I315" s="44" t="s">
        <v>3900</v>
      </c>
      <c r="J315" s="28" t="s">
        <v>4369</v>
      </c>
    </row>
    <row r="316" spans="1:10">
      <c r="A316" s="20" t="s">
        <v>3698</v>
      </c>
      <c r="B316" s="14">
        <v>5</v>
      </c>
      <c r="C316" s="14" t="s">
        <v>3691</v>
      </c>
      <c r="D316" s="14">
        <v>1</v>
      </c>
      <c r="E316" s="110" t="s">
        <v>3516</v>
      </c>
      <c r="F316" s="14" t="s">
        <v>4000</v>
      </c>
      <c r="G316" s="44" t="s">
        <v>3736</v>
      </c>
      <c r="H316" s="44" t="s">
        <v>3859</v>
      </c>
      <c r="I316" s="44" t="s">
        <v>2775</v>
      </c>
      <c r="J316" s="28" t="s">
        <v>3535</v>
      </c>
    </row>
    <row r="317" spans="1:10">
      <c r="A317" s="20" t="s">
        <v>3018</v>
      </c>
      <c r="B317" s="14">
        <v>5</v>
      </c>
      <c r="C317" s="14" t="s">
        <v>3696</v>
      </c>
      <c r="D317" s="14">
        <v>2</v>
      </c>
      <c r="E317" s="14" t="s">
        <v>3019</v>
      </c>
      <c r="F317" s="14" t="s">
        <v>3898</v>
      </c>
      <c r="G317" s="44" t="s">
        <v>3753</v>
      </c>
      <c r="H317" s="44" t="s">
        <v>3020</v>
      </c>
      <c r="I317" s="44" t="s">
        <v>3900</v>
      </c>
      <c r="J317" s="28" t="s">
        <v>4369</v>
      </c>
    </row>
    <row r="318" spans="1:10">
      <c r="A318" s="20" t="s">
        <v>3338</v>
      </c>
      <c r="B318" s="14">
        <v>5</v>
      </c>
      <c r="C318" s="14" t="s">
        <v>2944</v>
      </c>
      <c r="D318" s="14">
        <v>3</v>
      </c>
      <c r="E318" s="110" t="s">
        <v>3205</v>
      </c>
      <c r="F318" s="14" t="s">
        <v>3898</v>
      </c>
      <c r="G318" s="44" t="s">
        <v>3612</v>
      </c>
      <c r="H318" s="44" t="s">
        <v>3746</v>
      </c>
      <c r="I318" s="44">
        <v>7</v>
      </c>
      <c r="J318" s="28" t="s">
        <v>3658</v>
      </c>
    </row>
    <row r="319" spans="1:10">
      <c r="A319" s="20" t="s">
        <v>3146</v>
      </c>
      <c r="B319" s="14">
        <v>5</v>
      </c>
      <c r="C319" s="14" t="s">
        <v>3127</v>
      </c>
      <c r="D319" s="14">
        <v>2</v>
      </c>
      <c r="E319" s="110" t="s">
        <v>3124</v>
      </c>
      <c r="F319" s="14" t="s">
        <v>3898</v>
      </c>
      <c r="G319" s="44" t="s">
        <v>3400</v>
      </c>
      <c r="H319" s="107" t="s">
        <v>3147</v>
      </c>
      <c r="I319" s="44" t="s">
        <v>3900</v>
      </c>
      <c r="J319" s="28" t="s">
        <v>4946</v>
      </c>
    </row>
    <row r="320" spans="1:10">
      <c r="A320" s="20" t="s">
        <v>2911</v>
      </c>
      <c r="B320" s="14">
        <v>5</v>
      </c>
      <c r="C320" s="5" t="s">
        <v>3840</v>
      </c>
      <c r="D320" s="14">
        <v>2</v>
      </c>
      <c r="E320" s="110" t="s">
        <v>3807</v>
      </c>
      <c r="F320" s="14" t="s">
        <v>3898</v>
      </c>
      <c r="G320" s="44" t="s">
        <v>3843</v>
      </c>
      <c r="H320" s="44" t="s">
        <v>3010</v>
      </c>
      <c r="I320" s="44" t="s">
        <v>3900</v>
      </c>
      <c r="J320" s="28" t="s">
        <v>4773</v>
      </c>
    </row>
    <row r="321" spans="1:10">
      <c r="A321" s="20" t="s">
        <v>502</v>
      </c>
      <c r="B321" s="14">
        <v>5</v>
      </c>
      <c r="C321" s="10" t="s">
        <v>5886</v>
      </c>
      <c r="D321" s="14">
        <v>2</v>
      </c>
      <c r="E321" s="110" t="s">
        <v>503</v>
      </c>
      <c r="F321" s="14" t="s">
        <v>3931</v>
      </c>
      <c r="G321" s="44" t="s">
        <v>3009</v>
      </c>
      <c r="H321" s="44" t="s">
        <v>5483</v>
      </c>
      <c r="I321" s="44" t="s">
        <v>3900</v>
      </c>
      <c r="J321" s="28" t="s">
        <v>5232</v>
      </c>
    </row>
    <row r="322" spans="1:10">
      <c r="A322" s="20" t="s">
        <v>3017</v>
      </c>
      <c r="B322" s="14">
        <v>5</v>
      </c>
      <c r="C322" s="14" t="s">
        <v>3127</v>
      </c>
      <c r="D322" s="14">
        <v>2</v>
      </c>
      <c r="E322" s="110" t="s">
        <v>3124</v>
      </c>
      <c r="F322" s="14" t="s">
        <v>3947</v>
      </c>
      <c r="G322" s="44" t="s">
        <v>3378</v>
      </c>
      <c r="H322" s="44" t="s">
        <v>3746</v>
      </c>
      <c r="I322" s="44" t="s">
        <v>3900</v>
      </c>
      <c r="J322" s="28" t="s">
        <v>4946</v>
      </c>
    </row>
    <row r="323" spans="1:10">
      <c r="A323" s="20" t="s">
        <v>2864</v>
      </c>
      <c r="B323" s="14">
        <v>5</v>
      </c>
      <c r="C323" s="14" t="s">
        <v>2865</v>
      </c>
      <c r="D323" s="14">
        <v>2</v>
      </c>
      <c r="E323" s="110" t="s">
        <v>3331</v>
      </c>
      <c r="F323" s="14" t="s">
        <v>3979</v>
      </c>
      <c r="G323" s="44" t="s">
        <v>3901</v>
      </c>
      <c r="H323" s="44" t="s">
        <v>2866</v>
      </c>
      <c r="I323" s="44">
        <v>2</v>
      </c>
      <c r="J323" s="28" t="s">
        <v>4369</v>
      </c>
    </row>
    <row r="324" spans="1:10">
      <c r="A324" s="20" t="s">
        <v>3041</v>
      </c>
      <c r="B324" s="14">
        <v>5</v>
      </c>
      <c r="C324" s="14" t="s">
        <v>3042</v>
      </c>
      <c r="D324" s="14">
        <v>1</v>
      </c>
      <c r="E324" s="110" t="s">
        <v>3124</v>
      </c>
      <c r="F324" s="14" t="s">
        <v>3947</v>
      </c>
      <c r="G324" s="44" t="s">
        <v>3550</v>
      </c>
      <c r="H324" s="44" t="s">
        <v>3043</v>
      </c>
      <c r="I324" s="44">
        <v>2</v>
      </c>
      <c r="J324" s="28" t="s">
        <v>4369</v>
      </c>
    </row>
    <row r="325" spans="1:10">
      <c r="A325" s="20" t="s">
        <v>3077</v>
      </c>
      <c r="B325" s="14">
        <v>5</v>
      </c>
      <c r="C325" s="14" t="s">
        <v>3115</v>
      </c>
      <c r="D325" s="14">
        <v>2</v>
      </c>
      <c r="E325" s="110" t="s">
        <v>3663</v>
      </c>
      <c r="F325" s="14" t="s">
        <v>3854</v>
      </c>
      <c r="G325" s="44" t="s">
        <v>3843</v>
      </c>
      <c r="H325" s="44" t="s">
        <v>3488</v>
      </c>
      <c r="I325" s="44" t="s">
        <v>3900</v>
      </c>
      <c r="J325" s="28" t="s">
        <v>4447</v>
      </c>
    </row>
    <row r="326" spans="1:10">
      <c r="A326" s="20" t="s">
        <v>3054</v>
      </c>
      <c r="B326" s="14">
        <v>5</v>
      </c>
      <c r="C326" s="14" t="s">
        <v>2944</v>
      </c>
      <c r="D326" s="14">
        <v>3</v>
      </c>
      <c r="E326" s="110" t="s">
        <v>3211</v>
      </c>
      <c r="F326" s="14" t="s">
        <v>3898</v>
      </c>
      <c r="G326" s="44" t="s">
        <v>3395</v>
      </c>
      <c r="H326" s="44" t="s">
        <v>3055</v>
      </c>
      <c r="I326" s="44" t="s">
        <v>3900</v>
      </c>
      <c r="J326" s="28" t="s">
        <v>4369</v>
      </c>
    </row>
    <row r="327" spans="1:10">
      <c r="A327" s="20" t="s">
        <v>2854</v>
      </c>
      <c r="B327" s="14">
        <v>5</v>
      </c>
      <c r="C327" s="14" t="s">
        <v>3129</v>
      </c>
      <c r="D327" s="14">
        <v>3</v>
      </c>
      <c r="E327" s="14" t="s">
        <v>2855</v>
      </c>
      <c r="F327" s="14" t="s">
        <v>3854</v>
      </c>
      <c r="G327" s="44" t="s">
        <v>3467</v>
      </c>
      <c r="H327" s="44" t="s">
        <v>2856</v>
      </c>
      <c r="I327" s="44" t="s">
        <v>3900</v>
      </c>
      <c r="J327" s="28" t="s">
        <v>4447</v>
      </c>
    </row>
    <row r="328" spans="1:10">
      <c r="A328" s="20" t="s">
        <v>3011</v>
      </c>
      <c r="B328" s="14">
        <v>5</v>
      </c>
      <c r="C328" s="14" t="s">
        <v>3012</v>
      </c>
      <c r="D328" s="14">
        <v>3</v>
      </c>
      <c r="E328" s="110" t="s">
        <v>3279</v>
      </c>
      <c r="F328" s="14" t="s">
        <v>3548</v>
      </c>
      <c r="G328" s="44" t="s">
        <v>3013</v>
      </c>
      <c r="H328" s="44" t="s">
        <v>3859</v>
      </c>
      <c r="I328" s="44" t="s">
        <v>3900</v>
      </c>
      <c r="J328" s="28" t="s">
        <v>5232</v>
      </c>
    </row>
    <row r="329" spans="1:10">
      <c r="A329" s="20" t="s">
        <v>3693</v>
      </c>
      <c r="B329" s="14">
        <v>5</v>
      </c>
      <c r="C329" s="14" t="s">
        <v>2948</v>
      </c>
      <c r="D329" s="14">
        <v>2</v>
      </c>
      <c r="E329" s="110" t="s">
        <v>3650</v>
      </c>
      <c r="F329" s="14" t="s">
        <v>3898</v>
      </c>
      <c r="G329" s="44" t="s">
        <v>3612</v>
      </c>
      <c r="H329" s="44" t="s">
        <v>3694</v>
      </c>
      <c r="I329" s="44" t="s">
        <v>3916</v>
      </c>
      <c r="J329" s="28" t="s">
        <v>3890</v>
      </c>
    </row>
    <row r="330" spans="1:10">
      <c r="A330" s="20" t="s">
        <v>3194</v>
      </c>
      <c r="B330" s="14">
        <v>5</v>
      </c>
      <c r="C330" s="14" t="s">
        <v>3012</v>
      </c>
      <c r="D330" s="14">
        <v>3</v>
      </c>
      <c r="E330" s="110" t="s">
        <v>3124</v>
      </c>
      <c r="F330" s="14" t="s">
        <v>3898</v>
      </c>
      <c r="G330" s="44" t="s">
        <v>3651</v>
      </c>
      <c r="H330" s="44" t="s">
        <v>3195</v>
      </c>
      <c r="I330" s="44">
        <v>6</v>
      </c>
      <c r="J330" s="28" t="s">
        <v>3104</v>
      </c>
    </row>
    <row r="331" spans="1:10">
      <c r="A331" s="20" t="s">
        <v>3521</v>
      </c>
      <c r="B331" s="14">
        <v>5</v>
      </c>
      <c r="C331" s="14" t="s">
        <v>3446</v>
      </c>
      <c r="D331" s="14">
        <v>3</v>
      </c>
      <c r="E331" s="110" t="s">
        <v>3233</v>
      </c>
      <c r="F331" s="14" t="s">
        <v>3931</v>
      </c>
      <c r="G331" s="111" t="s">
        <v>3550</v>
      </c>
      <c r="H331" s="111" t="s">
        <v>3181</v>
      </c>
      <c r="I331" s="44" t="s">
        <v>3900</v>
      </c>
      <c r="J331" s="28" t="s">
        <v>4555</v>
      </c>
    </row>
    <row r="332" spans="1:10">
      <c r="A332" s="20" t="s">
        <v>3014</v>
      </c>
      <c r="B332" s="14">
        <v>5</v>
      </c>
      <c r="C332" s="14" t="s">
        <v>3095</v>
      </c>
      <c r="D332" s="14">
        <v>4</v>
      </c>
      <c r="E332" s="110" t="s">
        <v>3650</v>
      </c>
      <c r="F332" s="14" t="s">
        <v>3898</v>
      </c>
      <c r="G332" s="44" t="s">
        <v>3015</v>
      </c>
      <c r="H332" s="44" t="s">
        <v>3016</v>
      </c>
      <c r="I332" s="44" t="s">
        <v>3900</v>
      </c>
      <c r="J332" s="196" t="s">
        <v>4555</v>
      </c>
    </row>
    <row r="333" spans="1:10">
      <c r="A333" s="20" t="s">
        <v>3196</v>
      </c>
      <c r="B333" s="14">
        <v>5</v>
      </c>
      <c r="C333" s="14" t="s">
        <v>2948</v>
      </c>
      <c r="D333" s="14">
        <v>1</v>
      </c>
      <c r="E333" s="110" t="s">
        <v>3197</v>
      </c>
      <c r="F333" s="14" t="s">
        <v>3898</v>
      </c>
      <c r="G333" s="44" t="s">
        <v>3021</v>
      </c>
      <c r="H333" s="107" t="s">
        <v>3078</v>
      </c>
      <c r="I333" s="44" t="s">
        <v>3916</v>
      </c>
      <c r="J333" s="28" t="s">
        <v>4946</v>
      </c>
    </row>
    <row r="334" spans="1:10">
      <c r="A334" s="20" t="s">
        <v>2857</v>
      </c>
      <c r="B334" s="14">
        <v>5</v>
      </c>
      <c r="C334" s="14" t="s">
        <v>2948</v>
      </c>
      <c r="D334" s="14">
        <v>1</v>
      </c>
      <c r="E334" s="110" t="s">
        <v>3801</v>
      </c>
      <c r="F334" s="14" t="s">
        <v>3898</v>
      </c>
      <c r="G334" s="44" t="s">
        <v>3400</v>
      </c>
      <c r="H334" s="44" t="s">
        <v>3728</v>
      </c>
      <c r="I334" s="44" t="s">
        <v>3706</v>
      </c>
      <c r="J334" s="28" t="s">
        <v>4946</v>
      </c>
    </row>
    <row r="335" spans="1:10">
      <c r="A335" s="20" t="s">
        <v>2853</v>
      </c>
      <c r="B335" s="14">
        <v>5</v>
      </c>
      <c r="C335" s="14" t="s">
        <v>3691</v>
      </c>
      <c r="D335" s="14">
        <v>1</v>
      </c>
      <c r="E335" s="110" t="s">
        <v>3336</v>
      </c>
      <c r="F335" s="14" t="s">
        <v>4000</v>
      </c>
      <c r="G335" s="44" t="s">
        <v>3013</v>
      </c>
      <c r="H335" s="44" t="s">
        <v>3746</v>
      </c>
      <c r="I335" s="44" t="s">
        <v>2775</v>
      </c>
      <c r="J335" s="28" t="s">
        <v>5232</v>
      </c>
    </row>
    <row r="336" spans="1:10">
      <c r="A336" s="20" t="s">
        <v>2862</v>
      </c>
      <c r="B336" s="14">
        <v>5</v>
      </c>
      <c r="C336" s="14" t="s">
        <v>3691</v>
      </c>
      <c r="D336" s="14">
        <v>2</v>
      </c>
      <c r="E336" s="110" t="s">
        <v>3211</v>
      </c>
      <c r="F336" s="14" t="s">
        <v>3898</v>
      </c>
      <c r="G336" s="44" t="s">
        <v>3291</v>
      </c>
      <c r="H336" s="44" t="s">
        <v>2863</v>
      </c>
      <c r="I336" s="44" t="s">
        <v>3916</v>
      </c>
      <c r="J336" s="28" t="s">
        <v>5232</v>
      </c>
    </row>
    <row r="337" spans="1:10">
      <c r="A337" s="20" t="s">
        <v>2870</v>
      </c>
      <c r="B337" s="14">
        <v>5</v>
      </c>
      <c r="C337" s="14" t="s">
        <v>3127</v>
      </c>
      <c r="D337" s="14">
        <v>2</v>
      </c>
      <c r="E337" s="110" t="s">
        <v>3331</v>
      </c>
      <c r="F337" s="14" t="s">
        <v>2871</v>
      </c>
      <c r="G337" s="44" t="s">
        <v>3736</v>
      </c>
      <c r="H337" s="44" t="s">
        <v>3286</v>
      </c>
      <c r="I337" s="44" t="s">
        <v>3900</v>
      </c>
      <c r="J337" s="28" t="s">
        <v>4555</v>
      </c>
    </row>
    <row r="338" spans="1:10">
      <c r="A338" s="20" t="s">
        <v>3244</v>
      </c>
      <c r="B338" s="14">
        <v>5</v>
      </c>
      <c r="C338" s="14" t="s">
        <v>2944</v>
      </c>
      <c r="D338" s="14" t="s">
        <v>5036</v>
      </c>
      <c r="E338" s="14" t="s">
        <v>3897</v>
      </c>
      <c r="F338" s="14" t="s">
        <v>3898</v>
      </c>
      <c r="G338" s="44" t="s">
        <v>3765</v>
      </c>
      <c r="H338" s="107" t="s">
        <v>3245</v>
      </c>
      <c r="I338" s="44" t="s">
        <v>3900</v>
      </c>
      <c r="J338" s="28" t="s">
        <v>4369</v>
      </c>
    </row>
    <row r="339" spans="1:10">
      <c r="A339" s="20" t="s">
        <v>2858</v>
      </c>
      <c r="B339" s="14">
        <v>5</v>
      </c>
      <c r="C339" s="14" t="s">
        <v>2859</v>
      </c>
      <c r="D339" s="14">
        <v>4</v>
      </c>
      <c r="E339" s="110" t="s">
        <v>3279</v>
      </c>
      <c r="F339" s="14" t="s">
        <v>3898</v>
      </c>
      <c r="G339" s="44" t="s">
        <v>2860</v>
      </c>
      <c r="H339" s="44" t="s">
        <v>2861</v>
      </c>
      <c r="I339" s="44" t="s">
        <v>3900</v>
      </c>
      <c r="J339" s="28" t="s">
        <v>5232</v>
      </c>
    </row>
    <row r="340" spans="1:10">
      <c r="A340" s="20" t="s">
        <v>2867</v>
      </c>
      <c r="B340" s="14">
        <v>5</v>
      </c>
      <c r="C340" s="14" t="s">
        <v>3494</v>
      </c>
      <c r="D340" s="14">
        <v>3</v>
      </c>
      <c r="E340" s="110" t="s">
        <v>2868</v>
      </c>
      <c r="F340" s="14" t="s">
        <v>3487</v>
      </c>
      <c r="G340" s="111" t="s">
        <v>3948</v>
      </c>
      <c r="H340" s="111" t="s">
        <v>2869</v>
      </c>
      <c r="I340" s="44" t="s">
        <v>3900</v>
      </c>
      <c r="J340" s="28" t="s">
        <v>4447</v>
      </c>
    </row>
    <row r="341" spans="1:10">
      <c r="A341" s="20" t="s">
        <v>3219</v>
      </c>
      <c r="B341" s="14">
        <v>5</v>
      </c>
      <c r="C341" s="14" t="s">
        <v>3141</v>
      </c>
      <c r="D341" s="14" t="s">
        <v>3220</v>
      </c>
      <c r="E341" s="14" t="s">
        <v>3221</v>
      </c>
      <c r="F341" s="14" t="s">
        <v>3898</v>
      </c>
      <c r="G341" s="44" t="s">
        <v>3046</v>
      </c>
      <c r="H341" s="44" t="s">
        <v>3047</v>
      </c>
      <c r="I341" s="44">
        <v>2</v>
      </c>
      <c r="J341" s="28" t="s">
        <v>4447</v>
      </c>
    </row>
    <row r="342" spans="1:10">
      <c r="A342" s="20" t="s">
        <v>3049</v>
      </c>
      <c r="B342" s="14">
        <v>5</v>
      </c>
      <c r="C342" s="14" t="s">
        <v>3237</v>
      </c>
      <c r="D342" s="14">
        <v>2</v>
      </c>
      <c r="E342" s="106" t="s">
        <v>3233</v>
      </c>
      <c r="F342" s="14" t="s">
        <v>3898</v>
      </c>
      <c r="G342" s="44" t="s">
        <v>3550</v>
      </c>
      <c r="H342" s="44" t="s">
        <v>3050</v>
      </c>
      <c r="I342" s="44">
        <v>6</v>
      </c>
      <c r="J342" s="28" t="s">
        <v>4773</v>
      </c>
    </row>
    <row r="343" spans="1:10">
      <c r="A343" s="20" t="s">
        <v>3597</v>
      </c>
      <c r="B343" s="14">
        <v>5</v>
      </c>
      <c r="C343" s="14" t="s">
        <v>3598</v>
      </c>
      <c r="D343" s="14">
        <v>1</v>
      </c>
      <c r="E343" s="110" t="s">
        <v>3331</v>
      </c>
      <c r="F343" s="14" t="s">
        <v>4000</v>
      </c>
      <c r="G343" s="44" t="s">
        <v>3736</v>
      </c>
      <c r="H343" s="44" t="s">
        <v>3859</v>
      </c>
      <c r="I343" s="44" t="s">
        <v>3900</v>
      </c>
      <c r="J343" s="28" t="s">
        <v>4369</v>
      </c>
    </row>
    <row r="344" spans="1:10">
      <c r="A344" s="20" t="s">
        <v>2872</v>
      </c>
      <c r="B344" s="14">
        <v>5</v>
      </c>
      <c r="C344" s="14" t="s">
        <v>2944</v>
      </c>
      <c r="D344" s="14">
        <v>1</v>
      </c>
      <c r="E344" s="110" t="s">
        <v>3233</v>
      </c>
      <c r="F344" s="14" t="s">
        <v>3716</v>
      </c>
      <c r="G344" s="44" t="s">
        <v>3765</v>
      </c>
      <c r="H344" s="44" t="s">
        <v>3040</v>
      </c>
      <c r="I344" s="44" t="s">
        <v>3790</v>
      </c>
      <c r="J344" s="28" t="s">
        <v>3590</v>
      </c>
    </row>
    <row r="345" spans="1:10">
      <c r="A345" s="20" t="s">
        <v>508</v>
      </c>
      <c r="B345" s="14">
        <v>5</v>
      </c>
      <c r="C345" s="14" t="s">
        <v>5888</v>
      </c>
      <c r="D345" s="14">
        <v>1</v>
      </c>
      <c r="E345" s="110" t="s">
        <v>503</v>
      </c>
      <c r="F345" s="14" t="s">
        <v>3947</v>
      </c>
      <c r="G345" s="44" t="s">
        <v>3843</v>
      </c>
      <c r="H345" s="44" t="s">
        <v>509</v>
      </c>
      <c r="I345" s="44">
        <v>6</v>
      </c>
      <c r="J345" s="28" t="s">
        <v>4369</v>
      </c>
    </row>
    <row r="346" spans="1:10">
      <c r="A346" s="20" t="s">
        <v>3051</v>
      </c>
      <c r="B346" s="14">
        <v>5</v>
      </c>
      <c r="C346" s="14" t="s">
        <v>2859</v>
      </c>
      <c r="D346" s="14">
        <v>2</v>
      </c>
      <c r="E346" s="110" t="s">
        <v>3331</v>
      </c>
      <c r="F346" s="14" t="s">
        <v>3898</v>
      </c>
      <c r="G346" s="44" t="s">
        <v>3736</v>
      </c>
      <c r="H346" s="44" t="s">
        <v>3053</v>
      </c>
      <c r="I346" s="44" t="s">
        <v>3900</v>
      </c>
      <c r="J346" s="28" t="s">
        <v>5232</v>
      </c>
    </row>
    <row r="347" spans="1:10">
      <c r="A347" s="20" t="s">
        <v>506</v>
      </c>
      <c r="B347" s="14">
        <v>5</v>
      </c>
      <c r="C347" s="14" t="s">
        <v>5886</v>
      </c>
      <c r="D347" s="14">
        <v>2</v>
      </c>
      <c r="E347" s="110" t="s">
        <v>503</v>
      </c>
      <c r="F347" s="14" t="s">
        <v>3548</v>
      </c>
      <c r="G347" s="44" t="s">
        <v>3651</v>
      </c>
      <c r="H347" s="44" t="s">
        <v>507</v>
      </c>
      <c r="I347" s="44" t="s">
        <v>3900</v>
      </c>
      <c r="J347" s="28" t="s">
        <v>596</v>
      </c>
    </row>
    <row r="348" spans="1:10">
      <c r="A348" s="20" t="s">
        <v>3093</v>
      </c>
      <c r="B348" s="14">
        <v>5</v>
      </c>
      <c r="C348" s="14" t="s">
        <v>3669</v>
      </c>
      <c r="D348" s="14">
        <v>2</v>
      </c>
      <c r="E348" s="110" t="s">
        <v>3328</v>
      </c>
      <c r="F348" s="14" t="s">
        <v>3898</v>
      </c>
      <c r="G348" s="111" t="s">
        <v>3575</v>
      </c>
      <c r="H348" s="111" t="s">
        <v>2924</v>
      </c>
      <c r="I348" s="44" t="s">
        <v>3900</v>
      </c>
      <c r="J348" s="28" t="s">
        <v>4369</v>
      </c>
    </row>
    <row r="349" spans="1:10">
      <c r="A349" s="20" t="s">
        <v>3048</v>
      </c>
      <c r="B349" s="14">
        <v>5</v>
      </c>
      <c r="C349" s="14" t="s">
        <v>3127</v>
      </c>
      <c r="D349" s="14">
        <v>3</v>
      </c>
      <c r="E349" s="110" t="s">
        <v>3124</v>
      </c>
      <c r="F349" s="14" t="s">
        <v>3898</v>
      </c>
      <c r="G349" s="44" t="s">
        <v>3730</v>
      </c>
      <c r="H349" s="44" t="s">
        <v>3859</v>
      </c>
      <c r="I349" s="44">
        <v>6</v>
      </c>
      <c r="J349" s="28" t="s">
        <v>4555</v>
      </c>
    </row>
    <row r="350" spans="1:10">
      <c r="A350" s="20" t="s">
        <v>3056</v>
      </c>
      <c r="B350" s="14">
        <v>5</v>
      </c>
      <c r="C350" s="14" t="s">
        <v>3129</v>
      </c>
      <c r="D350" s="14">
        <v>2</v>
      </c>
      <c r="E350" s="110" t="s">
        <v>3124</v>
      </c>
      <c r="F350" s="14" t="s">
        <v>3947</v>
      </c>
      <c r="G350" s="44" t="s">
        <v>3057</v>
      </c>
      <c r="H350" s="107" t="s">
        <v>3079</v>
      </c>
      <c r="I350" s="44">
        <v>6</v>
      </c>
      <c r="J350" s="28" t="s">
        <v>4447</v>
      </c>
    </row>
    <row r="351" spans="1:10">
      <c r="A351" s="20" t="s">
        <v>3242</v>
      </c>
      <c r="B351" s="14">
        <v>5</v>
      </c>
      <c r="C351" s="14" t="s">
        <v>3243</v>
      </c>
      <c r="D351" s="14">
        <v>2</v>
      </c>
      <c r="E351" s="110" t="s">
        <v>3124</v>
      </c>
      <c r="F351" s="14" t="s">
        <v>3979</v>
      </c>
      <c r="G351" s="44" t="s">
        <v>3901</v>
      </c>
      <c r="H351" s="44" t="s">
        <v>3859</v>
      </c>
      <c r="I351" s="44">
        <v>6</v>
      </c>
      <c r="J351" s="28" t="s">
        <v>4447</v>
      </c>
    </row>
    <row r="352" spans="1:10">
      <c r="A352" s="20" t="s">
        <v>504</v>
      </c>
      <c r="B352" s="14">
        <v>5</v>
      </c>
      <c r="C352" s="14" t="s">
        <v>5887</v>
      </c>
      <c r="D352" s="14" t="s">
        <v>5036</v>
      </c>
      <c r="E352" s="110" t="s">
        <v>503</v>
      </c>
      <c r="F352" s="14" t="s">
        <v>3947</v>
      </c>
      <c r="G352" s="44" t="s">
        <v>3407</v>
      </c>
      <c r="H352" s="44" t="s">
        <v>505</v>
      </c>
      <c r="I352" s="44" t="s">
        <v>3900</v>
      </c>
      <c r="J352" s="28" t="s">
        <v>4555</v>
      </c>
    </row>
    <row r="353" spans="1:10">
      <c r="A353" s="20" t="s">
        <v>3594</v>
      </c>
      <c r="B353" s="14">
        <v>5</v>
      </c>
      <c r="C353" s="14" t="s">
        <v>3243</v>
      </c>
      <c r="D353" s="14">
        <v>3</v>
      </c>
      <c r="E353" s="110" t="s">
        <v>3124</v>
      </c>
      <c r="F353" s="14" t="s">
        <v>3947</v>
      </c>
      <c r="G353" s="44" t="s">
        <v>3612</v>
      </c>
      <c r="H353" s="44" t="s">
        <v>3595</v>
      </c>
      <c r="I353" s="44">
        <v>10</v>
      </c>
      <c r="J353" s="28" t="s">
        <v>4447</v>
      </c>
    </row>
    <row r="354" spans="1:10">
      <c r="A354" s="20" t="s">
        <v>3241</v>
      </c>
      <c r="B354" s="14">
        <v>5</v>
      </c>
      <c r="C354" s="14" t="s">
        <v>2859</v>
      </c>
      <c r="D354" s="14">
        <v>1</v>
      </c>
      <c r="E354" s="110" t="s">
        <v>3331</v>
      </c>
      <c r="F354" s="14" t="s">
        <v>3914</v>
      </c>
      <c r="G354" s="44" t="s">
        <v>3736</v>
      </c>
      <c r="H354" s="44" t="s">
        <v>3728</v>
      </c>
      <c r="I354" s="44" t="s">
        <v>3900</v>
      </c>
      <c r="J354" s="28" t="s">
        <v>3739</v>
      </c>
    </row>
    <row r="355" spans="1:10">
      <c r="A355" s="20" t="s">
        <v>3239</v>
      </c>
      <c r="B355" s="14">
        <v>5</v>
      </c>
      <c r="C355" s="14" t="s">
        <v>2948</v>
      </c>
      <c r="D355" s="14">
        <v>2</v>
      </c>
      <c r="E355" s="110" t="s">
        <v>3749</v>
      </c>
      <c r="F355" s="14" t="s">
        <v>3898</v>
      </c>
      <c r="G355" s="44" t="s">
        <v>3753</v>
      </c>
      <c r="H355" s="44" t="s">
        <v>3240</v>
      </c>
      <c r="I355" s="44" t="s">
        <v>3916</v>
      </c>
      <c r="J355" s="28" t="s">
        <v>3890</v>
      </c>
    </row>
    <row r="356" spans="1:10">
      <c r="A356" s="20" t="s">
        <v>3246</v>
      </c>
      <c r="B356" s="14">
        <v>5</v>
      </c>
      <c r="C356" s="14" t="s">
        <v>2948</v>
      </c>
      <c r="D356" s="14">
        <v>2</v>
      </c>
      <c r="E356" s="110" t="s">
        <v>3282</v>
      </c>
      <c r="F356" s="14" t="s">
        <v>3548</v>
      </c>
      <c r="G356" s="44" t="s">
        <v>3249</v>
      </c>
      <c r="H356" s="44" t="s">
        <v>3592</v>
      </c>
      <c r="I356" s="44" t="s">
        <v>3916</v>
      </c>
      <c r="J356" s="28" t="s">
        <v>3890</v>
      </c>
    </row>
    <row r="357" spans="1:10">
      <c r="A357" s="20" t="s">
        <v>3438</v>
      </c>
      <c r="B357" s="14">
        <v>5</v>
      </c>
      <c r="C357" s="14" t="s">
        <v>3439</v>
      </c>
      <c r="D357" s="14">
        <v>3</v>
      </c>
      <c r="E357" s="110" t="s">
        <v>3211</v>
      </c>
      <c r="F357" s="14" t="s">
        <v>3548</v>
      </c>
      <c r="G357" s="44" t="s">
        <v>3440</v>
      </c>
      <c r="H357" s="44" t="s">
        <v>3441</v>
      </c>
      <c r="I357" s="44">
        <v>12</v>
      </c>
      <c r="J357" s="28" t="s">
        <v>4447</v>
      </c>
    </row>
    <row r="358" spans="1:10">
      <c r="A358" s="20" t="s">
        <v>2925</v>
      </c>
      <c r="B358" s="14">
        <v>5</v>
      </c>
      <c r="C358" s="14" t="s">
        <v>3439</v>
      </c>
      <c r="D358" s="14">
        <v>1</v>
      </c>
      <c r="E358" s="110" t="s">
        <v>3336</v>
      </c>
      <c r="F358" s="14" t="s">
        <v>3947</v>
      </c>
      <c r="G358" s="44" t="s">
        <v>3736</v>
      </c>
      <c r="H358" s="44" t="s">
        <v>3687</v>
      </c>
      <c r="I358" s="44" t="s">
        <v>3900</v>
      </c>
      <c r="J358" s="28" t="s">
        <v>4447</v>
      </c>
    </row>
    <row r="359" spans="1:10">
      <c r="A359" s="20" t="s">
        <v>3596</v>
      </c>
      <c r="B359" s="14">
        <v>5</v>
      </c>
      <c r="C359" s="14" t="s">
        <v>3691</v>
      </c>
      <c r="D359" s="14">
        <v>1</v>
      </c>
      <c r="E359" s="110" t="s">
        <v>3305</v>
      </c>
      <c r="F359" s="14" t="s">
        <v>3716</v>
      </c>
      <c r="G359" s="44" t="s">
        <v>3809</v>
      </c>
      <c r="H359" s="44" t="s">
        <v>3746</v>
      </c>
      <c r="I359" s="44" t="s">
        <v>3916</v>
      </c>
      <c r="J359" s="28" t="s">
        <v>3535</v>
      </c>
    </row>
    <row r="360" spans="1:10">
      <c r="A360" s="20" t="s">
        <v>3599</v>
      </c>
      <c r="B360" s="14">
        <v>5</v>
      </c>
      <c r="C360" s="14" t="s">
        <v>3600</v>
      </c>
      <c r="D360" s="14">
        <v>2</v>
      </c>
      <c r="E360" s="110" t="s">
        <v>3520</v>
      </c>
      <c r="F360" s="14" t="s">
        <v>3947</v>
      </c>
      <c r="G360" s="44" t="s">
        <v>3550</v>
      </c>
      <c r="H360" s="44" t="s">
        <v>3746</v>
      </c>
      <c r="I360" s="44" t="s">
        <v>3900</v>
      </c>
      <c r="J360" s="28" t="s">
        <v>4555</v>
      </c>
    </row>
    <row r="361" spans="1:10">
      <c r="A361" s="20" t="s">
        <v>2926</v>
      </c>
      <c r="B361" s="14">
        <v>5</v>
      </c>
      <c r="C361" s="14" t="s">
        <v>3598</v>
      </c>
      <c r="D361" s="14">
        <v>5</v>
      </c>
      <c r="E361" s="14" t="s">
        <v>2927</v>
      </c>
      <c r="F361" s="14" t="s">
        <v>3947</v>
      </c>
      <c r="G361" s="44" t="s">
        <v>3550</v>
      </c>
      <c r="H361" s="44" t="s">
        <v>2928</v>
      </c>
      <c r="I361" s="44" t="s">
        <v>3900</v>
      </c>
      <c r="J361" s="28" t="s">
        <v>4369</v>
      </c>
    </row>
    <row r="362" spans="1:10">
      <c r="A362" s="20" t="s">
        <v>2929</v>
      </c>
      <c r="B362" s="14">
        <v>5</v>
      </c>
      <c r="C362" s="14" t="s">
        <v>3141</v>
      </c>
      <c r="D362" s="14">
        <v>4</v>
      </c>
      <c r="E362" s="110" t="s">
        <v>3133</v>
      </c>
      <c r="F362" s="14" t="s">
        <v>2930</v>
      </c>
      <c r="G362" s="44" t="s">
        <v>3550</v>
      </c>
      <c r="H362" s="44" t="s">
        <v>4209</v>
      </c>
      <c r="I362" s="44" t="s">
        <v>3916</v>
      </c>
      <c r="J362" s="28" t="s">
        <v>4447</v>
      </c>
    </row>
    <row r="363" spans="1:10">
      <c r="A363" s="20" t="s">
        <v>2932</v>
      </c>
      <c r="B363" s="14">
        <v>5</v>
      </c>
      <c r="C363" s="14" t="s">
        <v>3439</v>
      </c>
      <c r="D363" s="14">
        <v>2</v>
      </c>
      <c r="E363" s="110" t="s">
        <v>3331</v>
      </c>
      <c r="F363" s="14" t="s">
        <v>3947</v>
      </c>
      <c r="G363" s="44" t="s">
        <v>3843</v>
      </c>
      <c r="H363" s="44" t="s">
        <v>3915</v>
      </c>
      <c r="I363" s="44" t="s">
        <v>3900</v>
      </c>
      <c r="J363" s="28" t="s">
        <v>4447</v>
      </c>
    </row>
    <row r="364" spans="1:10">
      <c r="A364" s="20" t="s">
        <v>2931</v>
      </c>
      <c r="B364" s="14">
        <v>5</v>
      </c>
      <c r="C364" s="14" t="s">
        <v>2944</v>
      </c>
      <c r="D364" s="14">
        <v>3</v>
      </c>
      <c r="E364" s="110" t="s">
        <v>3749</v>
      </c>
      <c r="F364" s="14" t="s">
        <v>3716</v>
      </c>
      <c r="G364" s="44" t="s">
        <v>3765</v>
      </c>
      <c r="H364" s="44" t="s">
        <v>3859</v>
      </c>
      <c r="I364" s="44" t="s">
        <v>3657</v>
      </c>
      <c r="J364" s="28" t="s">
        <v>4369</v>
      </c>
    </row>
    <row r="365" spans="1:10">
      <c r="A365" s="20" t="s">
        <v>2776</v>
      </c>
      <c r="B365" s="14">
        <v>5</v>
      </c>
      <c r="C365" s="14" t="s">
        <v>3439</v>
      </c>
      <c r="D365" s="14">
        <v>1</v>
      </c>
      <c r="E365" s="110" t="s">
        <v>3124</v>
      </c>
      <c r="F365" s="14" t="s">
        <v>3947</v>
      </c>
      <c r="G365" s="44" t="s">
        <v>3013</v>
      </c>
      <c r="H365" s="44" t="s">
        <v>3728</v>
      </c>
      <c r="I365" s="44" t="s">
        <v>3900</v>
      </c>
      <c r="J365" s="28" t="s">
        <v>4447</v>
      </c>
    </row>
    <row r="366" spans="1:10">
      <c r="A366" s="20" t="s">
        <v>3593</v>
      </c>
      <c r="B366" s="14">
        <v>5</v>
      </c>
      <c r="C366" s="14" t="s">
        <v>3141</v>
      </c>
      <c r="D366" s="14">
        <v>3</v>
      </c>
      <c r="E366" s="110" t="s">
        <v>3248</v>
      </c>
      <c r="F366" s="14" t="s">
        <v>3716</v>
      </c>
      <c r="G366" s="44" t="s">
        <v>3736</v>
      </c>
      <c r="H366" s="44" t="s">
        <v>3859</v>
      </c>
      <c r="I366" s="44" t="s">
        <v>3916</v>
      </c>
      <c r="J366" s="28" t="s">
        <v>2745</v>
      </c>
    </row>
    <row r="367" spans="1:10">
      <c r="A367" s="20" t="s">
        <v>3436</v>
      </c>
      <c r="B367" s="14">
        <v>5</v>
      </c>
      <c r="C367" s="14" t="s">
        <v>3505</v>
      </c>
      <c r="D367" s="14">
        <v>2</v>
      </c>
      <c r="E367" s="110" t="s">
        <v>3331</v>
      </c>
      <c r="F367" s="14" t="s">
        <v>3851</v>
      </c>
      <c r="G367" s="44" t="s">
        <v>3550</v>
      </c>
      <c r="H367" s="44" t="s">
        <v>3437</v>
      </c>
      <c r="I367" s="44" t="s">
        <v>3900</v>
      </c>
      <c r="J367" s="28" t="s">
        <v>5232</v>
      </c>
    </row>
    <row r="368" spans="1:10">
      <c r="A368" s="20" t="s">
        <v>2608</v>
      </c>
      <c r="B368" s="14">
        <v>6</v>
      </c>
      <c r="C368" s="14" t="s">
        <v>3598</v>
      </c>
      <c r="D368" s="14">
        <v>2</v>
      </c>
      <c r="E368" s="110" t="s">
        <v>2609</v>
      </c>
      <c r="F368" s="14" t="s">
        <v>3898</v>
      </c>
      <c r="G368" s="44" t="s">
        <v>3765</v>
      </c>
      <c r="H368" s="44" t="s">
        <v>3915</v>
      </c>
      <c r="I368" s="44" t="s">
        <v>3900</v>
      </c>
      <c r="J368" s="28" t="s">
        <v>4369</v>
      </c>
    </row>
    <row r="369" spans="1:10">
      <c r="A369" s="20" t="s">
        <v>3105</v>
      </c>
      <c r="B369" s="14">
        <v>6</v>
      </c>
      <c r="C369" s="14" t="s">
        <v>3141</v>
      </c>
      <c r="D369" s="14">
        <v>1</v>
      </c>
      <c r="E369" s="110" t="s">
        <v>3211</v>
      </c>
      <c r="F369" s="14" t="s">
        <v>3618</v>
      </c>
      <c r="G369" s="44" t="s">
        <v>3249</v>
      </c>
      <c r="H369" s="44" t="s">
        <v>3915</v>
      </c>
      <c r="I369" s="44">
        <v>3</v>
      </c>
      <c r="J369" s="28" t="s">
        <v>4037</v>
      </c>
    </row>
    <row r="370" spans="1:10">
      <c r="A370" s="20" t="s">
        <v>2777</v>
      </c>
      <c r="B370" s="14">
        <v>6</v>
      </c>
      <c r="C370" s="14" t="s">
        <v>3600</v>
      </c>
      <c r="D370" s="14">
        <v>3</v>
      </c>
      <c r="E370" s="110" t="s">
        <v>2778</v>
      </c>
      <c r="F370" s="14" t="s">
        <v>3898</v>
      </c>
      <c r="G370" s="44" t="s">
        <v>3945</v>
      </c>
      <c r="H370" s="44" t="s">
        <v>2779</v>
      </c>
      <c r="I370" s="44" t="s">
        <v>3900</v>
      </c>
      <c r="J370" s="28" t="s">
        <v>4555</v>
      </c>
    </row>
    <row r="371" spans="1:10">
      <c r="A371" s="20" t="s">
        <v>2787</v>
      </c>
      <c r="B371" s="14">
        <v>6</v>
      </c>
      <c r="C371" s="14" t="s">
        <v>2788</v>
      </c>
      <c r="D371" s="14">
        <v>3</v>
      </c>
      <c r="E371" s="110" t="s">
        <v>3279</v>
      </c>
      <c r="F371" s="14" t="s">
        <v>3914</v>
      </c>
      <c r="G371" s="44" t="s">
        <v>3395</v>
      </c>
      <c r="H371" s="44" t="s">
        <v>3915</v>
      </c>
      <c r="I371" s="44" t="s">
        <v>3900</v>
      </c>
      <c r="J371" s="28" t="s">
        <v>4447</v>
      </c>
    </row>
    <row r="372" spans="1:10">
      <c r="A372" s="20" t="s">
        <v>2782</v>
      </c>
      <c r="B372" s="14">
        <v>6</v>
      </c>
      <c r="C372" s="14" t="s">
        <v>3141</v>
      </c>
      <c r="D372" s="14">
        <v>2</v>
      </c>
      <c r="E372" s="110" t="s">
        <v>3516</v>
      </c>
      <c r="F372" s="14" t="s">
        <v>3716</v>
      </c>
      <c r="G372" s="44" t="s">
        <v>3736</v>
      </c>
      <c r="H372" s="44" t="s">
        <v>3859</v>
      </c>
      <c r="I372" s="44" t="s">
        <v>3916</v>
      </c>
      <c r="J372" s="28" t="s">
        <v>4037</v>
      </c>
    </row>
    <row r="373" spans="1:10">
      <c r="A373" s="20" t="s">
        <v>2794</v>
      </c>
      <c r="B373" s="14">
        <v>6</v>
      </c>
      <c r="C373" s="14" t="s">
        <v>2788</v>
      </c>
      <c r="D373" s="14">
        <v>3</v>
      </c>
      <c r="E373" s="110" t="s">
        <v>2795</v>
      </c>
      <c r="F373" s="14" t="s">
        <v>3898</v>
      </c>
      <c r="G373" s="44" t="s">
        <v>2796</v>
      </c>
      <c r="H373" s="44" t="s">
        <v>2797</v>
      </c>
      <c r="I373" s="44">
        <v>6</v>
      </c>
      <c r="J373" s="28" t="s">
        <v>4447</v>
      </c>
    </row>
    <row r="374" spans="1:10">
      <c r="A374" s="20" t="s">
        <v>2784</v>
      </c>
      <c r="B374" s="14">
        <v>6</v>
      </c>
      <c r="C374" s="14" t="s">
        <v>2785</v>
      </c>
      <c r="D374" s="14">
        <v>4</v>
      </c>
      <c r="E374" s="110" t="s">
        <v>2786</v>
      </c>
      <c r="F374" s="14" t="s">
        <v>3898</v>
      </c>
      <c r="G374" s="44" t="s">
        <v>3273</v>
      </c>
      <c r="H374" s="44" t="s">
        <v>3859</v>
      </c>
      <c r="I374" s="44" t="s">
        <v>2775</v>
      </c>
      <c r="J374" s="28" t="s">
        <v>4369</v>
      </c>
    </row>
    <row r="375" spans="1:10">
      <c r="A375" s="20" t="s">
        <v>2933</v>
      </c>
      <c r="B375" s="14">
        <v>6</v>
      </c>
      <c r="C375" s="14" t="s">
        <v>2934</v>
      </c>
      <c r="D375" s="14">
        <v>1</v>
      </c>
      <c r="E375" s="197" t="s">
        <v>3080</v>
      </c>
      <c r="F375" s="14" t="s">
        <v>3947</v>
      </c>
      <c r="G375" s="44" t="s">
        <v>3911</v>
      </c>
      <c r="H375" s="44" t="s">
        <v>3728</v>
      </c>
      <c r="I375" s="44">
        <v>4</v>
      </c>
      <c r="J375" s="28" t="s">
        <v>5232</v>
      </c>
    </row>
    <row r="376" spans="1:10">
      <c r="A376" s="20" t="s">
        <v>2952</v>
      </c>
      <c r="B376" s="14">
        <v>6</v>
      </c>
      <c r="C376" s="14" t="s">
        <v>2785</v>
      </c>
      <c r="D376" s="14">
        <v>3</v>
      </c>
      <c r="E376" s="110" t="s">
        <v>3205</v>
      </c>
      <c r="F376" s="14" t="s">
        <v>3716</v>
      </c>
      <c r="G376" s="44" t="s">
        <v>3538</v>
      </c>
      <c r="H376" s="44" t="s">
        <v>3859</v>
      </c>
      <c r="I376" s="44">
        <v>2</v>
      </c>
      <c r="J376" s="28" t="s">
        <v>4369</v>
      </c>
    </row>
    <row r="377" spans="1:10">
      <c r="A377" s="20" t="s">
        <v>2958</v>
      </c>
      <c r="B377" s="14">
        <v>6</v>
      </c>
      <c r="C377" s="14" t="s">
        <v>2785</v>
      </c>
      <c r="D377" s="14">
        <v>3</v>
      </c>
      <c r="E377" s="110" t="s">
        <v>3413</v>
      </c>
      <c r="F377" s="14" t="s">
        <v>2959</v>
      </c>
      <c r="G377" s="44" t="s">
        <v>3378</v>
      </c>
      <c r="H377" s="44" t="s">
        <v>3728</v>
      </c>
      <c r="I377" s="44" t="s">
        <v>2775</v>
      </c>
      <c r="J377" s="28" t="s">
        <v>4369</v>
      </c>
    </row>
    <row r="378" spans="1:10">
      <c r="A378" s="20" t="s">
        <v>513</v>
      </c>
      <c r="B378" s="14">
        <v>6</v>
      </c>
      <c r="C378" s="14" t="s">
        <v>5891</v>
      </c>
      <c r="D378" s="14">
        <v>2</v>
      </c>
      <c r="E378" s="110" t="s">
        <v>3667</v>
      </c>
      <c r="F378" s="14" t="s">
        <v>3931</v>
      </c>
      <c r="G378" s="44" t="s">
        <v>3843</v>
      </c>
      <c r="H378" s="44" t="s">
        <v>392</v>
      </c>
      <c r="I378" s="44" t="s">
        <v>3900</v>
      </c>
      <c r="J378" s="28" t="s">
        <v>4447</v>
      </c>
    </row>
    <row r="379" spans="1:10">
      <c r="A379" s="20" t="s">
        <v>2789</v>
      </c>
      <c r="B379" s="14">
        <v>6</v>
      </c>
      <c r="C379" s="14" t="s">
        <v>2790</v>
      </c>
      <c r="D379" s="14">
        <v>2</v>
      </c>
      <c r="E379" s="110" t="s">
        <v>3530</v>
      </c>
      <c r="F379" s="14" t="s">
        <v>3548</v>
      </c>
      <c r="G379" s="44" t="s">
        <v>3753</v>
      </c>
      <c r="H379" s="44" t="s">
        <v>4209</v>
      </c>
      <c r="I379" s="44" t="s">
        <v>3916</v>
      </c>
      <c r="J379" s="28" t="s">
        <v>4555</v>
      </c>
    </row>
    <row r="380" spans="1:10">
      <c r="A380" s="20" t="s">
        <v>2953</v>
      </c>
      <c r="B380" s="14">
        <v>6</v>
      </c>
      <c r="C380" s="14" t="s">
        <v>2948</v>
      </c>
      <c r="D380" s="14">
        <v>3</v>
      </c>
      <c r="E380" s="110" t="s">
        <v>2954</v>
      </c>
      <c r="F380" s="14" t="s">
        <v>4000</v>
      </c>
      <c r="G380" s="44" t="s">
        <v>3843</v>
      </c>
      <c r="H380" s="44" t="s">
        <v>3746</v>
      </c>
      <c r="I380" s="44" t="s">
        <v>3916</v>
      </c>
      <c r="J380" s="28" t="s">
        <v>4555</v>
      </c>
    </row>
    <row r="381" spans="1:10">
      <c r="A381" s="20" t="s">
        <v>2783</v>
      </c>
      <c r="B381" s="14">
        <v>6</v>
      </c>
      <c r="C381" s="14" t="s">
        <v>3691</v>
      </c>
      <c r="D381" s="14">
        <v>2</v>
      </c>
      <c r="E381" s="110" t="s">
        <v>3305</v>
      </c>
      <c r="F381" s="14" t="s">
        <v>4000</v>
      </c>
      <c r="G381" s="44" t="s">
        <v>3759</v>
      </c>
      <c r="H381" s="44" t="s">
        <v>3488</v>
      </c>
      <c r="I381" s="44">
        <v>2</v>
      </c>
      <c r="J381" s="28" t="s">
        <v>3535</v>
      </c>
    </row>
    <row r="382" spans="1:10">
      <c r="A382" s="20" t="s">
        <v>2972</v>
      </c>
      <c r="B382" s="14">
        <v>6</v>
      </c>
      <c r="C382" s="14" t="s">
        <v>2973</v>
      </c>
      <c r="D382" s="14" t="s">
        <v>3884</v>
      </c>
      <c r="E382" s="110" t="s">
        <v>2778</v>
      </c>
      <c r="F382" s="14" t="s">
        <v>3716</v>
      </c>
      <c r="G382" s="44" t="s">
        <v>3736</v>
      </c>
      <c r="H382" s="44" t="s">
        <v>2974</v>
      </c>
      <c r="I382" s="44" t="s">
        <v>3900</v>
      </c>
      <c r="J382" s="28" t="s">
        <v>4447</v>
      </c>
    </row>
    <row r="383" spans="1:10">
      <c r="A383" s="20" t="s">
        <v>3128</v>
      </c>
      <c r="B383" s="14">
        <v>6</v>
      </c>
      <c r="C383" s="14" t="s">
        <v>3199</v>
      </c>
      <c r="D383" s="14">
        <v>3</v>
      </c>
      <c r="E383" s="110" t="s">
        <v>3331</v>
      </c>
      <c r="F383" s="14" t="s">
        <v>3416</v>
      </c>
      <c r="G383" s="111" t="s">
        <v>3843</v>
      </c>
      <c r="H383" s="111" t="s">
        <v>3728</v>
      </c>
      <c r="I383" s="44" t="s">
        <v>3900</v>
      </c>
      <c r="J383" s="28" t="s">
        <v>4555</v>
      </c>
    </row>
    <row r="384" spans="1:10">
      <c r="A384" s="20" t="s">
        <v>2798</v>
      </c>
      <c r="B384" s="14">
        <v>6</v>
      </c>
      <c r="C384" s="14" t="s">
        <v>3691</v>
      </c>
      <c r="D384" s="14">
        <v>1</v>
      </c>
      <c r="E384" s="110" t="s">
        <v>3336</v>
      </c>
      <c r="F384" s="14" t="s">
        <v>3898</v>
      </c>
      <c r="G384" s="44" t="s">
        <v>2951</v>
      </c>
      <c r="H384" s="44" t="s">
        <v>3286</v>
      </c>
      <c r="I384" s="44" t="s">
        <v>3916</v>
      </c>
      <c r="J384" s="28" t="s">
        <v>3535</v>
      </c>
    </row>
    <row r="385" spans="1:10">
      <c r="A385" s="283" t="s">
        <v>597</v>
      </c>
      <c r="B385" s="284">
        <v>6</v>
      </c>
      <c r="C385" s="284" t="s">
        <v>5757</v>
      </c>
      <c r="D385" s="284">
        <v>1</v>
      </c>
      <c r="E385" s="285" t="s">
        <v>3667</v>
      </c>
      <c r="F385" s="284" t="s">
        <v>3898</v>
      </c>
      <c r="G385" s="286" t="s">
        <v>3843</v>
      </c>
      <c r="H385" s="289" t="s">
        <v>598</v>
      </c>
      <c r="I385" s="286" t="s">
        <v>3900</v>
      </c>
      <c r="J385" s="287" t="s">
        <v>4555</v>
      </c>
    </row>
    <row r="386" spans="1:10">
      <c r="A386" s="20" t="s">
        <v>2956</v>
      </c>
      <c r="B386" s="14">
        <v>6</v>
      </c>
      <c r="C386" s="14" t="s">
        <v>2859</v>
      </c>
      <c r="D386" s="14">
        <v>2</v>
      </c>
      <c r="E386" s="110" t="s">
        <v>2957</v>
      </c>
      <c r="F386" s="14" t="s">
        <v>3898</v>
      </c>
      <c r="G386" s="44" t="s">
        <v>3550</v>
      </c>
      <c r="H386" s="44" t="s">
        <v>5483</v>
      </c>
      <c r="I386" s="44" t="s">
        <v>3900</v>
      </c>
      <c r="J386" s="28" t="s">
        <v>5232</v>
      </c>
    </row>
    <row r="387" spans="1:10">
      <c r="A387" s="20" t="s">
        <v>2965</v>
      </c>
      <c r="B387" s="14">
        <v>6</v>
      </c>
      <c r="C387" s="14" t="s">
        <v>3691</v>
      </c>
      <c r="D387" s="14">
        <v>4</v>
      </c>
      <c r="E387" s="110" t="s">
        <v>3701</v>
      </c>
      <c r="F387" s="14" t="s">
        <v>4000</v>
      </c>
      <c r="G387" s="44" t="s">
        <v>3612</v>
      </c>
      <c r="H387" s="44" t="s">
        <v>4209</v>
      </c>
      <c r="I387" s="44" t="s">
        <v>3657</v>
      </c>
      <c r="J387" s="28" t="s">
        <v>5232</v>
      </c>
    </row>
    <row r="388" spans="1:10">
      <c r="A388" s="20" t="s">
        <v>2966</v>
      </c>
      <c r="B388" s="14">
        <v>6</v>
      </c>
      <c r="C388" s="14" t="s">
        <v>3598</v>
      </c>
      <c r="D388" s="14">
        <v>2</v>
      </c>
      <c r="E388" s="110" t="s">
        <v>2778</v>
      </c>
      <c r="F388" s="14" t="s">
        <v>3548</v>
      </c>
      <c r="G388" s="44" t="s">
        <v>3736</v>
      </c>
      <c r="H388" s="44" t="s">
        <v>3488</v>
      </c>
      <c r="I388" s="44">
        <v>9</v>
      </c>
      <c r="J388" s="28" t="s">
        <v>4369</v>
      </c>
    </row>
    <row r="389" spans="1:10">
      <c r="A389" s="20" t="s">
        <v>2963</v>
      </c>
      <c r="B389" s="14">
        <v>6</v>
      </c>
      <c r="C389" s="14" t="s">
        <v>2964</v>
      </c>
      <c r="D389" s="14">
        <v>1</v>
      </c>
      <c r="E389" s="110" t="s">
        <v>3305</v>
      </c>
      <c r="F389" s="14" t="s">
        <v>3914</v>
      </c>
      <c r="G389" s="44" t="s">
        <v>3395</v>
      </c>
      <c r="H389" s="44" t="s">
        <v>3746</v>
      </c>
      <c r="I389" s="44">
        <v>2</v>
      </c>
      <c r="J389" s="28" t="s">
        <v>4037</v>
      </c>
    </row>
    <row r="390" spans="1:10">
      <c r="A390" s="20" t="s">
        <v>3149</v>
      </c>
      <c r="B390" s="14">
        <v>6</v>
      </c>
      <c r="C390" s="14" t="s">
        <v>2964</v>
      </c>
      <c r="D390" s="14">
        <v>3</v>
      </c>
      <c r="E390" s="110" t="s">
        <v>2786</v>
      </c>
      <c r="F390" s="14" t="s">
        <v>3618</v>
      </c>
      <c r="G390" s="44" t="s">
        <v>3736</v>
      </c>
      <c r="H390" s="107" t="s">
        <v>3081</v>
      </c>
      <c r="I390" s="44">
        <v>2</v>
      </c>
      <c r="J390" s="28" t="s">
        <v>4037</v>
      </c>
    </row>
    <row r="391" spans="1:10">
      <c r="A391" s="20" t="s">
        <v>2780</v>
      </c>
      <c r="B391" s="14">
        <v>6</v>
      </c>
      <c r="C391" s="14" t="s">
        <v>3199</v>
      </c>
      <c r="D391" s="14">
        <v>2</v>
      </c>
      <c r="E391" s="110" t="s">
        <v>3331</v>
      </c>
      <c r="F391" s="14" t="s">
        <v>3548</v>
      </c>
      <c r="G391" s="44" t="s">
        <v>3736</v>
      </c>
      <c r="H391" s="44" t="s">
        <v>2781</v>
      </c>
      <c r="I391" s="44" t="s">
        <v>3900</v>
      </c>
      <c r="J391" s="28" t="s">
        <v>4773</v>
      </c>
    </row>
    <row r="392" spans="1:10">
      <c r="A392" s="20" t="s">
        <v>3152</v>
      </c>
      <c r="B392" s="14">
        <v>6</v>
      </c>
      <c r="C392" s="14" t="s">
        <v>2785</v>
      </c>
      <c r="D392" s="14">
        <v>2</v>
      </c>
      <c r="E392" s="110" t="s">
        <v>3153</v>
      </c>
      <c r="F392" s="14" t="s">
        <v>3735</v>
      </c>
      <c r="G392" s="44" t="s">
        <v>3736</v>
      </c>
      <c r="H392" s="44" t="s">
        <v>2974</v>
      </c>
      <c r="I392" s="44" t="s">
        <v>3900</v>
      </c>
      <c r="J392" s="28" t="s">
        <v>4369</v>
      </c>
    </row>
    <row r="393" spans="1:10">
      <c r="A393" s="20" t="s">
        <v>3768</v>
      </c>
      <c r="B393" s="14">
        <v>6</v>
      </c>
      <c r="C393" s="14" t="s">
        <v>2790</v>
      </c>
      <c r="D393" s="14">
        <v>2</v>
      </c>
      <c r="E393" s="110" t="s">
        <v>3124</v>
      </c>
      <c r="F393" s="14" t="s">
        <v>4000</v>
      </c>
      <c r="G393" s="44" t="s">
        <v>3490</v>
      </c>
      <c r="H393" s="44" t="s">
        <v>2975</v>
      </c>
      <c r="I393" s="44" t="s">
        <v>3916</v>
      </c>
      <c r="J393" s="28" t="s">
        <v>3890</v>
      </c>
    </row>
    <row r="394" spans="1:10">
      <c r="A394" s="20" t="s">
        <v>3512</v>
      </c>
      <c r="B394" s="14">
        <v>6</v>
      </c>
      <c r="C394" s="14" t="s">
        <v>3446</v>
      </c>
      <c r="D394" s="14">
        <v>1</v>
      </c>
      <c r="E394" s="110" t="s">
        <v>3328</v>
      </c>
      <c r="F394" s="14" t="s">
        <v>3936</v>
      </c>
      <c r="G394" s="111" t="s">
        <v>3407</v>
      </c>
      <c r="H394" s="111" t="s">
        <v>3915</v>
      </c>
      <c r="I394" s="44" t="s">
        <v>3900</v>
      </c>
      <c r="J394" s="28" t="s">
        <v>4447</v>
      </c>
    </row>
    <row r="395" spans="1:10">
      <c r="A395" s="20" t="s">
        <v>3151</v>
      </c>
      <c r="B395" s="14">
        <v>6</v>
      </c>
      <c r="C395" s="14" t="s">
        <v>2859</v>
      </c>
      <c r="D395" s="14">
        <v>2</v>
      </c>
      <c r="E395" s="110" t="s">
        <v>2778</v>
      </c>
      <c r="F395" s="14" t="s">
        <v>3618</v>
      </c>
      <c r="G395" s="44" t="s">
        <v>3765</v>
      </c>
      <c r="H395" s="44" t="s">
        <v>3488</v>
      </c>
      <c r="I395" s="44">
        <v>6</v>
      </c>
      <c r="J395" s="28" t="s">
        <v>5232</v>
      </c>
    </row>
    <row r="396" spans="1:10">
      <c r="A396" s="20" t="s">
        <v>3154</v>
      </c>
      <c r="B396" s="14">
        <v>6</v>
      </c>
      <c r="C396" s="14" t="s">
        <v>3600</v>
      </c>
      <c r="D396" s="14">
        <v>2</v>
      </c>
      <c r="E396" s="110" t="s">
        <v>3520</v>
      </c>
      <c r="F396" s="14" t="s">
        <v>3898</v>
      </c>
      <c r="G396" s="44" t="s">
        <v>3057</v>
      </c>
      <c r="H396" s="44" t="s">
        <v>3155</v>
      </c>
      <c r="I396" s="44" t="s">
        <v>3900</v>
      </c>
      <c r="J396" s="28" t="s">
        <v>4555</v>
      </c>
    </row>
    <row r="397" spans="1:10">
      <c r="A397" s="20" t="s">
        <v>2791</v>
      </c>
      <c r="B397" s="14">
        <v>6</v>
      </c>
      <c r="C397" s="5" t="s">
        <v>3404</v>
      </c>
      <c r="D397" s="14">
        <v>2</v>
      </c>
      <c r="E397" s="110" t="s">
        <v>3749</v>
      </c>
      <c r="F397" s="14" t="s">
        <v>3548</v>
      </c>
      <c r="G397" s="44" t="s">
        <v>2792</v>
      </c>
      <c r="H397" s="44" t="s">
        <v>2793</v>
      </c>
      <c r="I397" s="44" t="s">
        <v>3900</v>
      </c>
      <c r="J397" s="28" t="s">
        <v>4773</v>
      </c>
    </row>
    <row r="398" spans="1:10">
      <c r="A398" s="20" t="s">
        <v>2955</v>
      </c>
      <c r="B398" s="14">
        <v>6</v>
      </c>
      <c r="C398" s="14" t="s">
        <v>2790</v>
      </c>
      <c r="D398" s="14">
        <v>1</v>
      </c>
      <c r="E398" s="110" t="s">
        <v>3667</v>
      </c>
      <c r="F398" s="14" t="s">
        <v>3898</v>
      </c>
      <c r="G398" s="44" t="s">
        <v>3843</v>
      </c>
      <c r="H398" s="44" t="s">
        <v>3859</v>
      </c>
      <c r="I398" s="44" t="s">
        <v>3916</v>
      </c>
      <c r="J398" s="28" t="s">
        <v>3732</v>
      </c>
    </row>
    <row r="399" spans="1:10">
      <c r="A399" s="227" t="s">
        <v>393</v>
      </c>
      <c r="B399" s="167">
        <v>6</v>
      </c>
      <c r="C399" s="167" t="s">
        <v>5892</v>
      </c>
      <c r="D399" s="167">
        <v>1</v>
      </c>
      <c r="E399" s="288" t="s">
        <v>3667</v>
      </c>
      <c r="F399" s="167" t="s">
        <v>3898</v>
      </c>
      <c r="G399" s="111" t="s">
        <v>3753</v>
      </c>
      <c r="H399" s="111" t="s">
        <v>410</v>
      </c>
      <c r="I399" s="111" t="s">
        <v>3900</v>
      </c>
      <c r="J399" s="271" t="s">
        <v>5232</v>
      </c>
    </row>
    <row r="400" spans="1:10">
      <c r="A400" s="20" t="s">
        <v>3159</v>
      </c>
      <c r="B400" s="14">
        <v>6</v>
      </c>
      <c r="C400" s="14" t="s">
        <v>3598</v>
      </c>
      <c r="D400" s="14">
        <v>3</v>
      </c>
      <c r="E400" s="110" t="s">
        <v>2957</v>
      </c>
      <c r="F400" s="14" t="s">
        <v>3140</v>
      </c>
      <c r="G400" s="44" t="s">
        <v>3612</v>
      </c>
      <c r="H400" s="44" t="s">
        <v>3728</v>
      </c>
      <c r="I400" s="44" t="s">
        <v>3900</v>
      </c>
      <c r="J400" s="28" t="s">
        <v>4369</v>
      </c>
    </row>
    <row r="401" spans="1:10">
      <c r="A401" s="20" t="s">
        <v>3513</v>
      </c>
      <c r="B401" s="14">
        <v>6</v>
      </c>
      <c r="C401" s="14" t="s">
        <v>3600</v>
      </c>
      <c r="D401" s="14">
        <v>3</v>
      </c>
      <c r="E401" s="110" t="s">
        <v>2957</v>
      </c>
      <c r="F401" s="14" t="s">
        <v>3548</v>
      </c>
      <c r="G401" s="44" t="s">
        <v>3651</v>
      </c>
      <c r="H401" s="107" t="s">
        <v>3514</v>
      </c>
      <c r="I401" s="44">
        <v>6</v>
      </c>
      <c r="J401" s="28" t="s">
        <v>4555</v>
      </c>
    </row>
    <row r="402" spans="1:10">
      <c r="A402" s="20" t="s">
        <v>3355</v>
      </c>
      <c r="B402" s="14">
        <v>6</v>
      </c>
      <c r="C402" s="14" t="s">
        <v>2865</v>
      </c>
      <c r="D402" s="14" t="s">
        <v>3884</v>
      </c>
      <c r="E402" s="110" t="s">
        <v>3356</v>
      </c>
      <c r="F402" s="14" t="s">
        <v>3979</v>
      </c>
      <c r="G402" s="44" t="s">
        <v>3736</v>
      </c>
      <c r="H402" s="44" t="s">
        <v>4212</v>
      </c>
      <c r="I402" s="44" t="s">
        <v>3790</v>
      </c>
      <c r="J402" s="28" t="s">
        <v>4555</v>
      </c>
    </row>
    <row r="403" spans="1:10">
      <c r="A403" s="20" t="s">
        <v>3082</v>
      </c>
      <c r="B403" s="14">
        <v>6</v>
      </c>
      <c r="C403" s="14" t="s">
        <v>3158</v>
      </c>
      <c r="D403" s="14">
        <v>1</v>
      </c>
      <c r="E403" s="110" t="s">
        <v>3221</v>
      </c>
      <c r="F403" s="14" t="s">
        <v>4000</v>
      </c>
      <c r="G403" s="44" t="s">
        <v>3736</v>
      </c>
      <c r="H403" s="44" t="s">
        <v>3047</v>
      </c>
      <c r="I403" s="44" t="s">
        <v>3790</v>
      </c>
      <c r="J403" s="28" t="s">
        <v>5232</v>
      </c>
    </row>
    <row r="404" spans="1:10">
      <c r="A404" s="20" t="s">
        <v>3340</v>
      </c>
      <c r="B404" s="14">
        <v>6</v>
      </c>
      <c r="C404" s="14" t="s">
        <v>3237</v>
      </c>
      <c r="D404" s="14">
        <v>3</v>
      </c>
      <c r="E404" s="110" t="s">
        <v>3341</v>
      </c>
      <c r="F404" s="14" t="s">
        <v>3851</v>
      </c>
      <c r="G404" s="111" t="s">
        <v>3937</v>
      </c>
      <c r="H404" s="111" t="s">
        <v>3511</v>
      </c>
      <c r="I404" s="44" t="s">
        <v>3900</v>
      </c>
      <c r="J404" s="28" t="s">
        <v>4369</v>
      </c>
    </row>
    <row r="405" spans="1:10">
      <c r="A405" s="20" t="s">
        <v>2961</v>
      </c>
      <c r="B405" s="14">
        <v>6</v>
      </c>
      <c r="C405" s="14" t="s">
        <v>3237</v>
      </c>
      <c r="D405" s="14">
        <v>3</v>
      </c>
      <c r="E405" s="110" t="s">
        <v>3190</v>
      </c>
      <c r="F405" s="14" t="s">
        <v>3898</v>
      </c>
      <c r="G405" s="44" t="s">
        <v>3420</v>
      </c>
      <c r="H405" s="44" t="s">
        <v>2962</v>
      </c>
      <c r="I405" s="44" t="s">
        <v>3900</v>
      </c>
      <c r="J405" s="28" t="s">
        <v>4773</v>
      </c>
    </row>
    <row r="406" spans="1:10">
      <c r="A406" s="283" t="s">
        <v>2916</v>
      </c>
      <c r="B406" s="284">
        <v>6</v>
      </c>
      <c r="C406" s="284" t="s">
        <v>2593</v>
      </c>
      <c r="D406" s="284">
        <v>2</v>
      </c>
      <c r="E406" s="285" t="s">
        <v>2957</v>
      </c>
      <c r="F406" s="284" t="s">
        <v>2917</v>
      </c>
      <c r="G406" s="286" t="s">
        <v>3312</v>
      </c>
      <c r="H406" s="286" t="s">
        <v>2918</v>
      </c>
      <c r="I406" s="286" t="s">
        <v>3790</v>
      </c>
      <c r="J406" s="298" t="s">
        <v>4555</v>
      </c>
    </row>
    <row r="407" spans="1:10">
      <c r="A407" s="20" t="s">
        <v>3515</v>
      </c>
      <c r="B407" s="14">
        <v>6</v>
      </c>
      <c r="C407" s="14" t="s">
        <v>2790</v>
      </c>
      <c r="D407" s="14">
        <v>2</v>
      </c>
      <c r="E407" s="110" t="s">
        <v>3305</v>
      </c>
      <c r="F407" s="14" t="s">
        <v>4000</v>
      </c>
      <c r="G407" s="44" t="s">
        <v>3736</v>
      </c>
      <c r="H407" s="44" t="s">
        <v>3351</v>
      </c>
      <c r="I407" s="44" t="s">
        <v>3916</v>
      </c>
      <c r="J407" s="28" t="s">
        <v>3890</v>
      </c>
    </row>
    <row r="408" spans="1:10">
      <c r="A408" s="20" t="s">
        <v>5371</v>
      </c>
      <c r="B408" s="14">
        <v>6</v>
      </c>
      <c r="C408" s="14" t="s">
        <v>2964</v>
      </c>
      <c r="D408" s="14">
        <v>3</v>
      </c>
      <c r="E408" s="110" t="s">
        <v>2786</v>
      </c>
      <c r="F408" s="14" t="s">
        <v>3898</v>
      </c>
      <c r="G408" s="44" t="s">
        <v>3736</v>
      </c>
      <c r="H408" s="44" t="s">
        <v>3351</v>
      </c>
      <c r="I408" s="44" t="s">
        <v>3916</v>
      </c>
      <c r="J408" s="28" t="s">
        <v>4037</v>
      </c>
    </row>
    <row r="409" spans="1:10">
      <c r="A409" s="20" t="s">
        <v>3342</v>
      </c>
      <c r="B409" s="14">
        <v>6</v>
      </c>
      <c r="C409" s="14" t="s">
        <v>2990</v>
      </c>
      <c r="D409" s="14" t="s">
        <v>3884</v>
      </c>
      <c r="E409" s="110" t="s">
        <v>2957</v>
      </c>
      <c r="F409" s="14" t="s">
        <v>2959</v>
      </c>
      <c r="G409" s="44" t="s">
        <v>3736</v>
      </c>
      <c r="H409" s="44" t="s">
        <v>3047</v>
      </c>
      <c r="I409" s="44" t="s">
        <v>3916</v>
      </c>
      <c r="J409" s="28" t="s">
        <v>5232</v>
      </c>
    </row>
    <row r="410" spans="1:10">
      <c r="A410" s="20" t="s">
        <v>2919</v>
      </c>
      <c r="B410" s="14">
        <v>6</v>
      </c>
      <c r="C410" s="14" t="s">
        <v>3402</v>
      </c>
      <c r="D410" s="14">
        <v>2</v>
      </c>
      <c r="E410" s="110" t="s">
        <v>2957</v>
      </c>
      <c r="F410" s="14" t="s">
        <v>3573</v>
      </c>
      <c r="G410" s="44" t="s">
        <v>3575</v>
      </c>
      <c r="H410" s="44" t="s">
        <v>3728</v>
      </c>
      <c r="I410" s="44" t="s">
        <v>2920</v>
      </c>
      <c r="J410" s="28" t="s">
        <v>4555</v>
      </c>
    </row>
    <row r="411" spans="1:10">
      <c r="A411" s="20" t="s">
        <v>2976</v>
      </c>
      <c r="B411" s="14">
        <v>6</v>
      </c>
      <c r="C411" s="14" t="s">
        <v>2790</v>
      </c>
      <c r="D411" s="14">
        <v>2</v>
      </c>
      <c r="E411" s="110" t="s">
        <v>3650</v>
      </c>
      <c r="F411" s="14" t="s">
        <v>3716</v>
      </c>
      <c r="G411" s="44" t="s">
        <v>3809</v>
      </c>
      <c r="H411" s="44" t="s">
        <v>3148</v>
      </c>
      <c r="I411" s="44" t="s">
        <v>2895</v>
      </c>
      <c r="J411" s="28" t="s">
        <v>3732</v>
      </c>
    </row>
    <row r="412" spans="1:10">
      <c r="A412" s="20" t="s">
        <v>2921</v>
      </c>
      <c r="B412" s="14">
        <v>6</v>
      </c>
      <c r="C412" s="14" t="s">
        <v>3708</v>
      </c>
      <c r="D412" s="14">
        <v>2</v>
      </c>
      <c r="E412" s="110" t="s">
        <v>3233</v>
      </c>
      <c r="F412" s="14" t="s">
        <v>3898</v>
      </c>
      <c r="G412" s="111" t="s">
        <v>3575</v>
      </c>
      <c r="H412" s="111" t="s">
        <v>2315</v>
      </c>
      <c r="I412" s="44" t="s">
        <v>3900</v>
      </c>
      <c r="J412" s="28" t="s">
        <v>4555</v>
      </c>
    </row>
    <row r="413" spans="1:10">
      <c r="A413" s="20" t="s">
        <v>3179</v>
      </c>
      <c r="B413" s="14">
        <v>6</v>
      </c>
      <c r="C413" s="14" t="s">
        <v>2964</v>
      </c>
      <c r="D413" s="14">
        <v>1</v>
      </c>
      <c r="E413" s="110" t="s">
        <v>3381</v>
      </c>
      <c r="F413" s="14" t="s">
        <v>3898</v>
      </c>
      <c r="G413" s="44" t="s">
        <v>3249</v>
      </c>
      <c r="H413" s="107" t="s">
        <v>3008</v>
      </c>
      <c r="I413" s="44" t="s">
        <v>3916</v>
      </c>
      <c r="J413" s="28" t="s">
        <v>4447</v>
      </c>
    </row>
    <row r="414" spans="1:10">
      <c r="A414" s="20" t="s">
        <v>3156</v>
      </c>
      <c r="B414" s="14">
        <v>6</v>
      </c>
      <c r="C414" s="14" t="s">
        <v>3600</v>
      </c>
      <c r="D414" s="14">
        <v>2</v>
      </c>
      <c r="E414" s="110" t="s">
        <v>2957</v>
      </c>
      <c r="F414" s="14" t="s">
        <v>3898</v>
      </c>
      <c r="G414" s="44" t="s">
        <v>3651</v>
      </c>
      <c r="H414" s="44" t="s">
        <v>3728</v>
      </c>
      <c r="I414" s="44">
        <v>6</v>
      </c>
      <c r="J414" s="28" t="s">
        <v>4946</v>
      </c>
    </row>
    <row r="415" spans="1:10">
      <c r="A415" s="20" t="s">
        <v>3354</v>
      </c>
      <c r="B415" s="14">
        <v>6</v>
      </c>
      <c r="C415" s="14" t="s">
        <v>2785</v>
      </c>
      <c r="D415" s="14">
        <v>2</v>
      </c>
      <c r="E415" s="110" t="s">
        <v>3026</v>
      </c>
      <c r="F415" s="14" t="s">
        <v>4000</v>
      </c>
      <c r="G415" s="44" t="s">
        <v>3378</v>
      </c>
      <c r="H415" s="44" t="s">
        <v>3859</v>
      </c>
      <c r="I415" s="44" t="s">
        <v>3790</v>
      </c>
      <c r="J415" s="28" t="s">
        <v>4369</v>
      </c>
    </row>
    <row r="416" spans="1:10">
      <c r="A416" s="20" t="s">
        <v>3359</v>
      </c>
      <c r="B416" s="14">
        <v>6</v>
      </c>
      <c r="C416" s="14" t="s">
        <v>3180</v>
      </c>
      <c r="D416" s="14">
        <v>3</v>
      </c>
      <c r="E416" s="110" t="s">
        <v>2778</v>
      </c>
      <c r="F416" s="14" t="s">
        <v>3854</v>
      </c>
      <c r="G416" s="44" t="s">
        <v>3759</v>
      </c>
      <c r="H416" s="44" t="s">
        <v>3728</v>
      </c>
      <c r="I416" s="44" t="s">
        <v>3900</v>
      </c>
      <c r="J416" s="28" t="s">
        <v>4369</v>
      </c>
    </row>
    <row r="417" spans="1:10">
      <c r="A417" s="20" t="s">
        <v>3352</v>
      </c>
      <c r="B417" s="14">
        <v>6</v>
      </c>
      <c r="C417" s="14" t="s">
        <v>2859</v>
      </c>
      <c r="D417" s="14">
        <v>2</v>
      </c>
      <c r="E417" s="14" t="s">
        <v>3353</v>
      </c>
      <c r="F417" s="14" t="s">
        <v>3979</v>
      </c>
      <c r="G417" s="44" t="s">
        <v>3843</v>
      </c>
      <c r="H417" s="44" t="s">
        <v>3915</v>
      </c>
      <c r="I417" s="44" t="s">
        <v>3900</v>
      </c>
      <c r="J417" s="28" t="s">
        <v>5232</v>
      </c>
    </row>
    <row r="418" spans="1:10">
      <c r="A418" s="20" t="s">
        <v>2316</v>
      </c>
      <c r="B418" s="14">
        <v>6</v>
      </c>
      <c r="C418" s="14" t="s">
        <v>2319</v>
      </c>
      <c r="D418" s="14">
        <v>3</v>
      </c>
      <c r="E418" s="106" t="s">
        <v>2611</v>
      </c>
      <c r="F418" s="14" t="s">
        <v>3854</v>
      </c>
      <c r="G418" s="44" t="s">
        <v>2318</v>
      </c>
      <c r="H418" s="44" t="s">
        <v>2317</v>
      </c>
      <c r="I418" s="44" t="s">
        <v>3900</v>
      </c>
      <c r="J418" s="196" t="s">
        <v>4555</v>
      </c>
    </row>
    <row r="419" spans="1:10">
      <c r="A419" s="20" t="s">
        <v>3357</v>
      </c>
      <c r="B419" s="14">
        <v>6</v>
      </c>
      <c r="C419" s="14" t="s">
        <v>2990</v>
      </c>
      <c r="D419" s="14">
        <v>3</v>
      </c>
      <c r="E419" s="110" t="s">
        <v>3336</v>
      </c>
      <c r="F419" s="14" t="s">
        <v>4000</v>
      </c>
      <c r="G419" s="44" t="s">
        <v>3612</v>
      </c>
      <c r="H419" s="44" t="s">
        <v>3358</v>
      </c>
      <c r="I419" s="44">
        <v>2</v>
      </c>
      <c r="J419" s="28" t="s">
        <v>3535</v>
      </c>
    </row>
    <row r="420" spans="1:10">
      <c r="A420" s="20" t="s">
        <v>2841</v>
      </c>
      <c r="B420" s="14">
        <v>6</v>
      </c>
      <c r="C420" s="14" t="s">
        <v>2842</v>
      </c>
      <c r="D420" s="14">
        <v>3</v>
      </c>
      <c r="E420" s="14" t="s">
        <v>2843</v>
      </c>
      <c r="F420" s="14" t="s">
        <v>3548</v>
      </c>
      <c r="G420" s="44" t="s">
        <v>2951</v>
      </c>
      <c r="H420" s="44" t="s">
        <v>3706</v>
      </c>
      <c r="I420" s="44" t="s">
        <v>3900</v>
      </c>
      <c r="J420" s="28" t="s">
        <v>5232</v>
      </c>
    </row>
    <row r="421" spans="1:10">
      <c r="A421" s="20" t="s">
        <v>411</v>
      </c>
      <c r="B421" s="14">
        <v>6</v>
      </c>
      <c r="C421" s="14" t="s">
        <v>5732</v>
      </c>
      <c r="D421" s="14">
        <v>2</v>
      </c>
      <c r="E421" s="106" t="s">
        <v>3667</v>
      </c>
      <c r="F421" s="14" t="s">
        <v>3854</v>
      </c>
      <c r="G421" s="44" t="s">
        <v>3736</v>
      </c>
      <c r="H421" s="44" t="s">
        <v>3915</v>
      </c>
      <c r="I421" s="44" t="s">
        <v>3790</v>
      </c>
      <c r="J421" s="28" t="s">
        <v>4369</v>
      </c>
    </row>
    <row r="422" spans="1:10">
      <c r="A422" s="20" t="s">
        <v>415</v>
      </c>
      <c r="B422" s="14">
        <v>6</v>
      </c>
      <c r="C422" s="14" t="s">
        <v>5732</v>
      </c>
      <c r="D422" s="14">
        <v>3</v>
      </c>
      <c r="E422" s="106" t="s">
        <v>3667</v>
      </c>
      <c r="F422" s="14" t="s">
        <v>3947</v>
      </c>
      <c r="G422" s="44" t="s">
        <v>3550</v>
      </c>
      <c r="H422" s="44" t="s">
        <v>308</v>
      </c>
      <c r="I422" s="44" t="s">
        <v>3900</v>
      </c>
      <c r="J422" s="28" t="s">
        <v>4369</v>
      </c>
    </row>
    <row r="423" spans="1:10">
      <c r="A423" s="20" t="s">
        <v>2844</v>
      </c>
      <c r="B423" s="14">
        <v>6</v>
      </c>
      <c r="C423" s="14" t="s">
        <v>2973</v>
      </c>
      <c r="D423" s="14">
        <v>2</v>
      </c>
      <c r="E423" s="110" t="s">
        <v>2957</v>
      </c>
      <c r="F423" s="14" t="s">
        <v>3947</v>
      </c>
      <c r="G423" s="44" t="s">
        <v>3759</v>
      </c>
      <c r="H423" s="44" t="s">
        <v>3728</v>
      </c>
      <c r="I423" s="44">
        <v>6</v>
      </c>
      <c r="J423" s="28" t="s">
        <v>4447</v>
      </c>
    </row>
    <row r="424" spans="1:10">
      <c r="A424" s="20" t="s">
        <v>309</v>
      </c>
      <c r="B424" s="14">
        <v>7</v>
      </c>
      <c r="C424" s="14" t="s">
        <v>5747</v>
      </c>
      <c r="D424" s="14">
        <v>1</v>
      </c>
      <c r="E424" s="110" t="s">
        <v>2984</v>
      </c>
      <c r="F424" s="14" t="s">
        <v>3898</v>
      </c>
      <c r="G424" s="44" t="s">
        <v>3937</v>
      </c>
      <c r="H424" s="107" t="s">
        <v>310</v>
      </c>
      <c r="I424" s="44" t="s">
        <v>3900</v>
      </c>
      <c r="J424" s="28" t="s">
        <v>4447</v>
      </c>
    </row>
    <row r="425" spans="1:10">
      <c r="A425" s="20" t="s">
        <v>2849</v>
      </c>
      <c r="B425" s="14">
        <v>7</v>
      </c>
      <c r="C425" s="14" t="s">
        <v>2973</v>
      </c>
      <c r="D425" s="14">
        <v>3</v>
      </c>
      <c r="E425" s="14" t="s">
        <v>2850</v>
      </c>
      <c r="F425" s="14" t="s">
        <v>3854</v>
      </c>
      <c r="G425" s="44" t="s">
        <v>3736</v>
      </c>
      <c r="H425" s="44" t="s">
        <v>3706</v>
      </c>
      <c r="I425" s="44" t="s">
        <v>3900</v>
      </c>
      <c r="J425" s="28" t="s">
        <v>4447</v>
      </c>
    </row>
    <row r="426" spans="1:10">
      <c r="A426" s="20" t="s">
        <v>2851</v>
      </c>
      <c r="B426" s="14">
        <v>7</v>
      </c>
      <c r="C426" s="14" t="s">
        <v>2852</v>
      </c>
      <c r="D426" s="14">
        <v>3</v>
      </c>
      <c r="E426" s="14" t="s">
        <v>2850</v>
      </c>
      <c r="F426" s="14" t="s">
        <v>3979</v>
      </c>
      <c r="G426" s="44" t="s">
        <v>3332</v>
      </c>
      <c r="H426" s="44" t="s">
        <v>2691</v>
      </c>
      <c r="I426" s="44" t="s">
        <v>3900</v>
      </c>
      <c r="J426" s="28" t="s">
        <v>4555</v>
      </c>
    </row>
    <row r="427" spans="1:10">
      <c r="A427" s="20" t="s">
        <v>2526</v>
      </c>
      <c r="B427" s="14">
        <v>7</v>
      </c>
      <c r="C427" s="14" t="s">
        <v>2973</v>
      </c>
      <c r="D427" s="14">
        <v>2</v>
      </c>
      <c r="E427" s="14" t="s">
        <v>3792</v>
      </c>
      <c r="F427" s="14" t="s">
        <v>3914</v>
      </c>
      <c r="G427" s="44" t="s">
        <v>3759</v>
      </c>
      <c r="H427" s="44" t="s">
        <v>3286</v>
      </c>
      <c r="I427" s="44">
        <v>8</v>
      </c>
      <c r="J427" s="28" t="s">
        <v>4447</v>
      </c>
    </row>
    <row r="428" spans="1:10">
      <c r="A428" s="20" t="s">
        <v>2701</v>
      </c>
      <c r="B428" s="14">
        <v>7</v>
      </c>
      <c r="C428" s="14" t="s">
        <v>2973</v>
      </c>
      <c r="D428" s="14">
        <v>3</v>
      </c>
      <c r="E428" s="110" t="s">
        <v>3701</v>
      </c>
      <c r="F428" s="14" t="s">
        <v>3898</v>
      </c>
      <c r="G428" s="44" t="s">
        <v>3420</v>
      </c>
      <c r="H428" s="44" t="s">
        <v>2702</v>
      </c>
      <c r="I428" s="44" t="s">
        <v>3900</v>
      </c>
      <c r="J428" s="28" t="s">
        <v>4447</v>
      </c>
    </row>
    <row r="429" spans="1:10">
      <c r="A429" s="20" t="s">
        <v>2845</v>
      </c>
      <c r="B429" s="14">
        <v>7</v>
      </c>
      <c r="C429" s="14" t="s">
        <v>2842</v>
      </c>
      <c r="D429" s="14">
        <v>2</v>
      </c>
      <c r="E429" s="14" t="s">
        <v>2843</v>
      </c>
      <c r="F429" s="14" t="s">
        <v>3548</v>
      </c>
      <c r="G429" s="44" t="s">
        <v>3901</v>
      </c>
      <c r="H429" s="44" t="s">
        <v>2846</v>
      </c>
      <c r="I429" s="44" t="s">
        <v>2320</v>
      </c>
      <c r="J429" s="28" t="s">
        <v>3739</v>
      </c>
    </row>
    <row r="430" spans="1:10">
      <c r="A430" s="20" t="s">
        <v>2692</v>
      </c>
      <c r="B430" s="14">
        <v>7</v>
      </c>
      <c r="C430" s="14" t="s">
        <v>2790</v>
      </c>
      <c r="D430" s="14">
        <v>3</v>
      </c>
      <c r="E430" s="110" t="s">
        <v>2609</v>
      </c>
      <c r="F430" s="14" t="s">
        <v>3716</v>
      </c>
      <c r="G430" s="44" t="s">
        <v>2693</v>
      </c>
      <c r="H430" s="44" t="s">
        <v>3687</v>
      </c>
      <c r="I430" s="44" t="s">
        <v>3916</v>
      </c>
      <c r="J430" s="28" t="s">
        <v>3890</v>
      </c>
    </row>
    <row r="431" spans="1:10">
      <c r="A431" s="20" t="s">
        <v>2527</v>
      </c>
      <c r="B431" s="14">
        <v>7</v>
      </c>
      <c r="C431" s="14" t="s">
        <v>2528</v>
      </c>
      <c r="D431" s="14">
        <v>3</v>
      </c>
      <c r="E431" s="110" t="s">
        <v>3516</v>
      </c>
      <c r="F431" s="14" t="s">
        <v>3947</v>
      </c>
      <c r="G431" s="44" t="s">
        <v>3736</v>
      </c>
      <c r="H431" s="44" t="s">
        <v>2529</v>
      </c>
      <c r="I431" s="44" t="s">
        <v>3900</v>
      </c>
      <c r="J431" s="28" t="s">
        <v>4709</v>
      </c>
    </row>
    <row r="432" spans="1:10">
      <c r="A432" s="20" t="s">
        <v>2703</v>
      </c>
      <c r="B432" s="14">
        <v>7</v>
      </c>
      <c r="C432" s="14" t="s">
        <v>2852</v>
      </c>
      <c r="D432" s="14">
        <v>2</v>
      </c>
      <c r="E432" s="110" t="s">
        <v>3701</v>
      </c>
      <c r="F432" s="14" t="s">
        <v>3414</v>
      </c>
      <c r="G432" s="44" t="s">
        <v>3736</v>
      </c>
      <c r="H432" s="44" t="s">
        <v>2704</v>
      </c>
      <c r="I432" s="44" t="s">
        <v>3900</v>
      </c>
      <c r="J432" s="28" t="s">
        <v>4555</v>
      </c>
    </row>
    <row r="433" spans="1:10">
      <c r="A433" s="20" t="s">
        <v>2694</v>
      </c>
      <c r="B433" s="14">
        <v>7</v>
      </c>
      <c r="C433" s="14" t="s">
        <v>2990</v>
      </c>
      <c r="D433" s="14">
        <v>4</v>
      </c>
      <c r="E433" s="110" t="s">
        <v>3248</v>
      </c>
      <c r="F433" s="14" t="s">
        <v>3705</v>
      </c>
      <c r="G433" s="44" t="s">
        <v>3612</v>
      </c>
      <c r="H433" s="44" t="s">
        <v>3687</v>
      </c>
      <c r="I433" s="44" t="s">
        <v>2321</v>
      </c>
      <c r="J433" s="28" t="s">
        <v>3535</v>
      </c>
    </row>
    <row r="434" spans="1:10">
      <c r="A434" s="20" t="s">
        <v>2712</v>
      </c>
      <c r="B434" s="14">
        <v>7</v>
      </c>
      <c r="C434" s="14" t="s">
        <v>2322</v>
      </c>
      <c r="D434" s="14" t="s">
        <v>3884</v>
      </c>
      <c r="E434" s="110" t="s">
        <v>3221</v>
      </c>
      <c r="F434" s="14" t="s">
        <v>3898</v>
      </c>
      <c r="G434" s="44" t="s">
        <v>3420</v>
      </c>
      <c r="H434" s="44" t="s">
        <v>2714</v>
      </c>
      <c r="I434" s="44">
        <v>2</v>
      </c>
      <c r="J434" s="28" t="s">
        <v>4555</v>
      </c>
    </row>
    <row r="435" spans="1:10">
      <c r="A435" s="20" t="s">
        <v>2847</v>
      </c>
      <c r="B435" s="14">
        <v>7</v>
      </c>
      <c r="C435" s="14" t="s">
        <v>3455</v>
      </c>
      <c r="D435" s="14">
        <v>3</v>
      </c>
      <c r="E435" s="110" t="s">
        <v>3887</v>
      </c>
      <c r="F435" s="14" t="s">
        <v>3548</v>
      </c>
      <c r="G435" s="44" t="s">
        <v>3651</v>
      </c>
      <c r="H435" s="44" t="s">
        <v>2848</v>
      </c>
      <c r="I435" s="44" t="s">
        <v>3900</v>
      </c>
      <c r="J435" s="28" t="s">
        <v>4369</v>
      </c>
    </row>
    <row r="436" spans="1:10">
      <c r="A436" s="20" t="s">
        <v>2697</v>
      </c>
      <c r="B436" s="14">
        <v>7</v>
      </c>
      <c r="C436" s="14" t="s">
        <v>2990</v>
      </c>
      <c r="D436" s="14">
        <v>3</v>
      </c>
      <c r="E436" s="110" t="s">
        <v>3516</v>
      </c>
      <c r="F436" s="14" t="s">
        <v>3376</v>
      </c>
      <c r="G436" s="44" t="s">
        <v>3612</v>
      </c>
      <c r="H436" s="44" t="s">
        <v>4209</v>
      </c>
      <c r="I436" s="44" t="s">
        <v>2323</v>
      </c>
      <c r="J436" s="28" t="s">
        <v>3537</v>
      </c>
    </row>
    <row r="437" spans="1:10">
      <c r="A437" s="20" t="s">
        <v>2873</v>
      </c>
      <c r="B437" s="14">
        <v>7</v>
      </c>
      <c r="C437" s="14" t="s">
        <v>2528</v>
      </c>
      <c r="D437" s="14">
        <v>8</v>
      </c>
      <c r="E437" s="110" t="s">
        <v>3526</v>
      </c>
      <c r="F437" s="14" t="s">
        <v>3898</v>
      </c>
      <c r="G437" s="44" t="s">
        <v>2874</v>
      </c>
      <c r="H437" s="44" t="s">
        <v>2875</v>
      </c>
      <c r="I437" s="44">
        <v>8</v>
      </c>
      <c r="J437" s="28" t="s">
        <v>4709</v>
      </c>
    </row>
    <row r="438" spans="1:10">
      <c r="A438" s="20" t="s">
        <v>2324</v>
      </c>
      <c r="B438" s="14">
        <v>7</v>
      </c>
      <c r="C438" s="14" t="s">
        <v>3158</v>
      </c>
      <c r="D438" s="14">
        <v>2</v>
      </c>
      <c r="E438" s="110" t="s">
        <v>2795</v>
      </c>
      <c r="F438" s="14" t="s">
        <v>4000</v>
      </c>
      <c r="G438" s="44" t="s">
        <v>3736</v>
      </c>
      <c r="H438" s="44" t="s">
        <v>2325</v>
      </c>
      <c r="I438" s="44" t="s">
        <v>2775</v>
      </c>
      <c r="J438" s="28" t="s">
        <v>4555</v>
      </c>
    </row>
    <row r="439" spans="1:10">
      <c r="A439" s="20" t="s">
        <v>2880</v>
      </c>
      <c r="B439" s="14">
        <v>7</v>
      </c>
      <c r="C439" s="14" t="s">
        <v>2790</v>
      </c>
      <c r="D439" s="14">
        <v>1</v>
      </c>
      <c r="E439" s="14" t="s">
        <v>3887</v>
      </c>
      <c r="F439" s="14" t="s">
        <v>3716</v>
      </c>
      <c r="G439" s="44" t="s">
        <v>3736</v>
      </c>
      <c r="H439" s="44" t="s">
        <v>3488</v>
      </c>
      <c r="I439" s="44" t="s">
        <v>2775</v>
      </c>
      <c r="J439" s="28" t="s">
        <v>3890</v>
      </c>
    </row>
    <row r="440" spans="1:10">
      <c r="A440" s="20" t="s">
        <v>2705</v>
      </c>
      <c r="B440" s="14">
        <v>7</v>
      </c>
      <c r="C440" s="14" t="s">
        <v>2964</v>
      </c>
      <c r="D440" s="14" t="s">
        <v>5036</v>
      </c>
      <c r="E440" s="14" t="s">
        <v>2927</v>
      </c>
      <c r="F440" s="14" t="s">
        <v>3914</v>
      </c>
      <c r="G440" s="44" t="s">
        <v>3759</v>
      </c>
      <c r="H440" s="44" t="s">
        <v>3728</v>
      </c>
      <c r="I440" s="44" t="s">
        <v>3916</v>
      </c>
      <c r="J440" s="28" t="s">
        <v>4037</v>
      </c>
    </row>
    <row r="441" spans="1:10">
      <c r="A441" s="20" t="s">
        <v>2876</v>
      </c>
      <c r="B441" s="14">
        <v>7</v>
      </c>
      <c r="C441" s="14" t="s">
        <v>2528</v>
      </c>
      <c r="D441" s="14">
        <v>2</v>
      </c>
      <c r="E441" s="14" t="s">
        <v>3887</v>
      </c>
      <c r="F441" s="14" t="s">
        <v>3548</v>
      </c>
      <c r="G441" s="44" t="s">
        <v>3736</v>
      </c>
      <c r="H441" s="44" t="s">
        <v>2877</v>
      </c>
      <c r="I441" s="44" t="s">
        <v>3900</v>
      </c>
      <c r="J441" s="28" t="s">
        <v>4447</v>
      </c>
    </row>
    <row r="442" spans="1:10">
      <c r="A442" s="20" t="s">
        <v>2706</v>
      </c>
      <c r="B442" s="14">
        <v>7</v>
      </c>
      <c r="C442" s="14" t="s">
        <v>2990</v>
      </c>
      <c r="D442" s="14">
        <v>1</v>
      </c>
      <c r="E442" s="14" t="s">
        <v>2707</v>
      </c>
      <c r="F442" s="14" t="s">
        <v>2959</v>
      </c>
      <c r="G442" s="44" t="s">
        <v>3906</v>
      </c>
      <c r="H442" s="44" t="s">
        <v>2708</v>
      </c>
      <c r="I442" s="44" t="s">
        <v>2775</v>
      </c>
      <c r="J442" s="28" t="s">
        <v>3535</v>
      </c>
    </row>
    <row r="443" spans="1:10">
      <c r="A443" s="20" t="s">
        <v>2893</v>
      </c>
      <c r="B443" s="14">
        <v>7</v>
      </c>
      <c r="C443" s="14" t="s">
        <v>2852</v>
      </c>
      <c r="D443" s="14">
        <v>1</v>
      </c>
      <c r="E443" s="110" t="s">
        <v>3356</v>
      </c>
      <c r="F443" s="14" t="s">
        <v>3716</v>
      </c>
      <c r="G443" s="44" t="s">
        <v>3736</v>
      </c>
      <c r="H443" s="44" t="s">
        <v>3286</v>
      </c>
      <c r="I443" s="44" t="s">
        <v>3900</v>
      </c>
      <c r="J443" s="28" t="s">
        <v>4555</v>
      </c>
    </row>
    <row r="444" spans="1:10">
      <c r="A444" s="20" t="s">
        <v>2695</v>
      </c>
      <c r="B444" s="14">
        <v>7</v>
      </c>
      <c r="C444" s="14" t="s">
        <v>3180</v>
      </c>
      <c r="D444" s="14">
        <v>3</v>
      </c>
      <c r="E444" s="14" t="s">
        <v>2850</v>
      </c>
      <c r="F444" s="14" t="s">
        <v>3376</v>
      </c>
      <c r="G444" s="44" t="s">
        <v>3743</v>
      </c>
      <c r="H444" s="44" t="s">
        <v>3859</v>
      </c>
      <c r="I444" s="44" t="s">
        <v>3900</v>
      </c>
      <c r="J444" s="28" t="s">
        <v>4369</v>
      </c>
    </row>
    <row r="445" spans="1:10">
      <c r="A445" s="20" t="s">
        <v>2698</v>
      </c>
      <c r="B445" s="14">
        <v>7</v>
      </c>
      <c r="C445" s="14" t="s">
        <v>3180</v>
      </c>
      <c r="D445" s="14">
        <v>4</v>
      </c>
      <c r="E445" s="14" t="s">
        <v>3887</v>
      </c>
      <c r="F445" s="14" t="s">
        <v>3898</v>
      </c>
      <c r="G445" s="44" t="s">
        <v>2699</v>
      </c>
      <c r="H445" s="44" t="s">
        <v>2700</v>
      </c>
      <c r="I445" s="44" t="s">
        <v>3900</v>
      </c>
      <c r="J445" s="28" t="s">
        <v>4369</v>
      </c>
    </row>
    <row r="446" spans="1:10">
      <c r="A446" s="20" t="s">
        <v>3044</v>
      </c>
      <c r="B446" s="14">
        <v>7</v>
      </c>
      <c r="C446" s="14" t="s">
        <v>2842</v>
      </c>
      <c r="D446" s="14">
        <v>4</v>
      </c>
      <c r="E446" s="14" t="s">
        <v>3045</v>
      </c>
      <c r="F446" s="14" t="s">
        <v>3548</v>
      </c>
      <c r="G446" s="44" t="s">
        <v>3730</v>
      </c>
      <c r="H446" s="44" t="s">
        <v>3706</v>
      </c>
      <c r="I446" s="44" t="s">
        <v>3900</v>
      </c>
      <c r="J446" s="28" t="s">
        <v>5232</v>
      </c>
    </row>
    <row r="447" spans="1:10">
      <c r="A447" s="20" t="s">
        <v>2883</v>
      </c>
      <c r="B447" s="14">
        <v>7</v>
      </c>
      <c r="C447" s="14" t="s">
        <v>2842</v>
      </c>
      <c r="D447" s="14">
        <v>4</v>
      </c>
      <c r="E447" s="110" t="s">
        <v>2884</v>
      </c>
      <c r="F447" s="14" t="s">
        <v>3140</v>
      </c>
      <c r="G447" s="44" t="s">
        <v>3678</v>
      </c>
      <c r="H447" s="44" t="s">
        <v>2885</v>
      </c>
      <c r="I447" s="44">
        <v>6</v>
      </c>
      <c r="J447" s="28" t="s">
        <v>5232</v>
      </c>
    </row>
    <row r="448" spans="1:10">
      <c r="A448" s="20" t="s">
        <v>3059</v>
      </c>
      <c r="B448" s="14">
        <v>7</v>
      </c>
      <c r="C448" s="14" t="s">
        <v>2842</v>
      </c>
      <c r="D448" s="14">
        <v>2</v>
      </c>
      <c r="E448" s="14" t="s">
        <v>3887</v>
      </c>
      <c r="F448" s="14" t="s">
        <v>3947</v>
      </c>
      <c r="G448" s="44" t="s">
        <v>3843</v>
      </c>
      <c r="H448" s="44" t="s">
        <v>5483</v>
      </c>
      <c r="I448" s="44" t="s">
        <v>3900</v>
      </c>
      <c r="J448" s="28" t="s">
        <v>5232</v>
      </c>
    </row>
    <row r="449" spans="1:10">
      <c r="A449" s="20" t="s">
        <v>2709</v>
      </c>
      <c r="B449" s="14">
        <v>7</v>
      </c>
      <c r="C449" s="14" t="s">
        <v>2785</v>
      </c>
      <c r="D449" s="14">
        <v>5</v>
      </c>
      <c r="E449" s="110" t="s">
        <v>3272</v>
      </c>
      <c r="F449" s="14" t="s">
        <v>3898</v>
      </c>
      <c r="G449" s="44" t="s">
        <v>2710</v>
      </c>
      <c r="H449" s="107" t="s">
        <v>2711</v>
      </c>
      <c r="I449" s="44" t="s">
        <v>3657</v>
      </c>
      <c r="J449" s="28" t="s">
        <v>4369</v>
      </c>
    </row>
    <row r="450" spans="1:10">
      <c r="A450" s="20" t="s">
        <v>3067</v>
      </c>
      <c r="B450" s="14">
        <v>7</v>
      </c>
      <c r="C450" s="14" t="s">
        <v>3066</v>
      </c>
      <c r="D450" s="14" t="s">
        <v>3068</v>
      </c>
      <c r="E450" s="14" t="s">
        <v>3887</v>
      </c>
      <c r="F450" s="14" t="s">
        <v>3947</v>
      </c>
      <c r="G450" s="44" t="s">
        <v>3901</v>
      </c>
      <c r="H450" s="44" t="s">
        <v>3069</v>
      </c>
      <c r="I450" s="44">
        <v>7</v>
      </c>
      <c r="J450" s="28" t="s">
        <v>5232</v>
      </c>
    </row>
    <row r="451" spans="1:10">
      <c r="A451" s="20" t="s">
        <v>3429</v>
      </c>
      <c r="B451" s="14">
        <v>7</v>
      </c>
      <c r="C451" s="14" t="s">
        <v>2454</v>
      </c>
      <c r="D451" s="14" t="s">
        <v>3068</v>
      </c>
      <c r="E451" s="14" t="s">
        <v>3431</v>
      </c>
      <c r="F451" s="14" t="s">
        <v>3898</v>
      </c>
      <c r="G451" s="44" t="s">
        <v>3432</v>
      </c>
      <c r="H451" s="44" t="s">
        <v>3433</v>
      </c>
      <c r="I451" s="44">
        <v>6</v>
      </c>
      <c r="J451" s="28" t="s">
        <v>3535</v>
      </c>
    </row>
    <row r="452" spans="1:10">
      <c r="A452" s="20" t="s">
        <v>3266</v>
      </c>
      <c r="B452" s="14">
        <v>7</v>
      </c>
      <c r="C452" s="14" t="s">
        <v>3066</v>
      </c>
      <c r="D452" s="14">
        <v>2</v>
      </c>
      <c r="E452" s="14" t="s">
        <v>2850</v>
      </c>
      <c r="F452" s="14" t="s">
        <v>3854</v>
      </c>
      <c r="G452" s="44" t="s">
        <v>3736</v>
      </c>
      <c r="H452" s="44" t="s">
        <v>4209</v>
      </c>
      <c r="I452" s="44" t="s">
        <v>3790</v>
      </c>
      <c r="J452" s="28" t="s">
        <v>5232</v>
      </c>
    </row>
    <row r="453" spans="1:10">
      <c r="A453" s="20" t="s">
        <v>3065</v>
      </c>
      <c r="B453" s="14">
        <v>7</v>
      </c>
      <c r="C453" s="14" t="s">
        <v>3066</v>
      </c>
      <c r="D453" s="14">
        <v>3</v>
      </c>
      <c r="E453" s="14" t="s">
        <v>3887</v>
      </c>
      <c r="F453" s="14" t="s">
        <v>3716</v>
      </c>
      <c r="G453" s="44" t="s">
        <v>3759</v>
      </c>
      <c r="H453" s="44" t="s">
        <v>3728</v>
      </c>
      <c r="I453" s="44" t="s">
        <v>3900</v>
      </c>
      <c r="J453" s="28" t="s">
        <v>5232</v>
      </c>
    </row>
    <row r="454" spans="1:10">
      <c r="A454" s="20" t="s">
        <v>311</v>
      </c>
      <c r="B454" s="14">
        <v>7</v>
      </c>
      <c r="C454" s="14" t="s">
        <v>5748</v>
      </c>
      <c r="D454" s="14">
        <v>1</v>
      </c>
      <c r="E454" s="106" t="s">
        <v>2984</v>
      </c>
      <c r="F454" s="14" t="s">
        <v>3931</v>
      </c>
      <c r="G454" s="44" t="s">
        <v>3736</v>
      </c>
      <c r="H454" s="44" t="s">
        <v>4212</v>
      </c>
      <c r="I454" s="44" t="s">
        <v>3900</v>
      </c>
      <c r="J454" s="28" t="s">
        <v>4555</v>
      </c>
    </row>
    <row r="455" spans="1:10">
      <c r="A455" s="20" t="s">
        <v>2881</v>
      </c>
      <c r="B455" s="14">
        <v>7</v>
      </c>
      <c r="C455" s="5" t="s">
        <v>3840</v>
      </c>
      <c r="D455" s="14">
        <v>3</v>
      </c>
      <c r="E455" s="106" t="s">
        <v>3233</v>
      </c>
      <c r="F455" s="14" t="s">
        <v>3898</v>
      </c>
      <c r="G455" s="44" t="s">
        <v>3570</v>
      </c>
      <c r="H455" s="44" t="s">
        <v>2882</v>
      </c>
      <c r="I455" s="44" t="s">
        <v>3900</v>
      </c>
      <c r="J455" s="28" t="s">
        <v>4773</v>
      </c>
    </row>
    <row r="456" spans="1:10">
      <c r="A456" s="20" t="s">
        <v>3062</v>
      </c>
      <c r="B456" s="14">
        <v>7</v>
      </c>
      <c r="C456" s="14" t="s">
        <v>2790</v>
      </c>
      <c r="D456" s="14">
        <v>4</v>
      </c>
      <c r="E456" s="110" t="s">
        <v>2795</v>
      </c>
      <c r="F456" s="14" t="s">
        <v>3735</v>
      </c>
      <c r="G456" s="44" t="s">
        <v>3753</v>
      </c>
      <c r="H456" s="44" t="s">
        <v>3286</v>
      </c>
      <c r="I456" s="44" t="s">
        <v>2895</v>
      </c>
      <c r="J456" s="28" t="s">
        <v>3890</v>
      </c>
    </row>
    <row r="457" spans="1:10">
      <c r="A457" s="20" t="s">
        <v>3252</v>
      </c>
      <c r="B457" s="14">
        <v>7</v>
      </c>
      <c r="C457" s="14" t="s">
        <v>2852</v>
      </c>
      <c r="D457" s="14">
        <v>3</v>
      </c>
      <c r="E457" s="14" t="s">
        <v>2850</v>
      </c>
      <c r="F457" s="14" t="s">
        <v>3854</v>
      </c>
      <c r="G457" s="44" t="s">
        <v>3843</v>
      </c>
      <c r="H457" s="44" t="s">
        <v>3789</v>
      </c>
      <c r="I457" s="44" t="s">
        <v>3900</v>
      </c>
      <c r="J457" s="28" t="s">
        <v>4555</v>
      </c>
    </row>
    <row r="458" spans="1:10">
      <c r="A458" s="20" t="s">
        <v>536</v>
      </c>
      <c r="B458" s="14">
        <v>7</v>
      </c>
      <c r="C458" s="14" t="s">
        <v>5749</v>
      </c>
      <c r="D458" s="14">
        <v>1</v>
      </c>
      <c r="E458" s="106" t="s">
        <v>2984</v>
      </c>
      <c r="F458" s="14" t="s">
        <v>3898</v>
      </c>
      <c r="G458" s="44" t="s">
        <v>3575</v>
      </c>
      <c r="H458" s="44" t="s">
        <v>335</v>
      </c>
      <c r="I458" s="44" t="s">
        <v>3900</v>
      </c>
      <c r="J458" s="28" t="s">
        <v>5232</v>
      </c>
    </row>
    <row r="459" spans="1:10">
      <c r="A459" s="20" t="s">
        <v>3072</v>
      </c>
      <c r="B459" s="14">
        <v>7</v>
      </c>
      <c r="C459" s="14" t="s">
        <v>2528</v>
      </c>
      <c r="D459" s="14">
        <v>3</v>
      </c>
      <c r="E459" s="14" t="s">
        <v>3887</v>
      </c>
      <c r="F459" s="14" t="s">
        <v>3200</v>
      </c>
      <c r="G459" s="44" t="s">
        <v>3467</v>
      </c>
      <c r="H459" s="44" t="s">
        <v>3251</v>
      </c>
      <c r="I459" s="44" t="s">
        <v>3900</v>
      </c>
      <c r="J459" s="28" t="s">
        <v>4447</v>
      </c>
    </row>
    <row r="460" spans="1:10">
      <c r="A460" s="20" t="s">
        <v>3263</v>
      </c>
      <c r="B460" s="14">
        <v>7</v>
      </c>
      <c r="C460" s="14" t="s">
        <v>2790</v>
      </c>
      <c r="D460" s="14" t="s">
        <v>5036</v>
      </c>
      <c r="E460" s="14" t="s">
        <v>3264</v>
      </c>
      <c r="F460" s="14" t="s">
        <v>3735</v>
      </c>
      <c r="G460" s="44" t="s">
        <v>3736</v>
      </c>
      <c r="H460" s="44" t="s">
        <v>3915</v>
      </c>
      <c r="I460" s="44" t="s">
        <v>3916</v>
      </c>
      <c r="J460" s="28" t="s">
        <v>4555</v>
      </c>
    </row>
    <row r="461" spans="1:10">
      <c r="A461" s="20" t="s">
        <v>2923</v>
      </c>
      <c r="B461" s="14">
        <v>7</v>
      </c>
      <c r="C461" s="14" t="s">
        <v>2852</v>
      </c>
      <c r="D461" s="14">
        <v>3</v>
      </c>
      <c r="E461" s="14" t="s">
        <v>3887</v>
      </c>
      <c r="F461" s="14" t="s">
        <v>3854</v>
      </c>
      <c r="G461" s="44" t="s">
        <v>3361</v>
      </c>
      <c r="H461" s="44" t="s">
        <v>3859</v>
      </c>
      <c r="I461" s="44" t="s">
        <v>3900</v>
      </c>
      <c r="J461" s="28" t="s">
        <v>4555</v>
      </c>
    </row>
    <row r="462" spans="1:10">
      <c r="A462" s="20" t="s">
        <v>2766</v>
      </c>
      <c r="B462" s="14">
        <v>7</v>
      </c>
      <c r="C462" s="14" t="s">
        <v>3494</v>
      </c>
      <c r="D462" s="14" t="s">
        <v>3068</v>
      </c>
      <c r="E462" s="110" t="s">
        <v>3190</v>
      </c>
      <c r="F462" s="14" t="s">
        <v>3898</v>
      </c>
      <c r="G462" s="111" t="s">
        <v>3432</v>
      </c>
      <c r="H462" s="111" t="s">
        <v>2767</v>
      </c>
      <c r="I462" s="44">
        <v>6</v>
      </c>
      <c r="J462" s="28" t="s">
        <v>4555</v>
      </c>
    </row>
    <row r="463" spans="1:10">
      <c r="A463" s="20" t="s">
        <v>2879</v>
      </c>
      <c r="B463" s="14">
        <v>7</v>
      </c>
      <c r="C463" s="14" t="s">
        <v>2785</v>
      </c>
      <c r="D463" s="14">
        <v>1</v>
      </c>
      <c r="E463" s="14" t="s">
        <v>3045</v>
      </c>
      <c r="F463" s="14" t="s">
        <v>3716</v>
      </c>
      <c r="G463" s="44" t="s">
        <v>3809</v>
      </c>
      <c r="H463" s="44" t="s">
        <v>3915</v>
      </c>
      <c r="I463" s="44" t="s">
        <v>3900</v>
      </c>
      <c r="J463" s="28" t="s">
        <v>4369</v>
      </c>
    </row>
    <row r="464" spans="1:10">
      <c r="A464" s="20" t="s">
        <v>3261</v>
      </c>
      <c r="B464" s="14">
        <v>7</v>
      </c>
      <c r="C464" s="14" t="s">
        <v>2964</v>
      </c>
      <c r="D464" s="14">
        <v>2</v>
      </c>
      <c r="E464" s="14" t="s">
        <v>3262</v>
      </c>
      <c r="F464" s="14" t="s">
        <v>3914</v>
      </c>
      <c r="G464" s="44" t="s">
        <v>3765</v>
      </c>
      <c r="H464" s="44" t="s">
        <v>3047</v>
      </c>
      <c r="I464" s="44" t="s">
        <v>3916</v>
      </c>
      <c r="J464" s="28" t="s">
        <v>4037</v>
      </c>
    </row>
    <row r="465" spans="1:10">
      <c r="A465" s="20" t="s">
        <v>2892</v>
      </c>
      <c r="B465" s="14">
        <v>7</v>
      </c>
      <c r="C465" s="14" t="s">
        <v>3180</v>
      </c>
      <c r="D465" s="14">
        <v>2</v>
      </c>
      <c r="E465" s="14" t="s">
        <v>3887</v>
      </c>
      <c r="F465" s="14" t="s">
        <v>3979</v>
      </c>
      <c r="G465" s="44" t="s">
        <v>3759</v>
      </c>
      <c r="H465" s="44" t="s">
        <v>3859</v>
      </c>
      <c r="I465" s="44" t="s">
        <v>3900</v>
      </c>
      <c r="J465" s="28" t="s">
        <v>4369</v>
      </c>
    </row>
    <row r="466" spans="1:10">
      <c r="A466" s="20" t="s">
        <v>2894</v>
      </c>
      <c r="B466" s="14">
        <v>7</v>
      </c>
      <c r="C466" s="14" t="s">
        <v>3058</v>
      </c>
      <c r="D466" s="14">
        <v>3</v>
      </c>
      <c r="E466" s="110" t="s">
        <v>3124</v>
      </c>
      <c r="F466" s="14" t="s">
        <v>3898</v>
      </c>
      <c r="G466" s="44" t="s">
        <v>3759</v>
      </c>
      <c r="H466" s="44" t="s">
        <v>4209</v>
      </c>
      <c r="I466" s="44">
        <v>2</v>
      </c>
      <c r="J466" s="28" t="s">
        <v>2745</v>
      </c>
    </row>
    <row r="467" spans="1:10">
      <c r="A467" s="20" t="s">
        <v>2329</v>
      </c>
      <c r="B467" s="14">
        <v>7</v>
      </c>
      <c r="C467" s="14" t="s">
        <v>2593</v>
      </c>
      <c r="D467" s="14">
        <v>6</v>
      </c>
      <c r="E467" s="110" t="s">
        <v>3026</v>
      </c>
      <c r="F467" s="14" t="s">
        <v>3898</v>
      </c>
      <c r="G467" s="44" t="s">
        <v>3651</v>
      </c>
      <c r="H467" s="44" t="s">
        <v>2330</v>
      </c>
      <c r="I467" s="44" t="s">
        <v>3900</v>
      </c>
      <c r="J467" s="196" t="s">
        <v>4369</v>
      </c>
    </row>
    <row r="468" spans="1:10">
      <c r="A468" s="20" t="s">
        <v>2768</v>
      </c>
      <c r="B468" s="14">
        <v>7</v>
      </c>
      <c r="C468" s="14" t="s">
        <v>2769</v>
      </c>
      <c r="D468" s="14">
        <v>3</v>
      </c>
      <c r="E468" s="110" t="s">
        <v>3305</v>
      </c>
      <c r="F468" s="14" t="s">
        <v>4000</v>
      </c>
      <c r="G468" s="44" t="s">
        <v>3490</v>
      </c>
      <c r="H468" s="44" t="s">
        <v>2770</v>
      </c>
      <c r="I468" s="44" t="s">
        <v>3916</v>
      </c>
      <c r="J468" s="28" t="s">
        <v>3890</v>
      </c>
    </row>
    <row r="469" spans="1:10">
      <c r="A469" s="20" t="s">
        <v>2765</v>
      </c>
      <c r="B469" s="14">
        <v>7</v>
      </c>
      <c r="C469" s="14" t="s">
        <v>2528</v>
      </c>
      <c r="D469" s="14">
        <v>1</v>
      </c>
      <c r="E469" s="14" t="s">
        <v>2850</v>
      </c>
      <c r="F469" s="14" t="s">
        <v>3716</v>
      </c>
      <c r="G469" s="44" t="s">
        <v>3736</v>
      </c>
      <c r="H469" s="44" t="s">
        <v>3047</v>
      </c>
      <c r="I469" s="44" t="s">
        <v>3900</v>
      </c>
      <c r="J469" s="28" t="s">
        <v>4447</v>
      </c>
    </row>
    <row r="470" spans="1:10">
      <c r="A470" s="20" t="s">
        <v>2773</v>
      </c>
      <c r="B470" s="14">
        <v>7</v>
      </c>
      <c r="C470" s="14" t="s">
        <v>3058</v>
      </c>
      <c r="D470" s="14">
        <v>4</v>
      </c>
      <c r="E470" s="14" t="s">
        <v>2774</v>
      </c>
      <c r="F470" s="14" t="s">
        <v>3898</v>
      </c>
      <c r="G470" s="44" t="s">
        <v>3321</v>
      </c>
      <c r="H470" s="44" t="s">
        <v>3286</v>
      </c>
      <c r="I470" s="44">
        <v>2</v>
      </c>
      <c r="J470" s="28" t="s">
        <v>4447</v>
      </c>
    </row>
    <row r="471" spans="1:10">
      <c r="A471" s="20" t="s">
        <v>3060</v>
      </c>
      <c r="B471" s="14">
        <v>7</v>
      </c>
      <c r="C471" s="14" t="s">
        <v>3180</v>
      </c>
      <c r="D471" s="14">
        <v>4</v>
      </c>
      <c r="E471" s="110" t="s">
        <v>2609</v>
      </c>
      <c r="F471" s="14" t="s">
        <v>3735</v>
      </c>
      <c r="G471" s="44" t="s">
        <v>3013</v>
      </c>
      <c r="H471" s="44" t="s">
        <v>3061</v>
      </c>
      <c r="I471" s="44" t="s">
        <v>3790</v>
      </c>
      <c r="J471" s="28" t="s">
        <v>4369</v>
      </c>
    </row>
    <row r="472" spans="1:10">
      <c r="A472" s="20" t="s">
        <v>2605</v>
      </c>
      <c r="B472" s="14">
        <v>7</v>
      </c>
      <c r="C472" s="14" t="s">
        <v>2606</v>
      </c>
      <c r="D472" s="14">
        <v>3</v>
      </c>
      <c r="E472" s="14" t="s">
        <v>2850</v>
      </c>
      <c r="F472" s="14" t="s">
        <v>3898</v>
      </c>
      <c r="G472" s="44" t="s">
        <v>3901</v>
      </c>
      <c r="H472" s="44" t="s">
        <v>3915</v>
      </c>
      <c r="I472" s="44" t="s">
        <v>2746</v>
      </c>
      <c r="J472" s="28" t="s">
        <v>4447</v>
      </c>
    </row>
    <row r="473" spans="1:10">
      <c r="A473" s="20" t="s">
        <v>2450</v>
      </c>
      <c r="B473" s="14">
        <v>7</v>
      </c>
      <c r="C473" s="14" t="s">
        <v>2606</v>
      </c>
      <c r="D473" s="14">
        <v>3</v>
      </c>
      <c r="E473" s="110" t="s">
        <v>2451</v>
      </c>
      <c r="F473" s="14" t="s">
        <v>3548</v>
      </c>
      <c r="G473" s="44" t="s">
        <v>3759</v>
      </c>
      <c r="H473" s="44" t="s">
        <v>2452</v>
      </c>
      <c r="I473" s="44" t="s">
        <v>3900</v>
      </c>
      <c r="J473" s="28" t="s">
        <v>4447</v>
      </c>
    </row>
    <row r="474" spans="1:10">
      <c r="A474" s="20" t="s">
        <v>2771</v>
      </c>
      <c r="B474" s="14">
        <v>7</v>
      </c>
      <c r="C474" s="14" t="s">
        <v>2772</v>
      </c>
      <c r="D474" s="14">
        <v>2</v>
      </c>
      <c r="E474" s="110" t="s">
        <v>2795</v>
      </c>
      <c r="F474" s="14" t="s">
        <v>3716</v>
      </c>
      <c r="G474" s="44" t="s">
        <v>3906</v>
      </c>
      <c r="H474" s="44" t="s">
        <v>3746</v>
      </c>
      <c r="I474" s="44" t="s">
        <v>3916</v>
      </c>
      <c r="J474" s="28" t="s">
        <v>5232</v>
      </c>
    </row>
    <row r="475" spans="1:10">
      <c r="A475" s="20" t="s">
        <v>3063</v>
      </c>
      <c r="B475" s="14">
        <v>7</v>
      </c>
      <c r="C475" s="14" t="s">
        <v>3708</v>
      </c>
      <c r="D475" s="14">
        <v>1</v>
      </c>
      <c r="E475" s="110" t="s">
        <v>3331</v>
      </c>
      <c r="F475" s="14" t="s">
        <v>3851</v>
      </c>
      <c r="G475" s="44" t="s">
        <v>3937</v>
      </c>
      <c r="H475" s="44" t="s">
        <v>3064</v>
      </c>
      <c r="I475" s="44" t="s">
        <v>3900</v>
      </c>
      <c r="J475" s="28" t="s">
        <v>4773</v>
      </c>
    </row>
    <row r="476" spans="1:10">
      <c r="A476" s="20" t="s">
        <v>2603</v>
      </c>
      <c r="B476" s="14">
        <v>7</v>
      </c>
      <c r="C476" s="14" t="s">
        <v>3066</v>
      </c>
      <c r="D476" s="14">
        <v>3</v>
      </c>
      <c r="E476" s="14" t="s">
        <v>3792</v>
      </c>
      <c r="F476" s="14" t="s">
        <v>3716</v>
      </c>
      <c r="G476" s="44" t="s">
        <v>3736</v>
      </c>
      <c r="H476" s="44" t="s">
        <v>2604</v>
      </c>
      <c r="I476" s="44" t="s">
        <v>3900</v>
      </c>
      <c r="J476" s="28" t="s">
        <v>5232</v>
      </c>
    </row>
    <row r="477" spans="1:10">
      <c r="A477" s="20" t="s">
        <v>3070</v>
      </c>
      <c r="B477" s="14">
        <v>7</v>
      </c>
      <c r="C477" s="14" t="s">
        <v>3180</v>
      </c>
      <c r="D477" s="14">
        <v>4</v>
      </c>
      <c r="E477" s="110" t="s">
        <v>3071</v>
      </c>
      <c r="F477" s="14" t="s">
        <v>3716</v>
      </c>
      <c r="G477" s="44" t="s">
        <v>3651</v>
      </c>
      <c r="H477" s="44" t="s">
        <v>3488</v>
      </c>
      <c r="I477" s="44">
        <v>2</v>
      </c>
      <c r="J477" s="28" t="s">
        <v>4369</v>
      </c>
    </row>
    <row r="478" spans="1:10">
      <c r="A478" s="20" t="s">
        <v>3434</v>
      </c>
      <c r="B478" s="14">
        <v>7</v>
      </c>
      <c r="C478" s="14" t="s">
        <v>3427</v>
      </c>
      <c r="D478" s="14">
        <v>1</v>
      </c>
      <c r="E478" s="14" t="s">
        <v>2855</v>
      </c>
      <c r="F478" s="14" t="s">
        <v>3716</v>
      </c>
      <c r="G478" s="44" t="s">
        <v>3765</v>
      </c>
      <c r="H478" s="44" t="s">
        <v>3435</v>
      </c>
      <c r="I478" s="44" t="s">
        <v>3790</v>
      </c>
      <c r="J478" s="28" t="s">
        <v>4369</v>
      </c>
    </row>
    <row r="479" spans="1:10">
      <c r="A479" s="20" t="s">
        <v>3267</v>
      </c>
      <c r="B479" s="14">
        <v>7</v>
      </c>
      <c r="C479" s="14" t="s">
        <v>3427</v>
      </c>
      <c r="D479" s="14">
        <v>3</v>
      </c>
      <c r="E479" s="110" t="s">
        <v>3197</v>
      </c>
      <c r="F479" s="14" t="s">
        <v>2959</v>
      </c>
      <c r="G479" s="44" t="s">
        <v>3378</v>
      </c>
      <c r="H479" s="44" t="s">
        <v>2922</v>
      </c>
      <c r="I479" s="44" t="s">
        <v>3900</v>
      </c>
      <c r="J479" s="28" t="s">
        <v>3590</v>
      </c>
    </row>
    <row r="480" spans="1:10">
      <c r="A480" s="20" t="s">
        <v>3250</v>
      </c>
      <c r="B480" s="14">
        <v>7</v>
      </c>
      <c r="C480" s="14" t="s">
        <v>3427</v>
      </c>
      <c r="D480" s="14">
        <v>1</v>
      </c>
      <c r="E480" s="14" t="s">
        <v>3792</v>
      </c>
      <c r="F480" s="14" t="s">
        <v>3898</v>
      </c>
      <c r="G480" s="44" t="s">
        <v>3395</v>
      </c>
      <c r="H480" s="44" t="s">
        <v>3428</v>
      </c>
      <c r="I480" s="44" t="s">
        <v>3900</v>
      </c>
      <c r="J480" s="28" t="s">
        <v>3908</v>
      </c>
    </row>
    <row r="481" spans="1:10">
      <c r="A481" s="20" t="s">
        <v>4143</v>
      </c>
      <c r="B481" s="14">
        <v>7</v>
      </c>
      <c r="C481" s="14" t="s">
        <v>2772</v>
      </c>
      <c r="D481" s="14">
        <v>2</v>
      </c>
      <c r="E481" s="110" t="s">
        <v>2795</v>
      </c>
      <c r="F481" s="14" t="s">
        <v>3716</v>
      </c>
      <c r="G481" s="44" t="s">
        <v>3395</v>
      </c>
      <c r="H481" s="44" t="s">
        <v>3687</v>
      </c>
      <c r="I481" s="44" t="s">
        <v>2331</v>
      </c>
      <c r="J481" s="28" t="s">
        <v>3535</v>
      </c>
    </row>
    <row r="482" spans="1:10">
      <c r="A482" s="20" t="s">
        <v>2453</v>
      </c>
      <c r="B482" s="14">
        <v>7</v>
      </c>
      <c r="C482" s="14" t="s">
        <v>3058</v>
      </c>
      <c r="D482" s="14">
        <v>2</v>
      </c>
      <c r="E482" s="110" t="s">
        <v>3248</v>
      </c>
      <c r="F482" s="14" t="s">
        <v>3898</v>
      </c>
      <c r="G482" s="44" t="s">
        <v>3730</v>
      </c>
      <c r="H482" s="44" t="s">
        <v>3746</v>
      </c>
      <c r="I482" s="44" t="s">
        <v>3916</v>
      </c>
      <c r="J482" s="28" t="s">
        <v>4447</v>
      </c>
    </row>
    <row r="483" spans="1:10">
      <c r="A483" s="283" t="s">
        <v>470</v>
      </c>
      <c r="B483" s="284">
        <v>8</v>
      </c>
      <c r="C483" s="284" t="s">
        <v>5758</v>
      </c>
      <c r="D483" s="284">
        <v>1</v>
      </c>
      <c r="E483" s="285" t="s">
        <v>2609</v>
      </c>
      <c r="F483" s="284" t="s">
        <v>3898</v>
      </c>
      <c r="G483" s="286" t="s">
        <v>3843</v>
      </c>
      <c r="H483" s="286" t="s">
        <v>471</v>
      </c>
      <c r="I483" s="286" t="s">
        <v>3900</v>
      </c>
      <c r="J483" s="287" t="s">
        <v>4447</v>
      </c>
    </row>
    <row r="484" spans="1:10">
      <c r="A484" s="20" t="s">
        <v>2332</v>
      </c>
      <c r="B484" s="14">
        <v>8</v>
      </c>
      <c r="C484" s="14" t="s">
        <v>3455</v>
      </c>
      <c r="D484" s="14">
        <v>3</v>
      </c>
      <c r="E484" s="110" t="s">
        <v>3124</v>
      </c>
      <c r="F484" s="14" t="s">
        <v>3898</v>
      </c>
      <c r="G484" s="44" t="s">
        <v>3550</v>
      </c>
      <c r="H484" s="44" t="s">
        <v>3286</v>
      </c>
      <c r="I484" s="44">
        <v>9</v>
      </c>
      <c r="J484" s="28" t="s">
        <v>4447</v>
      </c>
    </row>
    <row r="485" spans="1:10">
      <c r="A485" s="20" t="s">
        <v>336</v>
      </c>
      <c r="B485" s="14">
        <v>8</v>
      </c>
      <c r="C485" s="14" t="s">
        <v>5750</v>
      </c>
      <c r="D485" s="14">
        <v>2</v>
      </c>
      <c r="E485" s="110" t="s">
        <v>2609</v>
      </c>
      <c r="F485" s="14" t="s">
        <v>3979</v>
      </c>
      <c r="G485" s="44" t="s">
        <v>3736</v>
      </c>
      <c r="H485" s="44" t="s">
        <v>3746</v>
      </c>
      <c r="I485" s="44" t="s">
        <v>3900</v>
      </c>
      <c r="J485" s="28" t="s">
        <v>4555</v>
      </c>
    </row>
    <row r="486" spans="1:10">
      <c r="A486" s="20" t="s">
        <v>2610</v>
      </c>
      <c r="B486" s="14">
        <v>8</v>
      </c>
      <c r="C486" s="14" t="s">
        <v>3427</v>
      </c>
      <c r="D486" s="14">
        <v>4</v>
      </c>
      <c r="E486" s="110" t="s">
        <v>2611</v>
      </c>
      <c r="F486" s="14" t="s">
        <v>3914</v>
      </c>
      <c r="G486" s="44" t="s">
        <v>3765</v>
      </c>
      <c r="H486" s="44" t="s">
        <v>3286</v>
      </c>
      <c r="I486" s="44" t="s">
        <v>3900</v>
      </c>
      <c r="J486" s="28" t="s">
        <v>3590</v>
      </c>
    </row>
    <row r="487" spans="1:10">
      <c r="A487" s="20" t="s">
        <v>2612</v>
      </c>
      <c r="B487" s="14">
        <v>8</v>
      </c>
      <c r="C487" s="14" t="s">
        <v>2772</v>
      </c>
      <c r="D487" s="14">
        <v>2</v>
      </c>
      <c r="E487" s="14" t="s">
        <v>3887</v>
      </c>
      <c r="F487" s="14" t="s">
        <v>3898</v>
      </c>
      <c r="G487" s="44" t="s">
        <v>3759</v>
      </c>
      <c r="H487" s="44" t="s">
        <v>3286</v>
      </c>
      <c r="I487" s="44" t="s">
        <v>3916</v>
      </c>
      <c r="J487" s="28" t="s">
        <v>5232</v>
      </c>
    </row>
    <row r="488" spans="1:10">
      <c r="A488" s="20" t="s">
        <v>2614</v>
      </c>
      <c r="B488" s="14">
        <v>8</v>
      </c>
      <c r="C488" s="14" t="s">
        <v>2769</v>
      </c>
      <c r="D488" s="14">
        <v>4</v>
      </c>
      <c r="E488" s="110" t="s">
        <v>3516</v>
      </c>
      <c r="F488" s="14" t="s">
        <v>3914</v>
      </c>
      <c r="G488" s="44" t="s">
        <v>3550</v>
      </c>
      <c r="H488" s="44" t="s">
        <v>2615</v>
      </c>
      <c r="I488" s="44" t="s">
        <v>3916</v>
      </c>
      <c r="J488" s="28" t="s">
        <v>3890</v>
      </c>
    </row>
    <row r="489" spans="1:10">
      <c r="A489" s="20" t="s">
        <v>2625</v>
      </c>
      <c r="B489" s="14">
        <v>8</v>
      </c>
      <c r="C489" s="14" t="s">
        <v>2626</v>
      </c>
      <c r="D489" s="14">
        <v>2</v>
      </c>
      <c r="E489" s="14" t="s">
        <v>3019</v>
      </c>
      <c r="F489" s="14" t="s">
        <v>3548</v>
      </c>
      <c r="G489" s="44" t="s">
        <v>3843</v>
      </c>
      <c r="H489" s="44" t="s">
        <v>3047</v>
      </c>
      <c r="I489" s="44" t="s">
        <v>3900</v>
      </c>
      <c r="J489" s="28" t="s">
        <v>4555</v>
      </c>
    </row>
    <row r="490" spans="1:10">
      <c r="A490" s="20" t="s">
        <v>2613</v>
      </c>
      <c r="B490" s="14">
        <v>8</v>
      </c>
      <c r="C490" s="14" t="s">
        <v>3912</v>
      </c>
      <c r="D490" s="14">
        <v>3</v>
      </c>
      <c r="E490" s="110" t="s">
        <v>3341</v>
      </c>
      <c r="F490" s="14" t="s">
        <v>3548</v>
      </c>
      <c r="G490" s="111" t="s">
        <v>3843</v>
      </c>
      <c r="H490" s="111" t="s">
        <v>3687</v>
      </c>
      <c r="I490" s="44">
        <v>6</v>
      </c>
      <c r="J490" s="28" t="s">
        <v>4447</v>
      </c>
    </row>
    <row r="491" spans="1:10">
      <c r="A491" s="20" t="s">
        <v>2960</v>
      </c>
      <c r="B491" s="14">
        <v>8</v>
      </c>
      <c r="C491" s="14" t="s">
        <v>2769</v>
      </c>
      <c r="D491" s="14">
        <v>3</v>
      </c>
      <c r="E491" s="14" t="s">
        <v>3353</v>
      </c>
      <c r="F491" s="14" t="s">
        <v>2959</v>
      </c>
      <c r="G491" s="44" t="s">
        <v>3378</v>
      </c>
      <c r="H491" s="44" t="s">
        <v>3286</v>
      </c>
      <c r="I491" s="44" t="s">
        <v>3916</v>
      </c>
      <c r="J491" s="28" t="s">
        <v>3890</v>
      </c>
    </row>
    <row r="492" spans="1:10">
      <c r="A492" s="20" t="s">
        <v>2619</v>
      </c>
      <c r="B492" s="14">
        <v>8</v>
      </c>
      <c r="C492" s="14" t="s">
        <v>3058</v>
      </c>
      <c r="D492" s="14">
        <v>3</v>
      </c>
      <c r="E492" s="14" t="s">
        <v>3262</v>
      </c>
      <c r="F492" s="14" t="s">
        <v>3914</v>
      </c>
      <c r="G492" s="44" t="s">
        <v>3730</v>
      </c>
      <c r="H492" s="44" t="s">
        <v>3728</v>
      </c>
      <c r="I492" s="44" t="s">
        <v>3916</v>
      </c>
      <c r="J492" s="28" t="s">
        <v>4037</v>
      </c>
    </row>
    <row r="493" spans="1:10">
      <c r="A493" s="20" t="s">
        <v>2620</v>
      </c>
      <c r="B493" s="14">
        <v>8</v>
      </c>
      <c r="C493" s="14" t="s">
        <v>2621</v>
      </c>
      <c r="D493" s="14">
        <v>4</v>
      </c>
      <c r="E493" s="14" t="s">
        <v>3019</v>
      </c>
      <c r="F493" s="14" t="s">
        <v>3716</v>
      </c>
      <c r="G493" s="44" t="s">
        <v>3759</v>
      </c>
      <c r="H493" s="44" t="s">
        <v>3728</v>
      </c>
      <c r="I493" s="44" t="s">
        <v>3900</v>
      </c>
      <c r="J493" s="28" t="s">
        <v>5232</v>
      </c>
    </row>
    <row r="494" spans="1:10">
      <c r="A494" s="20" t="s">
        <v>2622</v>
      </c>
      <c r="B494" s="14">
        <v>8</v>
      </c>
      <c r="C494" s="14" t="s">
        <v>3455</v>
      </c>
      <c r="D494" s="14">
        <v>4</v>
      </c>
      <c r="E494" s="106" t="s">
        <v>2623</v>
      </c>
      <c r="F494" s="14" t="s">
        <v>3914</v>
      </c>
      <c r="G494" s="44" t="s">
        <v>3550</v>
      </c>
      <c r="H494" s="44" t="s">
        <v>2624</v>
      </c>
      <c r="I494" s="44">
        <v>10</v>
      </c>
      <c r="J494" s="28" t="s">
        <v>4369</v>
      </c>
    </row>
    <row r="495" spans="1:10">
      <c r="A495" s="20" t="s">
        <v>2816</v>
      </c>
      <c r="B495" s="14">
        <v>8</v>
      </c>
      <c r="C495" s="14" t="s">
        <v>2769</v>
      </c>
      <c r="D495" s="14">
        <v>2</v>
      </c>
      <c r="E495" s="14" t="s">
        <v>3262</v>
      </c>
      <c r="F495" s="14" t="s">
        <v>3898</v>
      </c>
      <c r="G495" s="107" t="s">
        <v>2817</v>
      </c>
      <c r="H495" s="44" t="s">
        <v>3351</v>
      </c>
      <c r="I495" s="44" t="s">
        <v>2775</v>
      </c>
      <c r="J495" s="28" t="s">
        <v>4555</v>
      </c>
    </row>
    <row r="496" spans="1:10">
      <c r="A496" s="20" t="s">
        <v>2799</v>
      </c>
      <c r="B496" s="14">
        <v>8</v>
      </c>
      <c r="C496" s="14" t="s">
        <v>3929</v>
      </c>
      <c r="D496" s="14">
        <v>6</v>
      </c>
      <c r="E496" s="110" t="s">
        <v>2800</v>
      </c>
      <c r="F496" s="14" t="s">
        <v>3898</v>
      </c>
      <c r="G496" s="111" t="s">
        <v>3420</v>
      </c>
      <c r="H496" s="111" t="s">
        <v>2801</v>
      </c>
      <c r="I496" s="44" t="s">
        <v>3900</v>
      </c>
      <c r="J496" s="28" t="s">
        <v>4369</v>
      </c>
    </row>
    <row r="497" spans="1:12">
      <c r="A497" s="20" t="s">
        <v>2969</v>
      </c>
      <c r="B497" s="14">
        <v>8</v>
      </c>
      <c r="C497" s="14" t="s">
        <v>2970</v>
      </c>
      <c r="D497" s="14">
        <v>3</v>
      </c>
      <c r="E497" s="110" t="s">
        <v>2971</v>
      </c>
      <c r="F497" s="14" t="s">
        <v>3376</v>
      </c>
      <c r="G497" s="44" t="s">
        <v>3901</v>
      </c>
      <c r="H497" s="44" t="s">
        <v>3728</v>
      </c>
      <c r="I497" s="44" t="s">
        <v>3900</v>
      </c>
      <c r="J497" s="28" t="s">
        <v>4369</v>
      </c>
      <c r="L497" s="9"/>
    </row>
    <row r="498" spans="1:12">
      <c r="A498" s="20" t="s">
        <v>2629</v>
      </c>
      <c r="B498" s="14">
        <v>8</v>
      </c>
      <c r="C498" s="14" t="s">
        <v>2772</v>
      </c>
      <c r="D498" s="14">
        <v>3</v>
      </c>
      <c r="E498" s="110" t="s">
        <v>3516</v>
      </c>
      <c r="F498" s="14" t="s">
        <v>3573</v>
      </c>
      <c r="G498" s="44" t="s">
        <v>3612</v>
      </c>
      <c r="H498" s="44" t="s">
        <v>3047</v>
      </c>
      <c r="I498" s="44">
        <v>2</v>
      </c>
      <c r="J498" s="28" t="s">
        <v>3535</v>
      </c>
      <c r="L498" s="9"/>
    </row>
    <row r="499" spans="1:12">
      <c r="A499" s="20" t="s">
        <v>2985</v>
      </c>
      <c r="B499" s="14">
        <v>8</v>
      </c>
      <c r="C499" s="14" t="s">
        <v>3142</v>
      </c>
      <c r="D499" s="110" t="s">
        <v>2808</v>
      </c>
      <c r="E499" s="14" t="s">
        <v>2986</v>
      </c>
      <c r="F499" s="14" t="s">
        <v>3979</v>
      </c>
      <c r="G499" s="44" t="s">
        <v>3843</v>
      </c>
      <c r="H499" s="44" t="s">
        <v>3488</v>
      </c>
      <c r="I499" s="44" t="s">
        <v>3900</v>
      </c>
      <c r="J499" s="28" t="s">
        <v>2333</v>
      </c>
      <c r="L499" s="9"/>
    </row>
    <row r="500" spans="1:12">
      <c r="A500" s="283" t="s">
        <v>472</v>
      </c>
      <c r="B500" s="284">
        <v>8</v>
      </c>
      <c r="C500" s="284" t="s">
        <v>5759</v>
      </c>
      <c r="D500" s="284">
        <v>2</v>
      </c>
      <c r="E500" s="290" t="s">
        <v>2609</v>
      </c>
      <c r="F500" s="284" t="s">
        <v>3947</v>
      </c>
      <c r="G500" s="286" t="s">
        <v>3575</v>
      </c>
      <c r="H500" s="286" t="s">
        <v>473</v>
      </c>
      <c r="I500" s="286" t="s">
        <v>3900</v>
      </c>
      <c r="J500" s="287" t="s">
        <v>4369</v>
      </c>
      <c r="L500" s="9"/>
    </row>
    <row r="501" spans="1:12">
      <c r="A501" s="20" t="s">
        <v>2991</v>
      </c>
      <c r="B501" s="14">
        <v>8</v>
      </c>
      <c r="C501" s="14" t="s">
        <v>3427</v>
      </c>
      <c r="D501" s="14">
        <v>4</v>
      </c>
      <c r="E501" s="110" t="s">
        <v>3331</v>
      </c>
      <c r="F501" s="14" t="s">
        <v>3914</v>
      </c>
      <c r="G501" s="44" t="s">
        <v>3021</v>
      </c>
      <c r="H501" s="44" t="s">
        <v>3286</v>
      </c>
      <c r="I501" s="44" t="s">
        <v>3900</v>
      </c>
      <c r="J501" s="28" t="s">
        <v>4369</v>
      </c>
      <c r="L501" s="9"/>
    </row>
    <row r="502" spans="1:12">
      <c r="A502" s="20" t="s">
        <v>2616</v>
      </c>
      <c r="B502" s="14">
        <v>8</v>
      </c>
      <c r="C502" s="14" t="s">
        <v>3199</v>
      </c>
      <c r="D502" s="14" t="s">
        <v>2617</v>
      </c>
      <c r="E502" s="110" t="s">
        <v>3526</v>
      </c>
      <c r="F502" s="14" t="s">
        <v>3487</v>
      </c>
      <c r="G502" s="44" t="s">
        <v>2792</v>
      </c>
      <c r="H502" s="44" t="s">
        <v>2618</v>
      </c>
      <c r="I502" s="44" t="s">
        <v>3900</v>
      </c>
      <c r="J502" s="28" t="s">
        <v>4773</v>
      </c>
      <c r="L502" s="4"/>
    </row>
    <row r="503" spans="1:12">
      <c r="A503" s="20" t="s">
        <v>2802</v>
      </c>
      <c r="B503" s="14">
        <v>8</v>
      </c>
      <c r="C503" s="14" t="s">
        <v>2606</v>
      </c>
      <c r="D503" s="14">
        <v>3</v>
      </c>
      <c r="E503" s="14" t="s">
        <v>3262</v>
      </c>
      <c r="F503" s="14" t="s">
        <v>3854</v>
      </c>
      <c r="G503" s="44" t="s">
        <v>3361</v>
      </c>
      <c r="H503" s="44" t="s">
        <v>3859</v>
      </c>
      <c r="I503" s="44">
        <v>6</v>
      </c>
      <c r="J503" s="28" t="s">
        <v>4447</v>
      </c>
      <c r="L503" s="9"/>
    </row>
    <row r="504" spans="1:12">
      <c r="A504" s="20" t="s">
        <v>2807</v>
      </c>
      <c r="B504" s="14">
        <v>8</v>
      </c>
      <c r="C504" s="14" t="s">
        <v>2865</v>
      </c>
      <c r="D504" s="110" t="s">
        <v>2808</v>
      </c>
      <c r="E504" s="14" t="s">
        <v>2809</v>
      </c>
      <c r="F504" s="14" t="s">
        <v>3376</v>
      </c>
      <c r="G504" s="44" t="s">
        <v>3651</v>
      </c>
      <c r="H504" s="44" t="s">
        <v>2968</v>
      </c>
      <c r="I504" s="44">
        <v>12</v>
      </c>
      <c r="J504" s="28" t="s">
        <v>2334</v>
      </c>
      <c r="L504" s="9"/>
    </row>
    <row r="505" spans="1:12">
      <c r="A505" s="20" t="s">
        <v>2979</v>
      </c>
      <c r="B505" s="14">
        <v>8</v>
      </c>
      <c r="C505" s="14" t="s">
        <v>3058</v>
      </c>
      <c r="D505" s="14">
        <v>6</v>
      </c>
      <c r="E505" s="14" t="s">
        <v>2980</v>
      </c>
      <c r="F505" s="14" t="s">
        <v>3947</v>
      </c>
      <c r="G505" s="44" t="s">
        <v>3651</v>
      </c>
      <c r="H505" s="44" t="s">
        <v>2981</v>
      </c>
      <c r="I505" s="44" t="s">
        <v>3916</v>
      </c>
      <c r="J505" s="28" t="s">
        <v>4037</v>
      </c>
      <c r="L505" s="4"/>
    </row>
    <row r="506" spans="1:12">
      <c r="A506" s="20" t="s">
        <v>3346</v>
      </c>
      <c r="B506" s="14">
        <v>8</v>
      </c>
      <c r="C506" s="14" t="s">
        <v>2970</v>
      </c>
      <c r="D506" s="14" t="s">
        <v>3068</v>
      </c>
      <c r="E506" s="14" t="s">
        <v>3347</v>
      </c>
      <c r="F506" s="14" t="s">
        <v>3735</v>
      </c>
      <c r="G506" s="44" t="s">
        <v>3736</v>
      </c>
      <c r="H506" s="44" t="s">
        <v>3047</v>
      </c>
      <c r="I506" s="44" t="s">
        <v>3900</v>
      </c>
      <c r="J506" s="28" t="s">
        <v>4369</v>
      </c>
      <c r="L506" s="4"/>
    </row>
    <row r="507" spans="1:12">
      <c r="A507" s="20" t="s">
        <v>2982</v>
      </c>
      <c r="B507" s="14">
        <v>8</v>
      </c>
      <c r="C507" s="14" t="s">
        <v>2983</v>
      </c>
      <c r="D507" s="14">
        <v>4</v>
      </c>
      <c r="E507" s="106" t="s">
        <v>2984</v>
      </c>
      <c r="F507" s="14" t="s">
        <v>3898</v>
      </c>
      <c r="G507" s="44" t="s">
        <v>3550</v>
      </c>
      <c r="H507" s="44" t="s">
        <v>5483</v>
      </c>
      <c r="I507" s="44" t="s">
        <v>3900</v>
      </c>
      <c r="J507" s="28" t="s">
        <v>5232</v>
      </c>
      <c r="L507" s="9"/>
    </row>
    <row r="508" spans="1:12">
      <c r="A508" s="20" t="s">
        <v>3173</v>
      </c>
      <c r="B508" s="14">
        <v>8</v>
      </c>
      <c r="C508" s="14" t="s">
        <v>3427</v>
      </c>
      <c r="D508" s="14">
        <v>3</v>
      </c>
      <c r="E508" s="110" t="s">
        <v>3174</v>
      </c>
      <c r="F508" s="14" t="s">
        <v>3175</v>
      </c>
      <c r="G508" s="44" t="s">
        <v>3550</v>
      </c>
      <c r="H508" s="44" t="s">
        <v>4209</v>
      </c>
      <c r="I508" s="44">
        <v>2</v>
      </c>
      <c r="J508" s="28" t="s">
        <v>3590</v>
      </c>
      <c r="L508" s="4"/>
    </row>
    <row r="509" spans="1:12">
      <c r="A509" s="20" t="s">
        <v>337</v>
      </c>
      <c r="B509" s="14">
        <v>8</v>
      </c>
      <c r="C509" s="14" t="s">
        <v>5751</v>
      </c>
      <c r="D509" s="14">
        <v>3</v>
      </c>
      <c r="E509" s="110" t="s">
        <v>2609</v>
      </c>
      <c r="F509" s="14" t="s">
        <v>3898</v>
      </c>
      <c r="G509" s="44" t="s">
        <v>3321</v>
      </c>
      <c r="H509" s="44" t="s">
        <v>338</v>
      </c>
      <c r="I509" s="44" t="s">
        <v>3900</v>
      </c>
      <c r="J509" s="28" t="s">
        <v>5232</v>
      </c>
      <c r="L509" s="9"/>
    </row>
    <row r="510" spans="1:12">
      <c r="A510" s="20" t="s">
        <v>2627</v>
      </c>
      <c r="B510" s="14">
        <v>8</v>
      </c>
      <c r="C510" s="14" t="s">
        <v>3427</v>
      </c>
      <c r="D510" s="14">
        <v>4</v>
      </c>
      <c r="E510" s="110" t="s">
        <v>2611</v>
      </c>
      <c r="F510" s="14" t="s">
        <v>2628</v>
      </c>
      <c r="G510" s="44" t="s">
        <v>3759</v>
      </c>
      <c r="H510" s="44" t="s">
        <v>3047</v>
      </c>
      <c r="I510" s="44" t="s">
        <v>3900</v>
      </c>
      <c r="J510" s="28" t="s">
        <v>3908</v>
      </c>
      <c r="L510" s="9"/>
    </row>
    <row r="511" spans="1:12">
      <c r="A511" s="20" t="s">
        <v>2685</v>
      </c>
      <c r="B511" s="14">
        <v>8</v>
      </c>
      <c r="C511" s="5" t="s">
        <v>3404</v>
      </c>
      <c r="D511" s="14">
        <v>3</v>
      </c>
      <c r="E511" s="110" t="s">
        <v>3328</v>
      </c>
      <c r="F511" s="14" t="s">
        <v>3898</v>
      </c>
      <c r="G511" s="111" t="s">
        <v>3550</v>
      </c>
      <c r="H511" s="111" t="s">
        <v>2686</v>
      </c>
      <c r="I511" s="44" t="s">
        <v>3900</v>
      </c>
      <c r="J511" s="28" t="s">
        <v>4369</v>
      </c>
      <c r="L511" s="9"/>
    </row>
    <row r="512" spans="1:12">
      <c r="A512" s="20" t="s">
        <v>2992</v>
      </c>
      <c r="B512" s="14">
        <v>8</v>
      </c>
      <c r="C512" s="14" t="s">
        <v>2606</v>
      </c>
      <c r="D512" s="14">
        <v>2</v>
      </c>
      <c r="E512" s="14" t="s">
        <v>3160</v>
      </c>
      <c r="F512" s="14" t="s">
        <v>3898</v>
      </c>
      <c r="G512" s="44" t="s">
        <v>3395</v>
      </c>
      <c r="H512" s="44" t="s">
        <v>3859</v>
      </c>
      <c r="I512" s="44" t="s">
        <v>3900</v>
      </c>
      <c r="J512" s="28" t="s">
        <v>4447</v>
      </c>
      <c r="L512" s="4"/>
    </row>
    <row r="513" spans="1:12">
      <c r="A513" s="20" t="s">
        <v>2392</v>
      </c>
      <c r="B513" s="14">
        <v>8</v>
      </c>
      <c r="C513" s="14" t="s">
        <v>3427</v>
      </c>
      <c r="D513" s="14">
        <v>3</v>
      </c>
      <c r="E513" s="110" t="s">
        <v>3174</v>
      </c>
      <c r="F513" s="14" t="s">
        <v>2530</v>
      </c>
      <c r="G513" s="44" t="s">
        <v>3538</v>
      </c>
      <c r="H513" s="44" t="s">
        <v>2531</v>
      </c>
      <c r="I513" s="44" t="s">
        <v>3900</v>
      </c>
      <c r="J513" s="28" t="s">
        <v>4369</v>
      </c>
      <c r="L513" s="4"/>
    </row>
    <row r="514" spans="1:12">
      <c r="A514" s="20" t="s">
        <v>3161</v>
      </c>
      <c r="B514" s="14">
        <v>8</v>
      </c>
      <c r="C514" s="14" t="s">
        <v>2626</v>
      </c>
      <c r="D514" s="14">
        <v>3</v>
      </c>
      <c r="E514" s="110" t="s">
        <v>3331</v>
      </c>
      <c r="F514" s="14" t="s">
        <v>3898</v>
      </c>
      <c r="G514" s="44" t="s">
        <v>3901</v>
      </c>
      <c r="H514" s="44" t="s">
        <v>3286</v>
      </c>
      <c r="I514" s="44" t="s">
        <v>3900</v>
      </c>
      <c r="J514" s="28" t="s">
        <v>4555</v>
      </c>
      <c r="L514" s="4"/>
    </row>
    <row r="515" spans="1:12">
      <c r="A515" s="20" t="s">
        <v>2988</v>
      </c>
      <c r="B515" s="14">
        <v>8</v>
      </c>
      <c r="C515" s="14" t="s">
        <v>2772</v>
      </c>
      <c r="D515" s="14">
        <v>3</v>
      </c>
      <c r="E515" s="110" t="s">
        <v>3526</v>
      </c>
      <c r="F515" s="14" t="s">
        <v>2989</v>
      </c>
      <c r="G515" s="44" t="s">
        <v>3460</v>
      </c>
      <c r="H515" s="44" t="s">
        <v>3047</v>
      </c>
      <c r="I515" s="44">
        <v>2</v>
      </c>
      <c r="J515" s="28" t="s">
        <v>3535</v>
      </c>
      <c r="L515" s="9"/>
    </row>
    <row r="516" spans="1:12">
      <c r="A516" s="20" t="s">
        <v>2805</v>
      </c>
      <c r="B516" s="14">
        <v>8</v>
      </c>
      <c r="C516" s="14" t="s">
        <v>3237</v>
      </c>
      <c r="D516" s="14">
        <v>3</v>
      </c>
      <c r="E516" s="110" t="s">
        <v>2800</v>
      </c>
      <c r="F516" s="14" t="s">
        <v>3548</v>
      </c>
      <c r="G516" s="44" t="s">
        <v>3937</v>
      </c>
      <c r="H516" s="44" t="s">
        <v>2806</v>
      </c>
      <c r="I516" s="44" t="s">
        <v>3900</v>
      </c>
      <c r="J516" s="28" t="s">
        <v>4773</v>
      </c>
      <c r="L516" s="9"/>
    </row>
    <row r="517" spans="1:12">
      <c r="A517" s="20" t="s">
        <v>2977</v>
      </c>
      <c r="B517" s="14">
        <v>8</v>
      </c>
      <c r="C517" s="14" t="s">
        <v>3237</v>
      </c>
      <c r="D517" s="14">
        <v>3</v>
      </c>
      <c r="E517" s="110" t="s">
        <v>3331</v>
      </c>
      <c r="F517" s="14" t="s">
        <v>3898</v>
      </c>
      <c r="G517" s="44" t="s">
        <v>3651</v>
      </c>
      <c r="H517" s="44" t="s">
        <v>2978</v>
      </c>
      <c r="I517" s="44" t="s">
        <v>3900</v>
      </c>
      <c r="J517" s="28" t="s">
        <v>4773</v>
      </c>
      <c r="L517" s="9"/>
    </row>
    <row r="518" spans="1:12">
      <c r="A518" s="20" t="s">
        <v>3344</v>
      </c>
      <c r="B518" s="14">
        <v>8</v>
      </c>
      <c r="C518" s="14" t="s">
        <v>3058</v>
      </c>
      <c r="D518" s="14">
        <v>1</v>
      </c>
      <c r="E518" s="14" t="s">
        <v>3345</v>
      </c>
      <c r="F518" s="14" t="s">
        <v>3914</v>
      </c>
      <c r="G518" s="44" t="s">
        <v>3843</v>
      </c>
      <c r="H518" s="44" t="s">
        <v>2981</v>
      </c>
      <c r="I518" s="44" t="s">
        <v>3916</v>
      </c>
      <c r="J518" s="28" t="s">
        <v>4037</v>
      </c>
      <c r="L518" s="9"/>
    </row>
    <row r="519" spans="1:12">
      <c r="A519" s="20" t="s">
        <v>3348</v>
      </c>
      <c r="B519" s="14">
        <v>8</v>
      </c>
      <c r="C519" s="14" t="s">
        <v>2769</v>
      </c>
      <c r="D519" s="14">
        <v>2</v>
      </c>
      <c r="E519" s="110" t="s">
        <v>2957</v>
      </c>
      <c r="F519" s="14" t="s">
        <v>3473</v>
      </c>
      <c r="G519" s="44" t="s">
        <v>3753</v>
      </c>
      <c r="H519" s="44" t="s">
        <v>3859</v>
      </c>
      <c r="I519" s="44" t="s">
        <v>3916</v>
      </c>
      <c r="J519" s="28" t="s">
        <v>4555</v>
      </c>
      <c r="L519" s="4"/>
    </row>
    <row r="520" spans="1:12">
      <c r="A520" s="20" t="s">
        <v>2533</v>
      </c>
      <c r="B520" s="14">
        <v>8</v>
      </c>
      <c r="C520" s="14" t="s">
        <v>2970</v>
      </c>
      <c r="D520" s="14">
        <v>2</v>
      </c>
      <c r="E520" s="14" t="s">
        <v>3019</v>
      </c>
      <c r="F520" s="14" t="s">
        <v>3716</v>
      </c>
      <c r="G520" s="44" t="s">
        <v>3013</v>
      </c>
      <c r="H520" s="44" t="s">
        <v>3047</v>
      </c>
      <c r="I520" s="44" t="s">
        <v>3900</v>
      </c>
      <c r="J520" s="28" t="s">
        <v>4369</v>
      </c>
      <c r="L520" s="4"/>
    </row>
    <row r="521" spans="1:12">
      <c r="A521" s="20" t="s">
        <v>3350</v>
      </c>
      <c r="B521" s="14">
        <v>8</v>
      </c>
      <c r="C521" s="14" t="s">
        <v>3058</v>
      </c>
      <c r="D521" s="14">
        <v>2</v>
      </c>
      <c r="E521" s="14" t="s">
        <v>3171</v>
      </c>
      <c r="F521" s="14" t="s">
        <v>3573</v>
      </c>
      <c r="G521" s="44" t="s">
        <v>3730</v>
      </c>
      <c r="H521" s="44" t="s">
        <v>4209</v>
      </c>
      <c r="I521" s="44" t="s">
        <v>3916</v>
      </c>
      <c r="J521" s="28" t="s">
        <v>4037</v>
      </c>
      <c r="L521" s="9"/>
    </row>
    <row r="522" spans="1:12">
      <c r="A522" s="20" t="s">
        <v>2987</v>
      </c>
      <c r="B522" s="14">
        <v>8</v>
      </c>
      <c r="C522" s="14" t="s">
        <v>2772</v>
      </c>
      <c r="D522" s="14">
        <v>3</v>
      </c>
      <c r="E522" s="14" t="s">
        <v>3887</v>
      </c>
      <c r="F522" s="14" t="s">
        <v>3898</v>
      </c>
      <c r="G522" s="44" t="s">
        <v>3612</v>
      </c>
      <c r="H522" s="44" t="s">
        <v>4209</v>
      </c>
      <c r="I522" s="44" t="s">
        <v>3916</v>
      </c>
      <c r="J522" s="28" t="s">
        <v>3739</v>
      </c>
      <c r="L522" s="9"/>
    </row>
    <row r="523" spans="1:12">
      <c r="A523" s="20" t="s">
        <v>3172</v>
      </c>
      <c r="B523" s="14">
        <v>8</v>
      </c>
      <c r="C523" s="14" t="s">
        <v>2772</v>
      </c>
      <c r="D523" s="14">
        <v>3</v>
      </c>
      <c r="E523" s="110" t="s">
        <v>2957</v>
      </c>
      <c r="F523" s="14" t="s">
        <v>4000</v>
      </c>
      <c r="G523" s="44" t="s">
        <v>3612</v>
      </c>
      <c r="H523" s="44" t="s">
        <v>3488</v>
      </c>
      <c r="I523" s="44" t="s">
        <v>3916</v>
      </c>
      <c r="J523" s="28" t="s">
        <v>3535</v>
      </c>
    </row>
    <row r="524" spans="1:12">
      <c r="A524" s="20" t="s">
        <v>3176</v>
      </c>
      <c r="B524" s="14">
        <v>8</v>
      </c>
      <c r="C524" s="14" t="s">
        <v>2626</v>
      </c>
      <c r="D524" s="14">
        <v>2</v>
      </c>
      <c r="E524" s="14" t="s">
        <v>3431</v>
      </c>
      <c r="F524" s="14" t="s">
        <v>3716</v>
      </c>
      <c r="G524" s="44" t="s">
        <v>3177</v>
      </c>
      <c r="H524" s="44" t="s">
        <v>3286</v>
      </c>
      <c r="I524" s="44" t="s">
        <v>3900</v>
      </c>
      <c r="J524" s="28" t="s">
        <v>4555</v>
      </c>
    </row>
    <row r="525" spans="1:12">
      <c r="A525" s="20" t="s">
        <v>2335</v>
      </c>
      <c r="B525" s="14">
        <v>8</v>
      </c>
      <c r="C525" s="14" t="s">
        <v>3708</v>
      </c>
      <c r="D525" s="14">
        <v>2</v>
      </c>
      <c r="E525" s="106" t="s">
        <v>3749</v>
      </c>
      <c r="F525" s="14" t="s">
        <v>3898</v>
      </c>
      <c r="G525" s="44" t="s">
        <v>3163</v>
      </c>
      <c r="H525" s="44" t="s">
        <v>3343</v>
      </c>
      <c r="I525" s="44" t="s">
        <v>3900</v>
      </c>
      <c r="J525" s="28" t="s">
        <v>4773</v>
      </c>
    </row>
    <row r="526" spans="1:12">
      <c r="A526" s="20" t="s">
        <v>2839</v>
      </c>
      <c r="B526" s="14">
        <v>8</v>
      </c>
      <c r="C526" s="14" t="s">
        <v>3505</v>
      </c>
      <c r="D526" s="14">
        <v>2</v>
      </c>
      <c r="E526" s="110" t="s">
        <v>3233</v>
      </c>
      <c r="F526" s="14" t="s">
        <v>3898</v>
      </c>
      <c r="G526" s="111" t="s">
        <v>2840</v>
      </c>
      <c r="H526" s="111" t="s">
        <v>2682</v>
      </c>
      <c r="I526" s="44" t="s">
        <v>3900</v>
      </c>
      <c r="J526" s="28" t="s">
        <v>4555</v>
      </c>
    </row>
    <row r="527" spans="1:12">
      <c r="A527" s="20" t="s">
        <v>3178</v>
      </c>
      <c r="B527" s="14">
        <v>8</v>
      </c>
      <c r="C527" s="14" t="s">
        <v>3058</v>
      </c>
      <c r="D527" s="14">
        <v>4</v>
      </c>
      <c r="E527" s="110" t="s">
        <v>3305</v>
      </c>
      <c r="F527" s="14" t="s">
        <v>3947</v>
      </c>
      <c r="G527" s="44" t="s">
        <v>3321</v>
      </c>
      <c r="H527" s="44" t="s">
        <v>3746</v>
      </c>
      <c r="I527" s="44">
        <v>2</v>
      </c>
      <c r="J527" s="28" t="s">
        <v>4447</v>
      </c>
    </row>
    <row r="528" spans="1:12">
      <c r="A528" s="283" t="s">
        <v>474</v>
      </c>
      <c r="B528" s="284">
        <v>8</v>
      </c>
      <c r="C528" s="284" t="s">
        <v>5752</v>
      </c>
      <c r="D528" s="284">
        <v>1</v>
      </c>
      <c r="E528" s="285" t="s">
        <v>2609</v>
      </c>
      <c r="F528" s="284" t="s">
        <v>3898</v>
      </c>
      <c r="G528" s="286" t="s">
        <v>3843</v>
      </c>
      <c r="H528" s="289" t="s">
        <v>475</v>
      </c>
      <c r="I528" s="286" t="s">
        <v>3900</v>
      </c>
      <c r="J528" s="287" t="s">
        <v>5232</v>
      </c>
    </row>
    <row r="529" spans="1:10">
      <c r="A529" s="20" t="s">
        <v>339</v>
      </c>
      <c r="B529" s="14">
        <v>8</v>
      </c>
      <c r="C529" s="14" t="s">
        <v>5752</v>
      </c>
      <c r="D529" s="14">
        <v>1</v>
      </c>
      <c r="E529" s="110" t="s">
        <v>2609</v>
      </c>
      <c r="F529" s="14" t="s">
        <v>3898</v>
      </c>
      <c r="G529" s="44" t="s">
        <v>3736</v>
      </c>
      <c r="H529" s="44" t="s">
        <v>340</v>
      </c>
      <c r="I529" s="44" t="s">
        <v>3900</v>
      </c>
      <c r="J529" s="28" t="s">
        <v>5232</v>
      </c>
    </row>
    <row r="530" spans="1:10">
      <c r="A530" s="20" t="s">
        <v>2683</v>
      </c>
      <c r="B530" s="14">
        <v>8</v>
      </c>
      <c r="C530" s="14" t="s">
        <v>2606</v>
      </c>
      <c r="D530" s="14">
        <v>4</v>
      </c>
      <c r="E530" s="110" t="s">
        <v>2971</v>
      </c>
      <c r="F530" s="14" t="s">
        <v>3898</v>
      </c>
      <c r="G530" s="44" t="s">
        <v>3945</v>
      </c>
      <c r="H530" s="44" t="s">
        <v>2700</v>
      </c>
      <c r="I530" s="44" t="s">
        <v>3900</v>
      </c>
      <c r="J530" s="28" t="s">
        <v>4447</v>
      </c>
    </row>
    <row r="531" spans="1:10">
      <c r="A531" s="20" t="s">
        <v>2689</v>
      </c>
      <c r="B531" s="14">
        <v>8</v>
      </c>
      <c r="C531" s="14" t="s">
        <v>2690</v>
      </c>
      <c r="D531" s="14">
        <v>4</v>
      </c>
      <c r="E531" s="14" t="s">
        <v>3019</v>
      </c>
      <c r="F531" s="14" t="s">
        <v>3931</v>
      </c>
      <c r="G531" s="44" t="s">
        <v>3765</v>
      </c>
      <c r="H531" s="44" t="s">
        <v>2391</v>
      </c>
      <c r="I531" s="44">
        <v>7</v>
      </c>
      <c r="J531" s="28" t="s">
        <v>4447</v>
      </c>
    </row>
    <row r="532" spans="1:10">
      <c r="A532" s="20" t="s">
        <v>3349</v>
      </c>
      <c r="B532" s="14">
        <v>8</v>
      </c>
      <c r="C532" s="14" t="s">
        <v>2621</v>
      </c>
      <c r="D532" s="14">
        <v>2</v>
      </c>
      <c r="E532" s="14" t="s">
        <v>3019</v>
      </c>
      <c r="F532" s="14" t="s">
        <v>3376</v>
      </c>
      <c r="G532" s="44" t="s">
        <v>3736</v>
      </c>
      <c r="H532" s="44" t="s">
        <v>3351</v>
      </c>
      <c r="I532" s="44" t="s">
        <v>3790</v>
      </c>
      <c r="J532" s="28" t="s">
        <v>3739</v>
      </c>
    </row>
    <row r="533" spans="1:10">
      <c r="A533" s="20" t="s">
        <v>2532</v>
      </c>
      <c r="B533" s="14">
        <v>8</v>
      </c>
      <c r="C533" s="14" t="s">
        <v>2690</v>
      </c>
      <c r="D533" s="14">
        <v>5</v>
      </c>
      <c r="E533" s="110" t="s">
        <v>3331</v>
      </c>
      <c r="F533" s="14" t="s">
        <v>3898</v>
      </c>
      <c r="G533" s="44" t="s">
        <v>2874</v>
      </c>
      <c r="H533" s="44" t="s">
        <v>5483</v>
      </c>
      <c r="I533" s="44" t="s">
        <v>3900</v>
      </c>
      <c r="J533" s="28" t="s">
        <v>4447</v>
      </c>
    </row>
    <row r="534" spans="1:10">
      <c r="A534" s="20" t="s">
        <v>2687</v>
      </c>
      <c r="B534" s="14">
        <v>8</v>
      </c>
      <c r="C534" s="14" t="s">
        <v>2769</v>
      </c>
      <c r="D534" s="14">
        <v>3</v>
      </c>
      <c r="E534" s="14" t="s">
        <v>2688</v>
      </c>
      <c r="F534" s="14" t="s">
        <v>3898</v>
      </c>
      <c r="G534" s="44" t="s">
        <v>3753</v>
      </c>
      <c r="H534" s="44" t="s">
        <v>3286</v>
      </c>
      <c r="I534" s="44" t="s">
        <v>3916</v>
      </c>
      <c r="J534" s="28" t="s">
        <v>4555</v>
      </c>
    </row>
    <row r="535" spans="1:10">
      <c r="A535" s="20" t="s">
        <v>2684</v>
      </c>
      <c r="B535" s="14">
        <v>8</v>
      </c>
      <c r="C535" s="14" t="s">
        <v>3295</v>
      </c>
      <c r="D535" s="14">
        <v>2</v>
      </c>
      <c r="E535" s="106" t="s">
        <v>2800</v>
      </c>
      <c r="F535" s="14" t="s">
        <v>3548</v>
      </c>
      <c r="G535" s="44" t="s">
        <v>3911</v>
      </c>
      <c r="H535" s="44" t="s">
        <v>4209</v>
      </c>
      <c r="I535" s="44" t="s">
        <v>3900</v>
      </c>
      <c r="J535" s="28" t="s">
        <v>5232</v>
      </c>
    </row>
    <row r="536" spans="1:10">
      <c r="A536" s="20" t="s">
        <v>2534</v>
      </c>
      <c r="B536" s="14">
        <v>9</v>
      </c>
      <c r="C536" s="14" t="s">
        <v>2336</v>
      </c>
      <c r="D536" s="14">
        <v>3</v>
      </c>
      <c r="E536" s="14" t="s">
        <v>3345</v>
      </c>
      <c r="F536" s="14" t="s">
        <v>3716</v>
      </c>
      <c r="G536" s="44" t="s">
        <v>3906</v>
      </c>
      <c r="H536" s="44" t="s">
        <v>3859</v>
      </c>
      <c r="I536" s="44" t="s">
        <v>3900</v>
      </c>
      <c r="J536" s="28" t="s">
        <v>3890</v>
      </c>
    </row>
    <row r="537" spans="1:10">
      <c r="A537" s="20" t="s">
        <v>2536</v>
      </c>
      <c r="B537" s="14">
        <v>9</v>
      </c>
      <c r="C537" s="14" t="s">
        <v>2537</v>
      </c>
      <c r="D537" s="14">
        <v>5</v>
      </c>
      <c r="E537" s="14" t="s">
        <v>2538</v>
      </c>
      <c r="F537" s="14" t="s">
        <v>3931</v>
      </c>
      <c r="G537" s="44" t="s">
        <v>3550</v>
      </c>
      <c r="H537" s="44" t="s">
        <v>2539</v>
      </c>
      <c r="I537" s="44">
        <v>6</v>
      </c>
      <c r="J537" s="28" t="s">
        <v>5232</v>
      </c>
    </row>
    <row r="538" spans="1:10">
      <c r="A538" s="20" t="s">
        <v>2547</v>
      </c>
      <c r="B538" s="14">
        <v>9</v>
      </c>
      <c r="C538" s="5" t="s">
        <v>3912</v>
      </c>
      <c r="D538" s="14">
        <v>3</v>
      </c>
      <c r="E538" s="106" t="s">
        <v>2800</v>
      </c>
      <c r="F538" s="14" t="s">
        <v>3898</v>
      </c>
      <c r="G538" s="44" t="s">
        <v>2548</v>
      </c>
      <c r="H538" s="44" t="s">
        <v>2549</v>
      </c>
      <c r="I538" s="44" t="s">
        <v>3900</v>
      </c>
      <c r="J538" s="28" t="s">
        <v>4773</v>
      </c>
    </row>
    <row r="539" spans="1:10">
      <c r="A539" s="20" t="s">
        <v>2721</v>
      </c>
      <c r="B539" s="14">
        <v>9</v>
      </c>
      <c r="C539" s="14" t="s">
        <v>2722</v>
      </c>
      <c r="D539" s="14">
        <v>2</v>
      </c>
      <c r="E539" s="110" t="s">
        <v>2723</v>
      </c>
      <c r="F539" s="14" t="s">
        <v>3914</v>
      </c>
      <c r="G539" s="44" t="s">
        <v>2878</v>
      </c>
      <c r="H539" s="44" t="s">
        <v>2725</v>
      </c>
      <c r="I539" s="44" t="s">
        <v>3900</v>
      </c>
      <c r="J539" s="28" t="s">
        <v>4555</v>
      </c>
    </row>
    <row r="540" spans="1:10">
      <c r="A540" s="20" t="s">
        <v>2550</v>
      </c>
      <c r="B540" s="14">
        <v>9</v>
      </c>
      <c r="C540" s="14" t="s">
        <v>2553</v>
      </c>
      <c r="D540" s="14">
        <v>3</v>
      </c>
      <c r="E540" s="14" t="s">
        <v>2552</v>
      </c>
      <c r="F540" s="14" t="s">
        <v>3376</v>
      </c>
      <c r="G540" s="44" t="s">
        <v>3612</v>
      </c>
      <c r="H540" s="44" t="s">
        <v>3859</v>
      </c>
      <c r="I540" s="44" t="s">
        <v>2323</v>
      </c>
      <c r="J540" s="28" t="s">
        <v>3537</v>
      </c>
    </row>
    <row r="541" spans="1:10">
      <c r="A541" s="20" t="s">
        <v>2726</v>
      </c>
      <c r="B541" s="14">
        <v>9</v>
      </c>
      <c r="C541" s="14" t="s">
        <v>2537</v>
      </c>
      <c r="D541" s="14">
        <v>4</v>
      </c>
      <c r="E541" s="14" t="s">
        <v>2727</v>
      </c>
      <c r="F541" s="14" t="s">
        <v>3716</v>
      </c>
      <c r="G541" s="44" t="s">
        <v>3736</v>
      </c>
      <c r="H541" s="44" t="s">
        <v>2728</v>
      </c>
      <c r="I541" s="44">
        <v>4</v>
      </c>
      <c r="J541" s="28" t="s">
        <v>5232</v>
      </c>
    </row>
    <row r="542" spans="1:10">
      <c r="A542" s="20" t="s">
        <v>2541</v>
      </c>
      <c r="B542" s="14">
        <v>9</v>
      </c>
      <c r="C542" s="14" t="s">
        <v>2542</v>
      </c>
      <c r="D542" s="14" t="s">
        <v>3884</v>
      </c>
      <c r="E542" s="14" t="s">
        <v>2543</v>
      </c>
      <c r="F542" s="14" t="s">
        <v>3898</v>
      </c>
      <c r="G542" s="44" t="s">
        <v>2545</v>
      </c>
      <c r="H542" s="44" t="s">
        <v>2337</v>
      </c>
      <c r="I542" s="44" t="s">
        <v>3900</v>
      </c>
      <c r="J542" s="28" t="s">
        <v>4447</v>
      </c>
    </row>
    <row r="543" spans="1:10">
      <c r="A543" s="20" t="s">
        <v>2718</v>
      </c>
      <c r="B543" s="14">
        <v>9</v>
      </c>
      <c r="C543" s="14" t="s">
        <v>2542</v>
      </c>
      <c r="D543" s="14">
        <v>6</v>
      </c>
      <c r="E543" s="14" t="s">
        <v>2720</v>
      </c>
      <c r="F543" s="14" t="s">
        <v>3898</v>
      </c>
      <c r="G543" s="44" t="s">
        <v>3420</v>
      </c>
      <c r="H543" s="44" t="s">
        <v>3859</v>
      </c>
      <c r="I543" s="44" t="s">
        <v>3790</v>
      </c>
      <c r="J543" s="28" t="s">
        <v>4037</v>
      </c>
    </row>
    <row r="544" spans="1:10">
      <c r="A544" s="20" t="s">
        <v>2889</v>
      </c>
      <c r="B544" s="14">
        <v>9</v>
      </c>
      <c r="C544" s="14" t="s">
        <v>2690</v>
      </c>
      <c r="D544" s="14">
        <v>2</v>
      </c>
      <c r="E544" s="110" t="s">
        <v>2957</v>
      </c>
      <c r="F544" s="14" t="s">
        <v>3716</v>
      </c>
      <c r="G544" s="44" t="s">
        <v>3736</v>
      </c>
      <c r="H544" s="44" t="s">
        <v>5483</v>
      </c>
      <c r="I544" s="44" t="s">
        <v>3790</v>
      </c>
      <c r="J544" s="28" t="s">
        <v>4447</v>
      </c>
    </row>
    <row r="545" spans="1:10">
      <c r="A545" s="20" t="s">
        <v>2540</v>
      </c>
      <c r="B545" s="14">
        <v>9</v>
      </c>
      <c r="C545" s="14" t="s">
        <v>2970</v>
      </c>
      <c r="D545" s="14">
        <v>3</v>
      </c>
      <c r="E545" s="14" t="s">
        <v>3262</v>
      </c>
      <c r="F545" s="14" t="s">
        <v>3618</v>
      </c>
      <c r="G545" s="44" t="s">
        <v>3843</v>
      </c>
      <c r="H545" s="44" t="s">
        <v>3706</v>
      </c>
      <c r="I545" s="44" t="s">
        <v>3706</v>
      </c>
      <c r="J545" s="28" t="s">
        <v>4369</v>
      </c>
    </row>
    <row r="546" spans="1:10">
      <c r="A546" s="20" t="s">
        <v>2896</v>
      </c>
      <c r="B546" s="14">
        <v>9</v>
      </c>
      <c r="C546" s="14" t="s">
        <v>2553</v>
      </c>
      <c r="D546" s="14">
        <v>3</v>
      </c>
      <c r="E546" s="14" t="s">
        <v>2552</v>
      </c>
      <c r="F546" s="14" t="s">
        <v>3573</v>
      </c>
      <c r="G546" s="44" t="s">
        <v>3736</v>
      </c>
      <c r="H546" s="44" t="s">
        <v>3047</v>
      </c>
      <c r="I546" s="44" t="s">
        <v>3900</v>
      </c>
      <c r="J546" s="28" t="s">
        <v>3535</v>
      </c>
    </row>
    <row r="547" spans="1:10">
      <c r="A547" s="20" t="s">
        <v>2890</v>
      </c>
      <c r="B547" s="14">
        <v>9</v>
      </c>
      <c r="C547" s="14" t="s">
        <v>2336</v>
      </c>
      <c r="D547" s="14">
        <v>4</v>
      </c>
      <c r="E547" s="14" t="s">
        <v>2891</v>
      </c>
      <c r="F547" s="14" t="s">
        <v>3716</v>
      </c>
      <c r="G547" s="44" t="s">
        <v>3550</v>
      </c>
      <c r="H547" s="44" t="s">
        <v>3286</v>
      </c>
      <c r="I547" s="44" t="s">
        <v>3900</v>
      </c>
      <c r="J547" s="28" t="s">
        <v>3890</v>
      </c>
    </row>
    <row r="548" spans="1:10">
      <c r="A548" s="20" t="s">
        <v>2715</v>
      </c>
      <c r="B548" s="14">
        <v>9</v>
      </c>
      <c r="C548" s="14" t="s">
        <v>3142</v>
      </c>
      <c r="D548" s="110" t="s">
        <v>2716</v>
      </c>
      <c r="E548" s="14" t="s">
        <v>2717</v>
      </c>
      <c r="F548" s="14" t="s">
        <v>3376</v>
      </c>
      <c r="G548" s="44" t="s">
        <v>3901</v>
      </c>
      <c r="H548" s="44" t="s">
        <v>4212</v>
      </c>
      <c r="I548" s="44" t="s">
        <v>3900</v>
      </c>
      <c r="J548" s="28" t="s">
        <v>2338</v>
      </c>
    </row>
    <row r="549" spans="1:10">
      <c r="A549" s="20" t="s">
        <v>2906</v>
      </c>
      <c r="B549" s="14">
        <v>9</v>
      </c>
      <c r="C549" s="14" t="s">
        <v>2908</v>
      </c>
      <c r="D549" s="14">
        <v>4</v>
      </c>
      <c r="E549" s="14" t="s">
        <v>3262</v>
      </c>
      <c r="F549" s="14" t="s">
        <v>3573</v>
      </c>
      <c r="G549" s="44" t="s">
        <v>3612</v>
      </c>
      <c r="H549" s="44" t="s">
        <v>2909</v>
      </c>
      <c r="I549" s="44">
        <v>2</v>
      </c>
      <c r="J549" s="28" t="s">
        <v>3535</v>
      </c>
    </row>
    <row r="550" spans="1:10">
      <c r="A550" s="20" t="s">
        <v>2736</v>
      </c>
      <c r="B550" s="14">
        <v>9</v>
      </c>
      <c r="C550" s="14" t="s">
        <v>3199</v>
      </c>
      <c r="D550" s="14">
        <v>3</v>
      </c>
      <c r="E550" s="106" t="s">
        <v>2737</v>
      </c>
      <c r="F550" s="14" t="s">
        <v>3898</v>
      </c>
      <c r="G550" s="44" t="s">
        <v>3736</v>
      </c>
      <c r="H550" s="44" t="s">
        <v>2738</v>
      </c>
      <c r="I550" s="44">
        <v>12</v>
      </c>
      <c r="J550" s="28" t="s">
        <v>4773</v>
      </c>
    </row>
    <row r="551" spans="1:10">
      <c r="A551" s="20" t="s">
        <v>2901</v>
      </c>
      <c r="B551" s="14">
        <v>9</v>
      </c>
      <c r="C551" s="14" t="s">
        <v>2722</v>
      </c>
      <c r="D551" s="14">
        <v>4</v>
      </c>
      <c r="E551" s="110" t="s">
        <v>2778</v>
      </c>
      <c r="F551" s="14" t="s">
        <v>3947</v>
      </c>
      <c r="G551" s="44" t="s">
        <v>3948</v>
      </c>
      <c r="H551" s="44" t="s">
        <v>2902</v>
      </c>
      <c r="I551" s="44">
        <v>8</v>
      </c>
      <c r="J551" s="28" t="s">
        <v>4555</v>
      </c>
    </row>
    <row r="552" spans="1:10">
      <c r="A552" s="20" t="s">
        <v>2886</v>
      </c>
      <c r="B552" s="14">
        <v>9</v>
      </c>
      <c r="C552" s="14" t="s">
        <v>2470</v>
      </c>
      <c r="D552" s="14">
        <v>5</v>
      </c>
      <c r="E552" s="14" t="s">
        <v>3221</v>
      </c>
      <c r="F552" s="14" t="s">
        <v>3898</v>
      </c>
      <c r="G552" s="44" t="s">
        <v>3321</v>
      </c>
      <c r="H552" s="44" t="s">
        <v>2888</v>
      </c>
      <c r="I552" s="44" t="s">
        <v>3900</v>
      </c>
      <c r="J552" s="28" t="s">
        <v>4369</v>
      </c>
    </row>
    <row r="553" spans="1:10">
      <c r="A553" s="20" t="s">
        <v>2897</v>
      </c>
      <c r="B553" s="14">
        <v>9</v>
      </c>
      <c r="C553" s="14" t="s">
        <v>2983</v>
      </c>
      <c r="D553" s="14">
        <v>7</v>
      </c>
      <c r="E553" s="106" t="s">
        <v>2898</v>
      </c>
      <c r="F553" s="14" t="s">
        <v>3898</v>
      </c>
      <c r="G553" s="44" t="s">
        <v>2899</v>
      </c>
      <c r="H553" s="44" t="s">
        <v>2900</v>
      </c>
      <c r="I553" s="44" t="s">
        <v>3900</v>
      </c>
      <c r="J553" s="28" t="s">
        <v>4369</v>
      </c>
    </row>
    <row r="554" spans="1:10">
      <c r="A554" s="20" t="s">
        <v>3257</v>
      </c>
      <c r="B554" s="14">
        <v>9</v>
      </c>
      <c r="C554" s="14" t="s">
        <v>2908</v>
      </c>
      <c r="D554" s="14">
        <v>5</v>
      </c>
      <c r="E554" s="14" t="s">
        <v>3258</v>
      </c>
      <c r="F554" s="14" t="s">
        <v>4000</v>
      </c>
      <c r="G554" s="44" t="s">
        <v>3259</v>
      </c>
      <c r="H554" s="44" t="s">
        <v>2909</v>
      </c>
      <c r="I554" s="44" t="s">
        <v>3900</v>
      </c>
      <c r="J554" s="28" t="s">
        <v>3535</v>
      </c>
    </row>
    <row r="555" spans="1:10">
      <c r="A555" s="20" t="s">
        <v>3076</v>
      </c>
      <c r="B555" s="14">
        <v>9</v>
      </c>
      <c r="C555" s="14" t="s">
        <v>2690</v>
      </c>
      <c r="D555" s="14">
        <v>3</v>
      </c>
      <c r="E555" s="14" t="s">
        <v>2898</v>
      </c>
      <c r="F555" s="14" t="s">
        <v>3898</v>
      </c>
      <c r="G555" s="44" t="s">
        <v>3612</v>
      </c>
      <c r="H555" s="44" t="s">
        <v>3286</v>
      </c>
      <c r="I555" s="44" t="s">
        <v>3900</v>
      </c>
      <c r="J555" s="28" t="s">
        <v>4447</v>
      </c>
    </row>
    <row r="556" spans="1:10">
      <c r="A556" s="20" t="s">
        <v>3253</v>
      </c>
      <c r="B556" s="14">
        <v>9</v>
      </c>
      <c r="C556" s="14" t="s">
        <v>2336</v>
      </c>
      <c r="D556" s="14">
        <v>5</v>
      </c>
      <c r="E556" s="14" t="s">
        <v>2891</v>
      </c>
      <c r="F556" s="14" t="s">
        <v>3473</v>
      </c>
      <c r="G556" s="44" t="s">
        <v>3884</v>
      </c>
      <c r="H556" s="44" t="s">
        <v>3488</v>
      </c>
      <c r="I556" s="44" t="s">
        <v>3900</v>
      </c>
      <c r="J556" s="28" t="s">
        <v>3890</v>
      </c>
    </row>
    <row r="557" spans="1:10">
      <c r="A557" s="20" t="s">
        <v>3073</v>
      </c>
      <c r="B557" s="14">
        <v>9</v>
      </c>
      <c r="C557" s="14" t="s">
        <v>2339</v>
      </c>
      <c r="D557" s="14">
        <v>5</v>
      </c>
      <c r="E557" s="106" t="s">
        <v>3019</v>
      </c>
      <c r="F557" s="14" t="s">
        <v>3075</v>
      </c>
      <c r="G557" s="44" t="s">
        <v>3612</v>
      </c>
      <c r="H557" s="44" t="s">
        <v>3286</v>
      </c>
      <c r="I557" s="44" t="s">
        <v>3900</v>
      </c>
      <c r="J557" s="28" t="s">
        <v>4369</v>
      </c>
    </row>
    <row r="558" spans="1:10">
      <c r="A558" s="20" t="s">
        <v>2903</v>
      </c>
      <c r="B558" s="14">
        <v>9</v>
      </c>
      <c r="C558" s="14" t="s">
        <v>2340</v>
      </c>
      <c r="D558" s="14">
        <v>6</v>
      </c>
      <c r="E558" s="14" t="s">
        <v>2905</v>
      </c>
      <c r="F558" s="14" t="s">
        <v>3898</v>
      </c>
      <c r="G558" s="44" t="s">
        <v>3736</v>
      </c>
      <c r="H558" s="44" t="s">
        <v>5483</v>
      </c>
      <c r="I558" s="44" t="s">
        <v>3900</v>
      </c>
      <c r="J558" s="28" t="s">
        <v>4946</v>
      </c>
    </row>
    <row r="559" spans="1:10">
      <c r="A559" s="20" t="s">
        <v>3260</v>
      </c>
      <c r="B559" s="14">
        <v>9</v>
      </c>
      <c r="C559" s="14" t="s">
        <v>2339</v>
      </c>
      <c r="D559" s="14">
        <v>4</v>
      </c>
      <c r="E559" s="14" t="s">
        <v>3083</v>
      </c>
      <c r="F559" s="14" t="s">
        <v>3898</v>
      </c>
      <c r="G559" s="44" t="s">
        <v>3467</v>
      </c>
      <c r="H559" s="44" t="s">
        <v>2888</v>
      </c>
      <c r="I559" s="44" t="s">
        <v>3900</v>
      </c>
      <c r="J559" s="28" t="s">
        <v>4369</v>
      </c>
    </row>
    <row r="560" spans="1:10">
      <c r="A560" s="20" t="s">
        <v>3085</v>
      </c>
      <c r="B560" s="14">
        <v>9</v>
      </c>
      <c r="C560" s="14" t="s">
        <v>2542</v>
      </c>
      <c r="D560" s="14">
        <v>2</v>
      </c>
      <c r="E560" s="14" t="s">
        <v>3086</v>
      </c>
      <c r="F560" s="14" t="s">
        <v>3898</v>
      </c>
      <c r="G560" s="44" t="s">
        <v>3843</v>
      </c>
      <c r="H560" s="44" t="s">
        <v>3915</v>
      </c>
      <c r="I560" s="44" t="s">
        <v>3900</v>
      </c>
      <c r="J560" s="28" t="s">
        <v>4037</v>
      </c>
    </row>
    <row r="561" spans="1:10">
      <c r="A561" s="20" t="s">
        <v>3089</v>
      </c>
      <c r="B561" s="14">
        <v>9</v>
      </c>
      <c r="C561" s="14" t="s">
        <v>2339</v>
      </c>
      <c r="D561" s="14">
        <v>5</v>
      </c>
      <c r="E561" s="14" t="s">
        <v>3083</v>
      </c>
      <c r="F561" s="14" t="s">
        <v>3618</v>
      </c>
      <c r="G561" s="44" t="s">
        <v>3538</v>
      </c>
      <c r="H561" s="44" t="s">
        <v>3687</v>
      </c>
      <c r="I561" s="44" t="s">
        <v>3900</v>
      </c>
      <c r="J561" s="28" t="s">
        <v>4369</v>
      </c>
    </row>
    <row r="562" spans="1:10">
      <c r="A562" s="20" t="s">
        <v>3090</v>
      </c>
      <c r="B562" s="14">
        <v>9</v>
      </c>
      <c r="C562" s="14" t="s">
        <v>3091</v>
      </c>
      <c r="D562" s="14">
        <v>3</v>
      </c>
      <c r="E562" s="14" t="s">
        <v>3353</v>
      </c>
      <c r="F562" s="14" t="s">
        <v>3854</v>
      </c>
      <c r="G562" s="44" t="s">
        <v>3753</v>
      </c>
      <c r="H562" s="44" t="s">
        <v>3859</v>
      </c>
      <c r="I562" s="44">
        <v>6</v>
      </c>
      <c r="J562" s="28" t="s">
        <v>4447</v>
      </c>
    </row>
    <row r="563" spans="1:10">
      <c r="A563" s="20" t="s">
        <v>3254</v>
      </c>
      <c r="B563" s="14">
        <v>9</v>
      </c>
      <c r="C563" s="14" t="s">
        <v>3708</v>
      </c>
      <c r="D563" s="14">
        <v>2</v>
      </c>
      <c r="E563" s="106" t="s">
        <v>2868</v>
      </c>
      <c r="F563" s="14" t="s">
        <v>3931</v>
      </c>
      <c r="G563" s="44" t="s">
        <v>2840</v>
      </c>
      <c r="H563" s="44" t="s">
        <v>3255</v>
      </c>
      <c r="I563" s="44">
        <v>12</v>
      </c>
      <c r="J563" s="28" t="s">
        <v>4773</v>
      </c>
    </row>
    <row r="564" spans="1:10">
      <c r="A564" s="20" t="s">
        <v>2762</v>
      </c>
      <c r="B564" s="14">
        <v>9</v>
      </c>
      <c r="C564" s="14" t="s">
        <v>2341</v>
      </c>
      <c r="D564" s="14">
        <v>1</v>
      </c>
      <c r="E564" s="14" t="s">
        <v>2764</v>
      </c>
      <c r="F564" s="14" t="s">
        <v>4000</v>
      </c>
      <c r="G564" s="44" t="s">
        <v>3736</v>
      </c>
      <c r="H564" s="44" t="s">
        <v>5483</v>
      </c>
      <c r="I564" s="44" t="s">
        <v>3900</v>
      </c>
      <c r="J564" s="28" t="s">
        <v>4447</v>
      </c>
    </row>
    <row r="565" spans="1:10">
      <c r="A565" s="20" t="s">
        <v>3092</v>
      </c>
      <c r="B565" s="14">
        <v>9</v>
      </c>
      <c r="C565" s="14" t="s">
        <v>2340</v>
      </c>
      <c r="D565" s="14">
        <v>3</v>
      </c>
      <c r="E565" s="110" t="s">
        <v>3153</v>
      </c>
      <c r="F565" s="14" t="s">
        <v>3898</v>
      </c>
      <c r="G565" s="44" t="s">
        <v>3758</v>
      </c>
      <c r="H565" s="44" t="s">
        <v>2761</v>
      </c>
      <c r="I565" s="44" t="s">
        <v>3900</v>
      </c>
      <c r="J565" s="28" t="s">
        <v>3890</v>
      </c>
    </row>
    <row r="566" spans="1:10">
      <c r="A566" s="20" t="s">
        <v>3087</v>
      </c>
      <c r="B566" s="14">
        <v>9</v>
      </c>
      <c r="C566" s="14" t="s">
        <v>2339</v>
      </c>
      <c r="D566" s="14">
        <v>3</v>
      </c>
      <c r="E566" s="14" t="s">
        <v>3083</v>
      </c>
      <c r="F566" s="14" t="s">
        <v>2959</v>
      </c>
      <c r="G566" s="44" t="s">
        <v>3378</v>
      </c>
      <c r="H566" s="44" t="s">
        <v>3687</v>
      </c>
      <c r="I566" s="44">
        <v>2</v>
      </c>
      <c r="J566" s="28" t="s">
        <v>3908</v>
      </c>
    </row>
    <row r="567" spans="1:10">
      <c r="A567" s="20" t="s">
        <v>2589</v>
      </c>
      <c r="B567" s="14">
        <v>9</v>
      </c>
      <c r="C567" s="14" t="s">
        <v>3091</v>
      </c>
      <c r="D567" s="14">
        <v>4</v>
      </c>
      <c r="E567" s="14" t="s">
        <v>3353</v>
      </c>
      <c r="F567" s="14" t="s">
        <v>4000</v>
      </c>
      <c r="G567" s="44" t="s">
        <v>3736</v>
      </c>
      <c r="H567" s="44" t="s">
        <v>2888</v>
      </c>
      <c r="I567" s="44" t="s">
        <v>3900</v>
      </c>
      <c r="J567" s="28" t="s">
        <v>4447</v>
      </c>
    </row>
    <row r="568" spans="1:10">
      <c r="A568" s="20" t="s">
        <v>2590</v>
      </c>
      <c r="B568" s="14">
        <v>9</v>
      </c>
      <c r="C568" s="14" t="s">
        <v>2341</v>
      </c>
      <c r="D568" s="14">
        <v>4</v>
      </c>
      <c r="E568" s="14" t="s">
        <v>3345</v>
      </c>
      <c r="F568" s="14" t="s">
        <v>3898</v>
      </c>
      <c r="G568" s="44" t="s">
        <v>3420</v>
      </c>
      <c r="H568" s="44" t="s">
        <v>5483</v>
      </c>
      <c r="I568" s="44" t="s">
        <v>3790</v>
      </c>
      <c r="J568" s="28" t="s">
        <v>4447</v>
      </c>
    </row>
    <row r="569" spans="1:10">
      <c r="A569" s="20" t="s">
        <v>3088</v>
      </c>
      <c r="B569" s="14">
        <v>9</v>
      </c>
      <c r="C569" s="14" t="s">
        <v>2908</v>
      </c>
      <c r="D569" s="14">
        <v>4</v>
      </c>
      <c r="E569" s="14" t="s">
        <v>3262</v>
      </c>
      <c r="F569" s="14" t="s">
        <v>3573</v>
      </c>
      <c r="G569" s="44" t="s">
        <v>3612</v>
      </c>
      <c r="H569" s="44" t="s">
        <v>3286</v>
      </c>
      <c r="I569" s="44">
        <v>2</v>
      </c>
      <c r="J569" s="28" t="s">
        <v>5232</v>
      </c>
    </row>
    <row r="570" spans="1:10">
      <c r="A570" s="20" t="s">
        <v>2588</v>
      </c>
      <c r="B570" s="14">
        <v>9</v>
      </c>
      <c r="C570" s="14" t="s">
        <v>2722</v>
      </c>
      <c r="D570" s="14" t="s">
        <v>3884</v>
      </c>
      <c r="E570" s="110" t="s">
        <v>2778</v>
      </c>
      <c r="F570" s="14" t="s">
        <v>3716</v>
      </c>
      <c r="G570" s="44" t="s">
        <v>3736</v>
      </c>
      <c r="H570" s="44" t="s">
        <v>3047</v>
      </c>
      <c r="I570" s="44" t="s">
        <v>3900</v>
      </c>
      <c r="J570" s="28" t="s">
        <v>4555</v>
      </c>
    </row>
    <row r="571" spans="1:10">
      <c r="A571" s="20" t="s">
        <v>2599</v>
      </c>
      <c r="B571" s="14">
        <v>10</v>
      </c>
      <c r="C571" s="14" t="s">
        <v>2339</v>
      </c>
      <c r="D571" s="14">
        <v>5</v>
      </c>
      <c r="E571" s="14" t="s">
        <v>2600</v>
      </c>
      <c r="F571" s="14" t="s">
        <v>3914</v>
      </c>
      <c r="G571" s="44" t="s">
        <v>3550</v>
      </c>
      <c r="H571" s="44" t="s">
        <v>2601</v>
      </c>
      <c r="I571" s="44" t="s">
        <v>3900</v>
      </c>
      <c r="J571" s="28" t="s">
        <v>4369</v>
      </c>
    </row>
    <row r="572" spans="1:10">
      <c r="A572" s="20" t="s">
        <v>2595</v>
      </c>
      <c r="B572" s="14">
        <v>10</v>
      </c>
      <c r="C572" s="14" t="s">
        <v>2596</v>
      </c>
      <c r="D572" s="14" t="s">
        <v>3884</v>
      </c>
      <c r="E572" s="14" t="s">
        <v>2597</v>
      </c>
      <c r="F572" s="14" t="s">
        <v>3898</v>
      </c>
      <c r="G572" s="44" t="s">
        <v>2598</v>
      </c>
      <c r="H572" s="44" t="s">
        <v>3047</v>
      </c>
      <c r="I572" s="44">
        <v>2</v>
      </c>
      <c r="J572" s="28" t="s">
        <v>5232</v>
      </c>
    </row>
    <row r="573" spans="1:10">
      <c r="A573" s="20" t="s">
        <v>2602</v>
      </c>
      <c r="B573" s="14">
        <v>10</v>
      </c>
      <c r="C573" s="14" t="s">
        <v>3564</v>
      </c>
      <c r="D573" s="14">
        <v>3</v>
      </c>
      <c r="E573" s="110" t="s">
        <v>3667</v>
      </c>
      <c r="F573" s="14" t="s">
        <v>3898</v>
      </c>
      <c r="G573" s="44" t="s">
        <v>2699</v>
      </c>
      <c r="H573" s="44" t="s">
        <v>2455</v>
      </c>
      <c r="I573" s="44" t="s">
        <v>3900</v>
      </c>
      <c r="J573" s="28" t="s">
        <v>4447</v>
      </c>
    </row>
    <row r="574" spans="1:10">
      <c r="A574" s="20" t="s">
        <v>2462</v>
      </c>
      <c r="B574" s="14">
        <v>10</v>
      </c>
      <c r="C574" s="14" t="s">
        <v>2342</v>
      </c>
      <c r="D574" s="14">
        <v>4</v>
      </c>
      <c r="E574" s="14" t="s">
        <v>3353</v>
      </c>
      <c r="F574" s="14" t="s">
        <v>3914</v>
      </c>
      <c r="G574" s="44" t="s">
        <v>3736</v>
      </c>
      <c r="H574" s="44" t="s">
        <v>2888</v>
      </c>
      <c r="I574" s="44" t="s">
        <v>3900</v>
      </c>
      <c r="J574" s="28" t="s">
        <v>4369</v>
      </c>
    </row>
    <row r="575" spans="1:10">
      <c r="A575" s="20" t="s">
        <v>2464</v>
      </c>
      <c r="B575" s="14">
        <v>10</v>
      </c>
      <c r="C575" s="14" t="s">
        <v>3091</v>
      </c>
      <c r="D575" s="14">
        <v>5</v>
      </c>
      <c r="E575" s="14" t="s">
        <v>2465</v>
      </c>
      <c r="F575" s="14" t="s">
        <v>3200</v>
      </c>
      <c r="G575" s="44" t="s">
        <v>3736</v>
      </c>
      <c r="H575" s="44" t="s">
        <v>3351</v>
      </c>
      <c r="I575" s="44" t="s">
        <v>3900</v>
      </c>
      <c r="J575" s="28" t="s">
        <v>4447</v>
      </c>
    </row>
    <row r="576" spans="1:10">
      <c r="A576" s="20" t="s">
        <v>2459</v>
      </c>
      <c r="B576" s="14">
        <v>10</v>
      </c>
      <c r="C576" s="14" t="s">
        <v>5535</v>
      </c>
      <c r="D576" s="14" t="s">
        <v>3068</v>
      </c>
      <c r="E576" s="14" t="s">
        <v>2460</v>
      </c>
      <c r="F576" s="14" t="s">
        <v>3898</v>
      </c>
      <c r="G576" s="44" t="s">
        <v>3432</v>
      </c>
      <c r="H576" s="44" t="s">
        <v>2461</v>
      </c>
      <c r="I576" s="44">
        <v>10</v>
      </c>
      <c r="J576" s="28" t="s">
        <v>3535</v>
      </c>
    </row>
    <row r="577" spans="1:10">
      <c r="A577" s="20" t="s">
        <v>2594</v>
      </c>
      <c r="B577" s="14">
        <v>10</v>
      </c>
      <c r="C577" s="14" t="s">
        <v>2341</v>
      </c>
      <c r="D577" s="14">
        <v>3</v>
      </c>
      <c r="E577" s="14" t="s">
        <v>2774</v>
      </c>
      <c r="F577" s="14" t="s">
        <v>4000</v>
      </c>
      <c r="G577" s="44" t="s">
        <v>3736</v>
      </c>
      <c r="H577" s="44" t="s">
        <v>3286</v>
      </c>
      <c r="I577" s="44" t="s">
        <v>3790</v>
      </c>
      <c r="J577" s="28" t="s">
        <v>4037</v>
      </c>
    </row>
    <row r="578" spans="1:10">
      <c r="A578" s="20" t="s">
        <v>2456</v>
      </c>
      <c r="B578" s="14">
        <v>10</v>
      </c>
      <c r="C578" s="14" t="s">
        <v>2340</v>
      </c>
      <c r="D578" s="14">
        <v>3</v>
      </c>
      <c r="E578" s="14" t="s">
        <v>2980</v>
      </c>
      <c r="F578" s="14" t="s">
        <v>3898</v>
      </c>
      <c r="G578" s="44" t="s">
        <v>2899</v>
      </c>
      <c r="H578" s="44" t="s">
        <v>3286</v>
      </c>
      <c r="I578" s="44" t="s">
        <v>3900</v>
      </c>
      <c r="J578" s="28" t="s">
        <v>3890</v>
      </c>
    </row>
    <row r="579" spans="1:10">
      <c r="A579" s="20" t="s">
        <v>2466</v>
      </c>
      <c r="B579" s="14">
        <v>10</v>
      </c>
      <c r="C579" s="14" t="s">
        <v>2467</v>
      </c>
      <c r="D579" s="14">
        <v>4</v>
      </c>
      <c r="E579" s="14" t="s">
        <v>2468</v>
      </c>
      <c r="F579" s="14" t="s">
        <v>3898</v>
      </c>
      <c r="G579" s="44" t="s">
        <v>3736</v>
      </c>
      <c r="H579" s="44" t="s">
        <v>3351</v>
      </c>
      <c r="I579" s="44" t="s">
        <v>3900</v>
      </c>
      <c r="J579" s="28" t="s">
        <v>4555</v>
      </c>
    </row>
    <row r="580" spans="1:10">
      <c r="A580" s="20" t="s">
        <v>2457</v>
      </c>
      <c r="B580" s="14">
        <v>10</v>
      </c>
      <c r="C580" s="14" t="s">
        <v>2596</v>
      </c>
      <c r="D580" s="14">
        <v>3</v>
      </c>
      <c r="E580" s="14" t="s">
        <v>2458</v>
      </c>
      <c r="F580" s="14" t="s">
        <v>3735</v>
      </c>
      <c r="G580" s="44" t="s">
        <v>3612</v>
      </c>
      <c r="H580" s="44" t="s">
        <v>3286</v>
      </c>
      <c r="I580" s="44" t="s">
        <v>3368</v>
      </c>
      <c r="J580" s="28" t="s">
        <v>3537</v>
      </c>
    </row>
    <row r="581" spans="1:10">
      <c r="A581" s="20" t="s">
        <v>2473</v>
      </c>
      <c r="B581" s="14">
        <v>10</v>
      </c>
      <c r="C581" s="14" t="s">
        <v>2342</v>
      </c>
      <c r="D581" s="14">
        <v>6</v>
      </c>
      <c r="E581" s="14" t="s">
        <v>3083</v>
      </c>
      <c r="F581" s="14" t="s">
        <v>5361</v>
      </c>
      <c r="G581" s="44" t="s">
        <v>3420</v>
      </c>
      <c r="H581" s="44" t="s">
        <v>3859</v>
      </c>
      <c r="I581" s="44">
        <v>2</v>
      </c>
      <c r="J581" s="28" t="s">
        <v>3590</v>
      </c>
    </row>
    <row r="582" spans="1:10">
      <c r="A582" s="20" t="s">
        <v>2478</v>
      </c>
      <c r="B582" s="14">
        <v>10</v>
      </c>
      <c r="C582" s="14" t="s">
        <v>2596</v>
      </c>
      <c r="D582" s="14">
        <v>3</v>
      </c>
      <c r="E582" s="14" t="s">
        <v>2720</v>
      </c>
      <c r="F582" s="14" t="s">
        <v>3573</v>
      </c>
      <c r="G582" s="44" t="s">
        <v>3945</v>
      </c>
      <c r="H582" s="44" t="s">
        <v>3746</v>
      </c>
      <c r="I582" s="44" t="s">
        <v>2343</v>
      </c>
      <c r="J582" s="28" t="s">
        <v>5232</v>
      </c>
    </row>
    <row r="583" spans="1:10">
      <c r="A583" s="20" t="s">
        <v>2479</v>
      </c>
      <c r="B583" s="14">
        <v>10</v>
      </c>
      <c r="C583" s="14" t="s">
        <v>2342</v>
      </c>
      <c r="D583" s="14">
        <v>5</v>
      </c>
      <c r="E583" s="14" t="s">
        <v>2480</v>
      </c>
      <c r="F583" s="14" t="s">
        <v>5361</v>
      </c>
      <c r="G583" s="44" t="s">
        <v>3420</v>
      </c>
      <c r="H583" s="44" t="s">
        <v>3859</v>
      </c>
      <c r="I583" s="44">
        <v>2</v>
      </c>
      <c r="J583" s="28" t="s">
        <v>3590</v>
      </c>
    </row>
    <row r="584" spans="1:10">
      <c r="A584" s="20" t="s">
        <v>2469</v>
      </c>
      <c r="B584" s="14">
        <v>10</v>
      </c>
      <c r="C584" s="14" t="s">
        <v>2470</v>
      </c>
      <c r="D584" s="14">
        <v>3</v>
      </c>
      <c r="E584" s="14" t="s">
        <v>2471</v>
      </c>
      <c r="F584" s="14" t="s">
        <v>3735</v>
      </c>
      <c r="G584" s="44" t="s">
        <v>3612</v>
      </c>
      <c r="H584" s="44" t="s">
        <v>3687</v>
      </c>
      <c r="I584" s="44" t="s">
        <v>3368</v>
      </c>
      <c r="J584" s="28" t="s">
        <v>3537</v>
      </c>
    </row>
    <row r="585" spans="1:10">
      <c r="A585" s="20" t="s">
        <v>2481</v>
      </c>
      <c r="B585" s="14">
        <v>10</v>
      </c>
      <c r="C585" s="14" t="s">
        <v>2341</v>
      </c>
      <c r="D585" s="14">
        <v>7</v>
      </c>
      <c r="E585" s="14" t="s">
        <v>2475</v>
      </c>
      <c r="F585" s="14" t="s">
        <v>4000</v>
      </c>
      <c r="G585" s="44" t="s">
        <v>3736</v>
      </c>
      <c r="H585" s="44" t="s">
        <v>3047</v>
      </c>
      <c r="I585" s="44" t="s">
        <v>3900</v>
      </c>
      <c r="J585" s="28" t="s">
        <v>4037</v>
      </c>
    </row>
    <row r="586" spans="1:10">
      <c r="A586" s="20" t="s">
        <v>2811</v>
      </c>
      <c r="B586" s="14">
        <v>10</v>
      </c>
      <c r="C586" s="14" t="s">
        <v>2537</v>
      </c>
      <c r="D586" s="14">
        <v>5</v>
      </c>
      <c r="E586" s="14" t="s">
        <v>2812</v>
      </c>
      <c r="F586" s="14" t="s">
        <v>3979</v>
      </c>
      <c r="G586" s="44" t="s">
        <v>3736</v>
      </c>
      <c r="H586" s="44" t="s">
        <v>2813</v>
      </c>
      <c r="I586" s="44">
        <v>9</v>
      </c>
      <c r="J586" s="28" t="s">
        <v>5232</v>
      </c>
    </row>
    <row r="587" spans="1:10">
      <c r="A587" s="20" t="s">
        <v>2636</v>
      </c>
      <c r="B587" s="14">
        <v>10</v>
      </c>
      <c r="C587" s="14" t="s">
        <v>2344</v>
      </c>
      <c r="D587" s="14">
        <v>5</v>
      </c>
      <c r="E587" s="110" t="s">
        <v>2957</v>
      </c>
      <c r="F587" s="14" t="s">
        <v>2804</v>
      </c>
      <c r="G587" s="44" t="s">
        <v>3843</v>
      </c>
      <c r="H587" s="44" t="s">
        <v>3286</v>
      </c>
      <c r="I587" s="44" t="s">
        <v>3790</v>
      </c>
      <c r="J587" s="28" t="s">
        <v>4447</v>
      </c>
    </row>
    <row r="588" spans="1:10">
      <c r="A588" s="20" t="s">
        <v>2655</v>
      </c>
      <c r="B588" s="14">
        <v>10</v>
      </c>
      <c r="C588" s="14" t="s">
        <v>2983</v>
      </c>
      <c r="D588" s="14">
        <v>6</v>
      </c>
      <c r="E588" s="110" t="s">
        <v>2850</v>
      </c>
      <c r="F588" s="14" t="s">
        <v>3548</v>
      </c>
      <c r="G588" s="44" t="s">
        <v>3550</v>
      </c>
      <c r="H588" s="44" t="s">
        <v>2345</v>
      </c>
      <c r="I588" s="44" t="s">
        <v>2346</v>
      </c>
      <c r="J588" s="28" t="s">
        <v>4447</v>
      </c>
    </row>
    <row r="589" spans="1:10">
      <c r="A589" s="20" t="s">
        <v>2635</v>
      </c>
      <c r="B589" s="14">
        <v>10</v>
      </c>
      <c r="C589" s="14" t="s">
        <v>2342</v>
      </c>
      <c r="D589" s="14">
        <v>5</v>
      </c>
      <c r="E589" s="14" t="s">
        <v>2552</v>
      </c>
      <c r="F589" s="14" t="s">
        <v>2959</v>
      </c>
      <c r="G589" s="44" t="s">
        <v>3420</v>
      </c>
      <c r="H589" s="44" t="s">
        <v>2974</v>
      </c>
      <c r="I589" s="44">
        <v>2</v>
      </c>
      <c r="J589" s="28" t="s">
        <v>4369</v>
      </c>
    </row>
    <row r="590" spans="1:10">
      <c r="A590" s="20" t="s">
        <v>2474</v>
      </c>
      <c r="B590" s="14">
        <v>10</v>
      </c>
      <c r="C590" s="14" t="s">
        <v>2340</v>
      </c>
      <c r="D590" s="14">
        <v>6</v>
      </c>
      <c r="E590" s="14" t="s">
        <v>2475</v>
      </c>
      <c r="F590" s="14" t="s">
        <v>3898</v>
      </c>
      <c r="G590" s="44" t="s">
        <v>3420</v>
      </c>
      <c r="H590" s="44" t="s">
        <v>3859</v>
      </c>
      <c r="I590" s="44">
        <v>2</v>
      </c>
      <c r="J590" s="28" t="s">
        <v>4555</v>
      </c>
    </row>
    <row r="591" spans="1:10">
      <c r="A591" s="20" t="s">
        <v>2658</v>
      </c>
      <c r="B591" s="14">
        <v>10</v>
      </c>
      <c r="C591" s="14" t="s">
        <v>2934</v>
      </c>
      <c r="D591" s="14">
        <v>6</v>
      </c>
      <c r="E591" s="106" t="s">
        <v>2460</v>
      </c>
      <c r="F591" s="14" t="s">
        <v>3947</v>
      </c>
      <c r="G591" s="44" t="s">
        <v>3948</v>
      </c>
      <c r="H591" s="44" t="s">
        <v>2818</v>
      </c>
      <c r="I591" s="44">
        <v>4</v>
      </c>
      <c r="J591" s="28" t="s">
        <v>5232</v>
      </c>
    </row>
    <row r="592" spans="1:10">
      <c r="A592" s="20" t="s">
        <v>2482</v>
      </c>
      <c r="B592" s="14">
        <v>10</v>
      </c>
      <c r="C592" s="14" t="s">
        <v>2487</v>
      </c>
      <c r="D592" s="14">
        <v>7</v>
      </c>
      <c r="E592" s="14" t="s">
        <v>2891</v>
      </c>
      <c r="F592" s="14" t="s">
        <v>3898</v>
      </c>
      <c r="G592" s="44" t="s">
        <v>3420</v>
      </c>
      <c r="H592" s="44" t="s">
        <v>2631</v>
      </c>
      <c r="I592" s="44" t="s">
        <v>3790</v>
      </c>
      <c r="J592" s="28" t="s">
        <v>3890</v>
      </c>
    </row>
    <row r="593" spans="1:10">
      <c r="A593" s="20" t="s">
        <v>2641</v>
      </c>
      <c r="B593" s="14">
        <v>10</v>
      </c>
      <c r="C593" s="14" t="s">
        <v>2487</v>
      </c>
      <c r="D593" s="14">
        <v>4</v>
      </c>
      <c r="E593" s="14" t="s">
        <v>3171</v>
      </c>
      <c r="F593" s="14" t="s">
        <v>4000</v>
      </c>
      <c r="G593" s="44" t="s">
        <v>3843</v>
      </c>
      <c r="H593" s="44" t="s">
        <v>3728</v>
      </c>
      <c r="I593" s="44" t="s">
        <v>3900</v>
      </c>
      <c r="J593" s="28" t="s">
        <v>3890</v>
      </c>
    </row>
    <row r="594" spans="1:10">
      <c r="A594" s="20" t="s">
        <v>2476</v>
      </c>
      <c r="B594" s="14">
        <v>10</v>
      </c>
      <c r="C594" s="14" t="s">
        <v>2537</v>
      </c>
      <c r="D594" s="14">
        <v>4</v>
      </c>
      <c r="E594" s="14" t="s">
        <v>2460</v>
      </c>
      <c r="F594" s="14" t="s">
        <v>3931</v>
      </c>
      <c r="G594" s="44" t="s">
        <v>3420</v>
      </c>
      <c r="H594" s="44" t="s">
        <v>3746</v>
      </c>
      <c r="I594" s="44" t="s">
        <v>3900</v>
      </c>
      <c r="J594" s="28" t="s">
        <v>3739</v>
      </c>
    </row>
    <row r="595" spans="1:10">
      <c r="A595" s="20" t="s">
        <v>2488</v>
      </c>
      <c r="B595" s="14">
        <v>10</v>
      </c>
      <c r="C595" s="14" t="s">
        <v>2485</v>
      </c>
      <c r="D595" s="14" t="s">
        <v>3884</v>
      </c>
      <c r="E595" s="106" t="s">
        <v>2489</v>
      </c>
      <c r="F595" s="14" t="s">
        <v>3561</v>
      </c>
      <c r="G595" s="44" t="s">
        <v>2484</v>
      </c>
      <c r="H595" s="44" t="s">
        <v>2483</v>
      </c>
      <c r="I595" s="44">
        <v>18</v>
      </c>
      <c r="J595" s="196" t="s">
        <v>2486</v>
      </c>
    </row>
    <row r="596" spans="1:10">
      <c r="A596" s="20" t="s">
        <v>2821</v>
      </c>
      <c r="B596" s="14">
        <v>10</v>
      </c>
      <c r="C596" s="14" t="s">
        <v>3091</v>
      </c>
      <c r="D596" s="14">
        <v>6</v>
      </c>
      <c r="E596" s="14" t="s">
        <v>2850</v>
      </c>
      <c r="F596" s="14" t="s">
        <v>3898</v>
      </c>
      <c r="G596" s="44" t="s">
        <v>3651</v>
      </c>
      <c r="H596" s="44" t="s">
        <v>2822</v>
      </c>
      <c r="I596" s="44" t="s">
        <v>3900</v>
      </c>
      <c r="J596" s="28" t="s">
        <v>4447</v>
      </c>
    </row>
    <row r="597" spans="1:10">
      <c r="A597" s="20" t="s">
        <v>2657</v>
      </c>
      <c r="B597" s="14">
        <v>10</v>
      </c>
      <c r="C597" s="14" t="s">
        <v>2467</v>
      </c>
      <c r="D597" s="14">
        <v>4</v>
      </c>
      <c r="E597" s="14" t="s">
        <v>2468</v>
      </c>
      <c r="F597" s="14" t="s">
        <v>3854</v>
      </c>
      <c r="G597" s="44" t="s">
        <v>2878</v>
      </c>
      <c r="H597" s="44" t="s">
        <v>3488</v>
      </c>
      <c r="I597" s="44">
        <v>7</v>
      </c>
      <c r="J597" s="28" t="s">
        <v>4555</v>
      </c>
    </row>
    <row r="598" spans="1:10">
      <c r="A598" s="20" t="s">
        <v>2823</v>
      </c>
      <c r="B598" s="14">
        <v>10</v>
      </c>
      <c r="C598" s="14" t="s">
        <v>3091</v>
      </c>
      <c r="D598" s="14">
        <v>4</v>
      </c>
      <c r="E598" s="14" t="s">
        <v>2843</v>
      </c>
      <c r="F598" s="14" t="s">
        <v>3914</v>
      </c>
      <c r="G598" s="44" t="s">
        <v>3843</v>
      </c>
      <c r="H598" s="44" t="s">
        <v>3746</v>
      </c>
      <c r="I598" s="44">
        <v>10</v>
      </c>
      <c r="J598" s="28" t="s">
        <v>4447</v>
      </c>
    </row>
    <row r="599" spans="1:10">
      <c r="A599" s="20" t="s">
        <v>2827</v>
      </c>
      <c r="B599" s="14">
        <v>10</v>
      </c>
      <c r="C599" s="14" t="s">
        <v>2344</v>
      </c>
      <c r="D599" s="14">
        <v>6</v>
      </c>
      <c r="E599" s="14" t="s">
        <v>2828</v>
      </c>
      <c r="F599" s="14" t="s">
        <v>3898</v>
      </c>
      <c r="G599" s="44" t="s">
        <v>2545</v>
      </c>
      <c r="H599" s="44" t="s">
        <v>3047</v>
      </c>
      <c r="I599" s="44" t="s">
        <v>3900</v>
      </c>
      <c r="J599" s="28" t="s">
        <v>4037</v>
      </c>
    </row>
    <row r="600" spans="1:10">
      <c r="A600" s="20" t="s">
        <v>2829</v>
      </c>
      <c r="B600" s="14">
        <v>10</v>
      </c>
      <c r="C600" s="14" t="s">
        <v>2344</v>
      </c>
      <c r="D600" s="14">
        <v>2</v>
      </c>
      <c r="E600" s="14" t="s">
        <v>2830</v>
      </c>
      <c r="F600" s="14" t="s">
        <v>3573</v>
      </c>
      <c r="G600" s="44" t="s">
        <v>3736</v>
      </c>
      <c r="H600" s="44" t="s">
        <v>3286</v>
      </c>
      <c r="I600" s="44" t="s">
        <v>3900</v>
      </c>
      <c r="J600" s="28" t="s">
        <v>4037</v>
      </c>
    </row>
    <row r="601" spans="1:10">
      <c r="A601" s="20" t="s">
        <v>2632</v>
      </c>
      <c r="B601" s="14">
        <v>10</v>
      </c>
      <c r="C601" s="14" t="s">
        <v>2487</v>
      </c>
      <c r="D601" s="14">
        <v>3</v>
      </c>
      <c r="E601" s="14" t="s">
        <v>2597</v>
      </c>
      <c r="F601" s="14" t="s">
        <v>3573</v>
      </c>
      <c r="G601" s="44" t="s">
        <v>2633</v>
      </c>
      <c r="H601" s="44" t="s">
        <v>2634</v>
      </c>
      <c r="I601" s="44">
        <v>15</v>
      </c>
      <c r="J601" s="28" t="s">
        <v>3732</v>
      </c>
    </row>
    <row r="602" spans="1:10">
      <c r="A602" s="20" t="s">
        <v>2642</v>
      </c>
      <c r="B602" s="14">
        <v>10</v>
      </c>
      <c r="C602" s="14" t="s">
        <v>3505</v>
      </c>
      <c r="D602" s="14">
        <v>1</v>
      </c>
      <c r="E602" s="106" t="s">
        <v>3331</v>
      </c>
      <c r="F602" s="14" t="s">
        <v>3548</v>
      </c>
      <c r="G602" s="44" t="s">
        <v>3843</v>
      </c>
      <c r="H602" s="44" t="s">
        <v>2810</v>
      </c>
      <c r="I602" s="44" t="s">
        <v>3900</v>
      </c>
      <c r="J602" s="28" t="s">
        <v>4773</v>
      </c>
    </row>
    <row r="603" spans="1:10">
      <c r="A603" s="20" t="s">
        <v>2824</v>
      </c>
      <c r="B603" s="14">
        <v>10</v>
      </c>
      <c r="C603" s="14" t="s">
        <v>2470</v>
      </c>
      <c r="D603" s="14">
        <v>5</v>
      </c>
      <c r="E603" s="14" t="s">
        <v>3887</v>
      </c>
      <c r="F603" s="14" t="s">
        <v>2825</v>
      </c>
      <c r="G603" s="44" t="s">
        <v>2826</v>
      </c>
      <c r="H603" s="44" t="s">
        <v>3859</v>
      </c>
      <c r="I603" s="44">
        <v>2</v>
      </c>
      <c r="J603" s="28" t="s">
        <v>3535</v>
      </c>
    </row>
    <row r="604" spans="1:10">
      <c r="A604" s="20" t="s">
        <v>3167</v>
      </c>
      <c r="B604" s="14">
        <v>11</v>
      </c>
      <c r="C604" s="14" t="s">
        <v>3168</v>
      </c>
      <c r="D604" s="14" t="s">
        <v>3884</v>
      </c>
      <c r="E604" s="14" t="s">
        <v>2543</v>
      </c>
      <c r="F604" s="14" t="s">
        <v>3898</v>
      </c>
      <c r="G604" s="44" t="s">
        <v>2545</v>
      </c>
      <c r="H604" s="44" t="s">
        <v>3169</v>
      </c>
      <c r="I604" s="44" t="s">
        <v>3900</v>
      </c>
      <c r="J604" s="28" t="s">
        <v>4709</v>
      </c>
    </row>
    <row r="605" spans="1:10">
      <c r="A605" s="20" t="s">
        <v>3170</v>
      </c>
      <c r="B605" s="14">
        <v>11</v>
      </c>
      <c r="C605" s="14" t="s">
        <v>2467</v>
      </c>
      <c r="D605" s="14">
        <v>4</v>
      </c>
      <c r="E605" s="14" t="s">
        <v>3001</v>
      </c>
      <c r="F605" s="14" t="s">
        <v>3854</v>
      </c>
      <c r="G605" s="44" t="s">
        <v>3765</v>
      </c>
      <c r="H605" s="44" t="s">
        <v>3002</v>
      </c>
      <c r="I605" s="44">
        <v>10</v>
      </c>
      <c r="J605" s="28" t="s">
        <v>4555</v>
      </c>
    </row>
    <row r="606" spans="1:10">
      <c r="A606" s="20" t="s">
        <v>3165</v>
      </c>
      <c r="B606" s="14">
        <v>11</v>
      </c>
      <c r="C606" s="14" t="s">
        <v>3199</v>
      </c>
      <c r="D606" s="14">
        <v>6</v>
      </c>
      <c r="E606" s="110" t="s">
        <v>2868</v>
      </c>
      <c r="F606" s="14" t="s">
        <v>3898</v>
      </c>
      <c r="G606" s="111" t="s">
        <v>3651</v>
      </c>
      <c r="H606" s="111" t="s">
        <v>3166</v>
      </c>
      <c r="I606" s="44" t="s">
        <v>3790</v>
      </c>
      <c r="J606" s="28" t="s">
        <v>4369</v>
      </c>
    </row>
    <row r="607" spans="1:10">
      <c r="A607" s="20" t="s">
        <v>3005</v>
      </c>
      <c r="B607" s="14">
        <v>11</v>
      </c>
      <c r="C607" s="5" t="s">
        <v>3404</v>
      </c>
      <c r="D607" s="14" t="s">
        <v>2617</v>
      </c>
      <c r="E607" s="106" t="s">
        <v>2737</v>
      </c>
      <c r="F607" s="14" t="s">
        <v>3006</v>
      </c>
      <c r="G607" s="44" t="s">
        <v>2548</v>
      </c>
      <c r="H607" s="44" t="s">
        <v>3007</v>
      </c>
      <c r="I607" s="44" t="s">
        <v>3900</v>
      </c>
      <c r="J607" s="28" t="s">
        <v>4773</v>
      </c>
    </row>
    <row r="608" spans="1:10">
      <c r="A608" s="20" t="s">
        <v>2523</v>
      </c>
      <c r="B608" s="14">
        <v>11</v>
      </c>
      <c r="C608" s="14" t="s">
        <v>3669</v>
      </c>
      <c r="D608" s="14">
        <v>4</v>
      </c>
      <c r="E608" s="106" t="s">
        <v>2524</v>
      </c>
      <c r="F608" s="14" t="s">
        <v>3898</v>
      </c>
      <c r="G608" s="44" t="s">
        <v>2525</v>
      </c>
      <c r="H608" s="44" t="s">
        <v>2387</v>
      </c>
      <c r="I608" s="44" t="s">
        <v>3900</v>
      </c>
      <c r="J608" s="28" t="s">
        <v>4773</v>
      </c>
    </row>
    <row r="609" spans="1:10">
      <c r="A609" s="20" t="s">
        <v>2832</v>
      </c>
      <c r="B609" s="14">
        <v>11</v>
      </c>
      <c r="C609" s="14" t="s">
        <v>2833</v>
      </c>
      <c r="D609" s="14">
        <v>7</v>
      </c>
      <c r="E609" s="14" t="s">
        <v>2993</v>
      </c>
      <c r="F609" s="14" t="s">
        <v>3898</v>
      </c>
      <c r="G609" s="44" t="s">
        <v>3706</v>
      </c>
      <c r="H609" s="44" t="s">
        <v>3351</v>
      </c>
      <c r="I609" s="44" t="s">
        <v>3900</v>
      </c>
      <c r="J609" s="28" t="s">
        <v>2745</v>
      </c>
    </row>
    <row r="610" spans="1:10">
      <c r="A610" s="20" t="s">
        <v>2637</v>
      </c>
      <c r="B610" s="14">
        <v>11</v>
      </c>
      <c r="C610" s="14" t="s">
        <v>2983</v>
      </c>
      <c r="D610" s="14">
        <v>6</v>
      </c>
      <c r="E610" s="106" t="s">
        <v>2957</v>
      </c>
      <c r="F610" s="14" t="s">
        <v>3003</v>
      </c>
      <c r="G610" s="44" t="s">
        <v>3843</v>
      </c>
      <c r="H610" s="44" t="s">
        <v>3351</v>
      </c>
      <c r="I610" s="44" t="s">
        <v>3900</v>
      </c>
      <c r="J610" s="28" t="s">
        <v>4369</v>
      </c>
    </row>
    <row r="611" spans="1:10">
      <c r="A611" s="20" t="s">
        <v>2518</v>
      </c>
      <c r="B611" s="14">
        <v>11</v>
      </c>
      <c r="C611" s="14" t="s">
        <v>2519</v>
      </c>
      <c r="D611" s="14">
        <v>7</v>
      </c>
      <c r="E611" s="14" t="s">
        <v>2520</v>
      </c>
      <c r="F611" s="14" t="s">
        <v>3898</v>
      </c>
      <c r="G611" s="44" t="s">
        <v>2521</v>
      </c>
      <c r="H611" s="44" t="s">
        <v>2522</v>
      </c>
      <c r="I611" s="44" t="s">
        <v>3900</v>
      </c>
      <c r="J611" s="28" t="s">
        <v>4447</v>
      </c>
    </row>
    <row r="612" spans="1:10">
      <c r="A612" s="20" t="s">
        <v>2994</v>
      </c>
      <c r="B612" s="14">
        <v>11</v>
      </c>
      <c r="C612" s="14" t="s">
        <v>2537</v>
      </c>
      <c r="D612" s="14">
        <v>4</v>
      </c>
      <c r="E612" s="14" t="s">
        <v>2995</v>
      </c>
      <c r="F612" s="14" t="s">
        <v>3898</v>
      </c>
      <c r="G612" s="44" t="s">
        <v>3164</v>
      </c>
      <c r="H612" s="44" t="s">
        <v>2981</v>
      </c>
      <c r="I612" s="44">
        <v>4</v>
      </c>
      <c r="J612" s="28" t="s">
        <v>3537</v>
      </c>
    </row>
    <row r="613" spans="1:10">
      <c r="A613" s="20" t="s">
        <v>2400</v>
      </c>
      <c r="B613" s="14">
        <v>12</v>
      </c>
      <c r="C613" s="14" t="s">
        <v>2467</v>
      </c>
      <c r="D613" s="14">
        <v>8</v>
      </c>
      <c r="E613" s="14" t="s">
        <v>2468</v>
      </c>
      <c r="F613" s="14" t="s">
        <v>3898</v>
      </c>
      <c r="G613" s="44" t="s">
        <v>3736</v>
      </c>
      <c r="H613" s="44" t="s">
        <v>3706</v>
      </c>
      <c r="I613" s="44" t="s">
        <v>3900</v>
      </c>
      <c r="J613" s="28" t="s">
        <v>4946</v>
      </c>
    </row>
    <row r="614" spans="1:10">
      <c r="A614" s="20" t="s">
        <v>2389</v>
      </c>
      <c r="B614" s="14">
        <v>12</v>
      </c>
      <c r="C614" s="14" t="s">
        <v>2390</v>
      </c>
      <c r="D614" s="14">
        <v>8</v>
      </c>
      <c r="E614" s="14" t="s">
        <v>2543</v>
      </c>
      <c r="F614" s="14" t="s">
        <v>3898</v>
      </c>
      <c r="G614" s="44" t="s">
        <v>2860</v>
      </c>
      <c r="H614" s="44" t="s">
        <v>2396</v>
      </c>
      <c r="I614" s="44">
        <v>5</v>
      </c>
      <c r="J614" s="28" t="s">
        <v>3535</v>
      </c>
    </row>
    <row r="615" spans="1:10">
      <c r="A615" s="20" t="s">
        <v>2397</v>
      </c>
      <c r="B615" s="14">
        <v>12</v>
      </c>
      <c r="C615" s="14" t="s">
        <v>2519</v>
      </c>
      <c r="D615" s="14">
        <v>7</v>
      </c>
      <c r="E615" s="14" t="s">
        <v>2398</v>
      </c>
      <c r="F615" s="14" t="s">
        <v>3898</v>
      </c>
      <c r="G615" s="44" t="s">
        <v>2521</v>
      </c>
      <c r="H615" s="44" t="s">
        <v>2399</v>
      </c>
      <c r="I615" s="44" t="s">
        <v>3790</v>
      </c>
      <c r="J615" s="28" t="s">
        <v>4447</v>
      </c>
    </row>
    <row r="616" spans="1:10">
      <c r="A616" s="20" t="s">
        <v>2401</v>
      </c>
      <c r="B616" s="14">
        <v>12</v>
      </c>
      <c r="C616" s="14" t="s">
        <v>3840</v>
      </c>
      <c r="D616" s="14">
        <v>4</v>
      </c>
      <c r="E616" s="106" t="s">
        <v>3526</v>
      </c>
      <c r="F616" s="14" t="s">
        <v>3548</v>
      </c>
      <c r="G616" s="44" t="s">
        <v>3407</v>
      </c>
      <c r="H616" s="44" t="s">
        <v>2402</v>
      </c>
      <c r="I616" s="44" t="s">
        <v>3900</v>
      </c>
      <c r="J616" s="28" t="s">
        <v>5232</v>
      </c>
    </row>
    <row r="617" spans="1:10">
      <c r="A617" s="20" t="s">
        <v>2403</v>
      </c>
      <c r="B617" s="14">
        <v>12</v>
      </c>
      <c r="C617" s="14" t="s">
        <v>2404</v>
      </c>
      <c r="D617" s="14">
        <v>10</v>
      </c>
      <c r="E617" s="14" t="s">
        <v>2405</v>
      </c>
      <c r="F617" s="14" t="s">
        <v>3898</v>
      </c>
      <c r="G617" s="44" t="s">
        <v>3945</v>
      </c>
      <c r="H617" s="44" t="s">
        <v>3706</v>
      </c>
      <c r="I617" s="44" t="s">
        <v>3900</v>
      </c>
      <c r="J617" s="28" t="s">
        <v>4447</v>
      </c>
    </row>
    <row r="618" spans="1:10">
      <c r="A618" s="20" t="s">
        <v>2406</v>
      </c>
      <c r="B618" s="14">
        <v>12</v>
      </c>
      <c r="C618" s="14" t="s">
        <v>2833</v>
      </c>
      <c r="D618" s="110" t="s">
        <v>2407</v>
      </c>
      <c r="E618" s="14" t="s">
        <v>2408</v>
      </c>
      <c r="F618" s="14" t="s">
        <v>3979</v>
      </c>
      <c r="G618" s="44" t="s">
        <v>2409</v>
      </c>
      <c r="H618" s="44" t="s">
        <v>5483</v>
      </c>
      <c r="I618" s="44" t="s">
        <v>3900</v>
      </c>
      <c r="J618" s="28" t="s">
        <v>2486</v>
      </c>
    </row>
    <row r="619" spans="1:10">
      <c r="A619" s="20" t="s">
        <v>2416</v>
      </c>
      <c r="B619" s="14">
        <v>13</v>
      </c>
      <c r="C619" s="14" t="s">
        <v>2417</v>
      </c>
      <c r="D619" s="14">
        <v>5</v>
      </c>
      <c r="E619" s="14" t="s">
        <v>2418</v>
      </c>
      <c r="F619" s="14" t="s">
        <v>3898</v>
      </c>
      <c r="G619" s="44" t="s">
        <v>3736</v>
      </c>
      <c r="H619" s="44" t="s">
        <v>3047</v>
      </c>
      <c r="I619" s="44">
        <v>10</v>
      </c>
      <c r="J619" s="28" t="s">
        <v>4555</v>
      </c>
    </row>
    <row r="620" spans="1:10">
      <c r="A620" s="20" t="s">
        <v>2413</v>
      </c>
      <c r="B620" s="14">
        <v>13</v>
      </c>
      <c r="C620" s="14" t="s">
        <v>2404</v>
      </c>
      <c r="D620" s="14">
        <v>6</v>
      </c>
      <c r="E620" s="14" t="s">
        <v>2414</v>
      </c>
      <c r="F620" s="14" t="s">
        <v>3898</v>
      </c>
      <c r="G620" s="44" t="s">
        <v>3736</v>
      </c>
      <c r="H620" s="44" t="s">
        <v>2415</v>
      </c>
      <c r="I620" s="44" t="s">
        <v>3790</v>
      </c>
      <c r="J620" s="28" t="s">
        <v>4447</v>
      </c>
    </row>
    <row r="621" spans="1:10">
      <c r="A621" s="20" t="s">
        <v>2410</v>
      </c>
      <c r="B621" s="14">
        <v>13</v>
      </c>
      <c r="C621" s="14" t="s">
        <v>2404</v>
      </c>
      <c r="D621" s="14">
        <v>6</v>
      </c>
      <c r="E621" s="14" t="s">
        <v>2411</v>
      </c>
      <c r="F621" s="14" t="s">
        <v>3548</v>
      </c>
      <c r="G621" s="44" t="s">
        <v>2521</v>
      </c>
      <c r="H621" s="44" t="s">
        <v>2412</v>
      </c>
      <c r="I621" s="44">
        <v>12</v>
      </c>
      <c r="J621" s="28" t="s">
        <v>4037</v>
      </c>
    </row>
    <row r="622" spans="1:10">
      <c r="A622" s="20" t="s">
        <v>2814</v>
      </c>
      <c r="B622" s="14">
        <v>13</v>
      </c>
      <c r="C622" s="14" t="s">
        <v>2653</v>
      </c>
      <c r="D622" s="14">
        <v>3</v>
      </c>
      <c r="E622" s="14" t="s">
        <v>2654</v>
      </c>
      <c r="F622" s="14" t="s">
        <v>3898</v>
      </c>
      <c r="G622" s="44" t="s">
        <v>3736</v>
      </c>
      <c r="H622" s="44" t="s">
        <v>3351</v>
      </c>
      <c r="I622" s="44" t="s">
        <v>3900</v>
      </c>
      <c r="J622" s="28" t="s">
        <v>3908</v>
      </c>
    </row>
    <row r="623" spans="1:10">
      <c r="A623" s="20" t="s">
        <v>2724</v>
      </c>
      <c r="B623" s="14">
        <v>14</v>
      </c>
      <c r="C623" s="14" t="s">
        <v>2404</v>
      </c>
      <c r="D623" s="14">
        <v>8</v>
      </c>
      <c r="E623" s="14" t="s">
        <v>2560</v>
      </c>
      <c r="F623" s="14" t="s">
        <v>2561</v>
      </c>
      <c r="G623" s="44" t="s">
        <v>3420</v>
      </c>
      <c r="H623" s="44" t="s">
        <v>2562</v>
      </c>
      <c r="I623" s="44">
        <v>10</v>
      </c>
      <c r="J623" s="28" t="s">
        <v>4447</v>
      </c>
    </row>
    <row r="624" spans="1:10">
      <c r="A624" s="20" t="s">
        <v>2554</v>
      </c>
      <c r="B624" s="14">
        <v>14</v>
      </c>
      <c r="C624" s="14" t="s">
        <v>2390</v>
      </c>
      <c r="D624" s="14">
        <v>9</v>
      </c>
      <c r="E624" s="14" t="s">
        <v>2555</v>
      </c>
      <c r="F624" s="14" t="s">
        <v>2556</v>
      </c>
      <c r="G624" s="44" t="s">
        <v>3432</v>
      </c>
      <c r="H624" s="44" t="s">
        <v>2557</v>
      </c>
      <c r="I624" s="44">
        <v>10</v>
      </c>
      <c r="J624" s="28" t="s">
        <v>3535</v>
      </c>
    </row>
    <row r="625" spans="1:10">
      <c r="A625" s="20" t="s">
        <v>2729</v>
      </c>
      <c r="B625" s="14">
        <v>14</v>
      </c>
      <c r="C625" s="14" t="s">
        <v>3446</v>
      </c>
      <c r="D625" s="14" t="s">
        <v>3884</v>
      </c>
      <c r="E625" s="106" t="s">
        <v>2730</v>
      </c>
      <c r="F625" s="14" t="s">
        <v>3898</v>
      </c>
      <c r="G625" s="44" t="s">
        <v>3420</v>
      </c>
      <c r="H625" s="44" t="s">
        <v>2731</v>
      </c>
      <c r="I625" s="44" t="s">
        <v>3900</v>
      </c>
      <c r="J625" s="28" t="s">
        <v>4773</v>
      </c>
    </row>
    <row r="626" spans="1:10">
      <c r="A626" s="20" t="s">
        <v>2819</v>
      </c>
      <c r="B626" s="14">
        <v>14</v>
      </c>
      <c r="C626" s="14" t="s">
        <v>2653</v>
      </c>
      <c r="D626" s="14">
        <v>6</v>
      </c>
      <c r="E626" s="14" t="s">
        <v>2820</v>
      </c>
      <c r="F626" s="14" t="s">
        <v>3898</v>
      </c>
      <c r="G626" s="44" t="s">
        <v>3651</v>
      </c>
      <c r="H626" s="44" t="s">
        <v>3286</v>
      </c>
      <c r="I626" s="44">
        <v>8</v>
      </c>
      <c r="J626" s="28" t="s">
        <v>4369</v>
      </c>
    </row>
    <row r="627" spans="1:10">
      <c r="A627" s="20" t="s">
        <v>2732</v>
      </c>
      <c r="B627" s="14">
        <v>15</v>
      </c>
      <c r="C627" s="14" t="s">
        <v>2390</v>
      </c>
      <c r="D627" s="14">
        <v>6</v>
      </c>
      <c r="E627" s="14" t="s">
        <v>2733</v>
      </c>
      <c r="F627" s="14" t="s">
        <v>2734</v>
      </c>
      <c r="G627" s="44" t="s">
        <v>3651</v>
      </c>
      <c r="H627" s="44" t="s">
        <v>2735</v>
      </c>
      <c r="I627" s="44">
        <v>10</v>
      </c>
      <c r="J627" s="28" t="s">
        <v>3535</v>
      </c>
    </row>
    <row r="628" spans="1:10">
      <c r="A628" s="20" t="s">
        <v>2739</v>
      </c>
      <c r="B628" s="14">
        <v>15</v>
      </c>
      <c r="C628" s="14" t="s">
        <v>2417</v>
      </c>
      <c r="D628" s="14">
        <v>8</v>
      </c>
      <c r="E628" s="14" t="s">
        <v>2740</v>
      </c>
      <c r="F628" s="14" t="s">
        <v>2741</v>
      </c>
      <c r="G628" s="44" t="s">
        <v>3945</v>
      </c>
      <c r="H628" s="44" t="s">
        <v>2742</v>
      </c>
      <c r="I628" s="44">
        <v>12</v>
      </c>
      <c r="J628" s="28" t="s">
        <v>4555</v>
      </c>
    </row>
    <row r="629" spans="1:10">
      <c r="A629" s="20" t="s">
        <v>2569</v>
      </c>
      <c r="B629" s="14">
        <v>15</v>
      </c>
      <c r="C629" s="10" t="s">
        <v>2570</v>
      </c>
      <c r="D629" s="10">
        <v>1</v>
      </c>
      <c r="E629" s="67" t="s">
        <v>2986</v>
      </c>
      <c r="F629" s="10" t="s">
        <v>2571</v>
      </c>
      <c r="G629" s="48" t="s">
        <v>2572</v>
      </c>
      <c r="H629" s="48" t="s">
        <v>2573</v>
      </c>
      <c r="I629" s="44" t="s">
        <v>3900</v>
      </c>
      <c r="J629" s="28" t="s">
        <v>4447</v>
      </c>
    </row>
    <row r="630" spans="1:10">
      <c r="A630" s="22" t="s">
        <v>2743</v>
      </c>
      <c r="B630" s="23">
        <v>15</v>
      </c>
      <c r="C630" s="23" t="s">
        <v>2390</v>
      </c>
      <c r="D630" s="23">
        <v>12</v>
      </c>
      <c r="E630" s="23" t="s">
        <v>2744</v>
      </c>
      <c r="F630" s="23" t="s">
        <v>3947</v>
      </c>
      <c r="G630" s="30" t="s">
        <v>3736</v>
      </c>
      <c r="H630" s="30" t="s">
        <v>3706</v>
      </c>
      <c r="I630" s="30" t="s">
        <v>3790</v>
      </c>
      <c r="J630" s="61" t="s">
        <v>3535</v>
      </c>
    </row>
    <row r="631" spans="1:10">
      <c r="G631" s="299"/>
      <c r="H631" s="299"/>
    </row>
    <row r="632" spans="1:10">
      <c r="A632" s="291" t="s">
        <v>476</v>
      </c>
      <c r="B632" s="300" t="s">
        <v>477</v>
      </c>
      <c r="C632" s="300"/>
      <c r="D632" s="300"/>
      <c r="E632" s="300"/>
      <c r="F632" s="300"/>
      <c r="G632" s="299"/>
      <c r="H632" s="299"/>
    </row>
  </sheetData>
  <phoneticPr fontId="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P167"/>
  <sheetViews>
    <sheetView workbookViewId="0">
      <pane ySplit="1" topLeftCell="A2" activePane="bottomLeft" state="frozenSplit"/>
      <selection pane="bottomLeft"/>
    </sheetView>
  </sheetViews>
  <sheetFormatPr baseColWidth="10" defaultRowHeight="13"/>
  <cols>
    <col min="1" max="3" width="10.7109375" style="231"/>
    <col min="4" max="4" width="99.7109375" style="231" customWidth="1"/>
    <col min="5" max="5" width="10.7109375" style="231"/>
    <col min="6" max="6" width="20.85546875" style="231" customWidth="1"/>
    <col min="7" max="8" width="10.7109375" style="231"/>
    <col min="9" max="9" width="4.28515625" style="231" customWidth="1"/>
    <col min="10" max="10" width="10.7109375" style="5"/>
    <col min="11" max="11" width="106.140625" style="231" customWidth="1"/>
    <col min="12" max="15" width="10.7109375" style="231"/>
    <col min="16" max="16" width="96.140625" style="231" customWidth="1"/>
    <col min="17" max="18" width="10.7109375" style="231"/>
    <col min="19" max="19" width="9.140625" style="231" customWidth="1"/>
    <col min="20" max="20" width="10.42578125" style="231" customWidth="1"/>
    <col min="21" max="21" width="4.28515625" style="231" customWidth="1"/>
    <col min="22" max="22" width="7.5703125" style="231" customWidth="1"/>
    <col min="23" max="23" width="7.140625" style="231" customWidth="1"/>
    <col min="24" max="38" width="10.7109375" style="231"/>
    <col min="39" max="39" width="12.140625" style="231" customWidth="1"/>
    <col min="40" max="256" width="10.7109375" style="231"/>
    <col min="257" max="257" width="10.7109375" style="231" customWidth="1"/>
    <col min="258" max="262" width="10.7109375" style="231"/>
    <col min="263" max="265" width="10.7109375" style="231" customWidth="1"/>
    <col min="266" max="268" width="10.7109375" style="231"/>
    <col min="269" max="273" width="10.7109375" style="231" customWidth="1"/>
    <col min="274" max="278" width="10.7109375" style="231"/>
    <col min="279" max="279" width="10.7109375" style="231" customWidth="1"/>
    <col min="280" max="284" width="10.7109375" style="231"/>
    <col min="285" max="289" width="10.7109375" style="231" customWidth="1"/>
    <col min="290" max="290" width="10.7109375" style="231"/>
    <col min="291" max="291" width="10.7109375" style="231" customWidth="1"/>
    <col min="292" max="292" width="10.7109375" style="231"/>
    <col min="293" max="294" width="10.7109375" style="231" customWidth="1"/>
    <col min="295" max="295" width="10.7109375" style="231"/>
    <col min="296" max="297" width="10.7109375" style="231" customWidth="1"/>
    <col min="298" max="300" width="10.7109375" style="231"/>
    <col min="301" max="305" width="10.7109375" style="231" customWidth="1"/>
    <col min="306" max="310" width="10.7109375" style="231"/>
    <col min="311" max="313" width="10.7109375" style="231" customWidth="1"/>
    <col min="314" max="316" width="10.7109375" style="231"/>
    <col min="317" max="321" width="10.7109375" style="231" customWidth="1"/>
    <col min="322" max="324" width="10.7109375" style="231"/>
    <col min="325" max="326" width="10.7109375" style="231" customWidth="1"/>
    <col min="327" max="327" width="10.7109375" style="231"/>
    <col min="328" max="329" width="10.7109375" style="231" customWidth="1"/>
    <col min="330" max="332" width="10.7109375" style="231"/>
    <col min="333" max="336" width="10.7109375" style="231" customWidth="1"/>
    <col min="337" max="340" width="10.7109375" style="231"/>
    <col min="341" max="341" width="10.7109375" style="231" customWidth="1"/>
    <col min="342" max="342" width="10.7109375" style="231"/>
    <col min="343" max="343" width="10.7109375" style="231" customWidth="1"/>
    <col min="344" max="344" width="10.7109375" style="231"/>
    <col min="345" max="345" width="10.7109375" style="231" customWidth="1"/>
    <col min="346" max="348" width="10.7109375" style="231"/>
    <col min="349" max="354" width="10.7109375" style="231" customWidth="1"/>
    <col min="355" max="359" width="10.7109375" style="231"/>
    <col min="360" max="361" width="10.7109375" style="231" customWidth="1"/>
    <col min="362" max="364" width="10.7109375" style="231"/>
    <col min="365" max="368" width="10.7109375" style="231" customWidth="1"/>
    <col min="369" max="369" width="10.7109375" style="231"/>
    <col min="370" max="371" width="10.7109375" style="231" customWidth="1"/>
    <col min="372" max="375" width="10.7109375" style="231"/>
    <col min="376" max="377" width="10.7109375" style="231" customWidth="1"/>
    <col min="378" max="380" width="10.7109375" style="231"/>
    <col min="381" max="384" width="10.7109375" style="231" customWidth="1"/>
    <col min="385" max="385" width="10.7109375" style="231"/>
    <col min="386" max="386" width="10.7109375" style="231" customWidth="1"/>
    <col min="387" max="390" width="10.7109375" style="231"/>
    <col min="391" max="391" width="10.7109375" style="231" customWidth="1"/>
    <col min="392" max="392" width="10.7109375" style="231"/>
    <col min="393" max="393" width="10.7109375" style="231" customWidth="1"/>
    <col min="394" max="396" width="10.7109375" style="231"/>
    <col min="397" max="401" width="10.7109375" style="231" customWidth="1"/>
    <col min="402" max="404" width="10.7109375" style="231"/>
    <col min="405" max="406" width="10.7109375" style="231" customWidth="1"/>
    <col min="407" max="407" width="10.7109375" style="231"/>
    <col min="408" max="417" width="10.7109375" style="231" customWidth="1"/>
    <col min="418" max="420" width="10.7109375" style="231"/>
    <col min="421" max="422" width="10.7109375" style="231" customWidth="1"/>
    <col min="423" max="423" width="10.7109375" style="231"/>
    <col min="424" max="433" width="10.7109375" style="231" customWidth="1"/>
    <col min="434" max="437" width="10.7109375" style="231"/>
    <col min="438" max="438" width="10.7109375" style="231" customWidth="1"/>
    <col min="439" max="439" width="10.7109375" style="231"/>
    <col min="440" max="449" width="10.7109375" style="231" customWidth="1"/>
    <col min="450" max="453" width="10.7109375" style="231"/>
    <col min="454" max="454" width="10.7109375" style="231" customWidth="1"/>
    <col min="455" max="455" width="10.7109375" style="231"/>
    <col min="456" max="465" width="10.7109375" style="231" customWidth="1"/>
    <col min="466" max="468" width="10.7109375" style="231"/>
    <col min="469" max="469" width="10.7109375" style="231" customWidth="1"/>
    <col min="470" max="471" width="10.7109375" style="231"/>
    <col min="472" max="481" width="10.7109375" style="231" customWidth="1"/>
    <col min="482" max="484" width="10.7109375" style="231"/>
    <col min="485" max="485" width="10.7109375" style="231" customWidth="1"/>
    <col min="486" max="487" width="10.7109375" style="231"/>
    <col min="488" max="500" width="10.7109375" style="231" customWidth="1"/>
    <col min="501" max="503" width="10.7109375" style="231"/>
    <col min="504" max="515" width="10.7109375" style="231" customWidth="1"/>
    <col min="516" max="519" width="10.7109375" style="231"/>
    <col min="520" max="535" width="10.7109375" style="231" customWidth="1"/>
    <col min="536" max="536" width="10.7109375" style="231"/>
    <col min="537" max="547" width="10.7109375" style="231" customWidth="1"/>
    <col min="548" max="548" width="10.7109375" style="231"/>
    <col min="549" max="551" width="10.7109375" style="231" customWidth="1"/>
    <col min="552" max="552" width="10.7109375" style="231"/>
    <col min="553" max="564" width="10.7109375" style="231" customWidth="1"/>
    <col min="565" max="565" width="10.7109375" style="231"/>
    <col min="566" max="567" width="10.7109375" style="231" customWidth="1"/>
    <col min="568" max="568" width="10.7109375" style="231"/>
    <col min="569" max="579" width="10.7109375" style="231" customWidth="1"/>
    <col min="580" max="581" width="10.7109375" style="231"/>
    <col min="582" max="583" width="10.7109375" style="231" customWidth="1"/>
    <col min="584" max="584" width="10.7109375" style="231"/>
    <col min="585" max="594" width="10.7109375" style="231" customWidth="1"/>
    <col min="595" max="595" width="10.7109375" style="231"/>
    <col min="596" max="597" width="10.7109375" style="231" customWidth="1"/>
    <col min="598" max="598" width="10.7109375" style="231"/>
    <col min="599" max="600" width="10.7109375" style="231" customWidth="1"/>
    <col min="601" max="603" width="10.7109375" style="231"/>
    <col min="604" max="604" width="10.7109375" style="231" customWidth="1"/>
    <col min="605" max="605" width="10.7109375" style="231"/>
    <col min="606" max="607" width="10.7109375" style="231" customWidth="1"/>
    <col min="608" max="608" width="10.7109375" style="231"/>
    <col min="609" max="614" width="10.7109375" style="231" customWidth="1"/>
    <col min="615" max="619" width="10.7109375" style="231"/>
    <col min="620" max="620" width="10.7109375" style="231" customWidth="1"/>
    <col min="621" max="621" width="10.7109375" style="231"/>
    <col min="622" max="624" width="10.7109375" style="231" customWidth="1"/>
    <col min="625" max="625" width="10.7109375" style="231"/>
    <col min="626" max="627" width="10.7109375" style="231" customWidth="1"/>
    <col min="628" max="629" width="10.7109375" style="231"/>
    <col min="630" max="635" width="10.7109375" style="231" customWidth="1"/>
    <col min="636" max="636" width="10.7109375" style="231"/>
    <col min="637" max="640" width="10.7109375" style="231" customWidth="1"/>
    <col min="641" max="642" width="10.7109375" style="231"/>
    <col min="643" max="644" width="10.7109375" style="231" customWidth="1"/>
    <col min="645" max="647" width="10.7109375" style="231"/>
    <col min="648" max="658" width="10.7109375" style="231" customWidth="1"/>
    <col min="659" max="659" width="10.7109375" style="231"/>
    <col min="660" max="661" width="10.7109375" style="231" customWidth="1"/>
    <col min="662" max="662" width="10.7109375" style="231"/>
    <col min="663" max="664" width="10.7109375" style="231" customWidth="1"/>
    <col min="665" max="667" width="10.7109375" style="231"/>
    <col min="668" max="668" width="10.7109375" style="231" customWidth="1"/>
    <col min="669" max="669" width="10.7109375" style="231"/>
    <col min="670" max="671" width="10.7109375" style="231" customWidth="1"/>
    <col min="672" max="672" width="10.7109375" style="231"/>
    <col min="673" max="678" width="10.7109375" style="231" customWidth="1"/>
    <col min="679" max="680" width="10.7109375" style="231"/>
    <col min="681" max="683" width="10.7109375" style="231" customWidth="1"/>
    <col min="684" max="685" width="10.7109375" style="231"/>
    <col min="686" max="688" width="10.7109375" style="231" customWidth="1"/>
    <col min="689" max="689" width="10.7109375" style="231"/>
    <col min="690" max="691" width="10.7109375" style="231" customWidth="1"/>
    <col min="692" max="693" width="10.7109375" style="231"/>
    <col min="694" max="699" width="10.7109375" style="231" customWidth="1"/>
    <col min="700" max="700" width="10.7109375" style="231"/>
    <col min="701" max="704" width="10.7109375" style="231" customWidth="1"/>
    <col min="705" max="706" width="10.7109375" style="231"/>
    <col min="707" max="707" width="10.7109375" style="231" customWidth="1"/>
    <col min="708" max="708" width="10.7109375" style="231"/>
    <col min="709" max="709" width="10.7109375" style="231" customWidth="1"/>
    <col min="710" max="711" width="10.7109375" style="231"/>
    <col min="712" max="722" width="10.7109375" style="231" customWidth="1"/>
    <col min="723" max="723" width="10.7109375" style="231"/>
    <col min="724" max="725" width="10.7109375" style="231" customWidth="1"/>
    <col min="726" max="726" width="10.7109375" style="231"/>
    <col min="727" max="728" width="10.7109375" style="231" customWidth="1"/>
    <col min="729" max="731" width="10.7109375" style="231"/>
    <col min="732" max="732" width="10.7109375" style="231" customWidth="1"/>
    <col min="733" max="733" width="10.7109375" style="231"/>
    <col min="734" max="735" width="10.7109375" style="231" customWidth="1"/>
    <col min="736" max="736" width="10.7109375" style="231"/>
    <col min="737" max="742" width="10.7109375" style="231" customWidth="1"/>
    <col min="743" max="745" width="10.7109375" style="231"/>
    <col min="746" max="747" width="10.7109375" style="231" customWidth="1"/>
    <col min="748" max="749" width="10.7109375" style="231"/>
    <col min="750" max="752" width="10.7109375" style="231" customWidth="1"/>
    <col min="753" max="753" width="10.7109375" style="231"/>
    <col min="754" max="755" width="10.7109375" style="231" customWidth="1"/>
    <col min="756" max="757" width="10.7109375" style="231"/>
    <col min="758" max="763" width="10.7109375" style="231" customWidth="1"/>
    <col min="764" max="764" width="10.7109375" style="231"/>
    <col min="765" max="768" width="10.7109375" style="231" customWidth="1"/>
    <col min="769" max="770" width="10.7109375" style="231"/>
    <col min="771" max="773" width="10.7109375" style="231" customWidth="1"/>
    <col min="774" max="775" width="10.7109375" style="231"/>
    <col min="776" max="786" width="10.7109375" style="231" customWidth="1"/>
    <col min="787" max="787" width="10.7109375" style="231"/>
    <col min="788" max="789" width="10.7109375" style="231" customWidth="1"/>
    <col min="790" max="790" width="10.7109375" style="231"/>
    <col min="791" max="792" width="10.7109375" style="231" customWidth="1"/>
    <col min="793" max="795" width="10.7109375" style="231"/>
    <col min="796" max="796" width="10.7109375" style="231" customWidth="1"/>
    <col min="797" max="797" width="10.7109375" style="231"/>
    <col min="798" max="799" width="10.7109375" style="231" customWidth="1"/>
    <col min="800" max="800" width="10.7109375" style="231"/>
    <col min="801" max="806" width="10.7109375" style="231" customWidth="1"/>
    <col min="807" max="808" width="10.7109375" style="231"/>
    <col min="809" max="809" width="10.7109375" style="231" customWidth="1"/>
    <col min="810" max="810" width="10.7109375" style="231"/>
    <col min="811" max="811" width="10.7109375" style="231" customWidth="1"/>
    <col min="812" max="813" width="10.7109375" style="231"/>
    <col min="814" max="816" width="10.7109375" style="231" customWidth="1"/>
    <col min="817" max="817" width="10.7109375" style="231"/>
    <col min="818" max="819" width="10.7109375" style="231" customWidth="1"/>
    <col min="820" max="821" width="10.7109375" style="231"/>
    <col min="822" max="827" width="10.7109375" style="231" customWidth="1"/>
    <col min="828" max="828" width="10.7109375" style="231"/>
    <col min="829" max="832" width="10.7109375" style="231" customWidth="1"/>
    <col min="833" max="834" width="10.7109375" style="231"/>
    <col min="835" max="835" width="10.7109375" style="231" customWidth="1"/>
    <col min="836" max="837" width="10.7109375" style="231"/>
    <col min="838" max="838" width="10.7109375" style="231" customWidth="1"/>
    <col min="839" max="839" width="10.7109375" style="231"/>
    <col min="840" max="850" width="10.7109375" style="231" customWidth="1"/>
    <col min="851" max="851" width="10.7109375" style="231"/>
    <col min="852" max="853" width="10.7109375" style="231" customWidth="1"/>
    <col min="854" max="854" width="10.7109375" style="231"/>
    <col min="855" max="856" width="10.7109375" style="231" customWidth="1"/>
    <col min="857" max="859" width="10.7109375" style="231"/>
    <col min="860" max="860" width="10.7109375" style="231" customWidth="1"/>
    <col min="861" max="861" width="10.7109375" style="231"/>
    <col min="862" max="863" width="10.7109375" style="231" customWidth="1"/>
    <col min="864" max="864" width="10.7109375" style="231"/>
    <col min="865" max="870" width="10.7109375" style="231" customWidth="1"/>
    <col min="871" max="874" width="10.7109375" style="231"/>
    <col min="875" max="875" width="10.7109375" style="231" customWidth="1"/>
    <col min="876" max="877" width="10.7109375" style="231"/>
    <col min="878" max="880" width="10.7109375" style="231" customWidth="1"/>
    <col min="881" max="881" width="10.7109375" style="231"/>
    <col min="882" max="883" width="10.7109375" style="231" customWidth="1"/>
    <col min="884" max="885" width="10.7109375" style="231"/>
    <col min="886" max="891" width="10.7109375" style="231" customWidth="1"/>
    <col min="892" max="892" width="10.7109375" style="231"/>
    <col min="893" max="896" width="10.7109375" style="231" customWidth="1"/>
    <col min="897" max="898" width="10.7109375" style="231"/>
    <col min="899" max="900" width="10.7109375" style="231" customWidth="1"/>
    <col min="901" max="901" width="10.7109375" style="231"/>
    <col min="902" max="902" width="10.7109375" style="231" customWidth="1"/>
    <col min="903" max="903" width="10.7109375" style="231"/>
    <col min="904" max="914" width="10.7109375" style="231" customWidth="1"/>
    <col min="915" max="915" width="10.7109375" style="231"/>
    <col min="916" max="917" width="10.7109375" style="231" customWidth="1"/>
    <col min="918" max="918" width="10.7109375" style="231"/>
    <col min="919" max="920" width="10.7109375" style="231" customWidth="1"/>
    <col min="921" max="923" width="10.7109375" style="231"/>
    <col min="924" max="924" width="10.7109375" style="231" customWidth="1"/>
    <col min="925" max="925" width="10.7109375" style="231"/>
    <col min="926" max="927" width="10.7109375" style="231" customWidth="1"/>
    <col min="928" max="928" width="10.7109375" style="231"/>
    <col min="929" max="934" width="10.7109375" style="231" customWidth="1"/>
    <col min="935" max="936" width="10.7109375" style="231"/>
    <col min="937" max="938" width="10.7109375" style="231" customWidth="1"/>
    <col min="939" max="941" width="10.7109375" style="231"/>
    <col min="942" max="944" width="10.7109375" style="231" customWidth="1"/>
    <col min="945" max="945" width="10.7109375" style="231"/>
    <col min="946" max="947" width="10.7109375" style="231" customWidth="1"/>
    <col min="948" max="949" width="10.7109375" style="231"/>
    <col min="950" max="955" width="10.7109375" style="231" customWidth="1"/>
    <col min="956" max="956" width="10.7109375" style="231"/>
    <col min="957" max="960" width="10.7109375" style="231" customWidth="1"/>
    <col min="961" max="962" width="10.7109375" style="231"/>
    <col min="963" max="963" width="10.7109375" style="231" customWidth="1"/>
    <col min="964" max="964" width="10.7109375" style="231"/>
    <col min="965" max="966" width="10.7109375" style="231" customWidth="1"/>
    <col min="967" max="967" width="10.7109375" style="231"/>
    <col min="968" max="978" width="10.7109375" style="231" customWidth="1"/>
    <col min="979" max="979" width="10.7109375" style="231"/>
    <col min="980" max="981" width="10.7109375" style="231" customWidth="1"/>
    <col min="982" max="982" width="10.7109375" style="231"/>
    <col min="983" max="984" width="10.7109375" style="231" customWidth="1"/>
    <col min="985" max="987" width="10.7109375" style="231"/>
    <col min="988" max="988" width="10.7109375" style="231" customWidth="1"/>
    <col min="989" max="989" width="10.7109375" style="231"/>
    <col min="990" max="991" width="10.7109375" style="231" customWidth="1"/>
    <col min="992" max="992" width="10.7109375" style="231"/>
    <col min="993" max="998" width="10.7109375" style="231" customWidth="1"/>
    <col min="999" max="1001" width="10.7109375" style="231"/>
    <col min="1002" max="1002" width="10.7109375" style="231" customWidth="1"/>
    <col min="1003" max="1005" width="10.7109375" style="231"/>
    <col min="1006" max="1008" width="10.7109375" style="231" customWidth="1"/>
    <col min="1009" max="1009" width="10.7109375" style="231"/>
    <col min="1010" max="1011" width="10.7109375" style="231" customWidth="1"/>
    <col min="1012" max="1013" width="10.7109375" style="231"/>
    <col min="1014" max="1019" width="10.7109375" style="231" customWidth="1"/>
    <col min="1020" max="1020" width="10.7109375" style="231"/>
    <col min="1021" max="1024" width="10.7109375" style="231" customWidth="1"/>
    <col min="1025" max="1026" width="10.7109375" style="231"/>
    <col min="1027" max="1030" width="10.7109375" style="231" customWidth="1"/>
    <col min="1031" max="1031" width="10.7109375" style="231"/>
    <col min="1032" max="1042" width="10.7109375" style="231" customWidth="1"/>
    <col min="1043" max="1043" width="10.7109375" style="231"/>
    <col min="1044" max="1045" width="10.7109375" style="231" customWidth="1"/>
    <col min="1046" max="1046" width="10.7109375" style="231"/>
    <col min="1047" max="1048" width="10.7109375" style="231" customWidth="1"/>
    <col min="1049" max="1051" width="10.7109375" style="231"/>
    <col min="1052" max="1052" width="10.7109375" style="231" customWidth="1"/>
    <col min="1053" max="1053" width="10.7109375" style="231"/>
    <col min="1054" max="1055" width="10.7109375" style="231" customWidth="1"/>
    <col min="1056" max="1056" width="10.7109375" style="231"/>
    <col min="1057" max="1062" width="10.7109375" style="231" customWidth="1"/>
    <col min="1063" max="1064" width="10.7109375" style="231"/>
    <col min="1065" max="1065" width="10.7109375" style="231" customWidth="1"/>
    <col min="1066" max="1069" width="10.7109375" style="231"/>
    <col min="1070" max="1072" width="10.7109375" style="231" customWidth="1"/>
    <col min="1073" max="1073" width="10.7109375" style="231"/>
    <col min="1074" max="1075" width="10.7109375" style="231" customWidth="1"/>
    <col min="1076" max="1077" width="10.7109375" style="231"/>
    <col min="1078" max="1083" width="10.7109375" style="231" customWidth="1"/>
    <col min="1084" max="1084" width="10.7109375" style="231"/>
    <col min="1085" max="1088" width="10.7109375" style="231" customWidth="1"/>
    <col min="1089" max="1090" width="10.7109375" style="231"/>
    <col min="1091" max="1091" width="10.7109375" style="231" customWidth="1"/>
    <col min="1092" max="1094" width="10.7109375" style="231"/>
    <col min="1095" max="1106" width="10.7109375" style="231" customWidth="1"/>
    <col min="1107" max="1107" width="10.7109375" style="231"/>
    <col min="1108" max="1109" width="10.7109375" style="231" customWidth="1"/>
    <col min="1110" max="1110" width="10.7109375" style="231"/>
    <col min="1111" max="1112" width="10.7109375" style="231" customWidth="1"/>
    <col min="1113" max="1115" width="10.7109375" style="231"/>
    <col min="1116" max="1116" width="10.7109375" style="231" customWidth="1"/>
    <col min="1117" max="1117" width="10.7109375" style="231"/>
    <col min="1118" max="1119" width="10.7109375" style="231" customWidth="1"/>
    <col min="1120" max="1120" width="10.7109375" style="231"/>
    <col min="1121" max="1126" width="10.7109375" style="231" customWidth="1"/>
    <col min="1127" max="1133" width="10.7109375" style="231"/>
    <col min="1134" max="1136" width="10.7109375" style="231" customWidth="1"/>
    <col min="1137" max="1137" width="10.7109375" style="231"/>
    <col min="1138" max="1139" width="10.7109375" style="231" customWidth="1"/>
    <col min="1140" max="1141" width="10.7109375" style="231"/>
    <col min="1142" max="1147" width="10.7109375" style="231" customWidth="1"/>
    <col min="1148" max="1148" width="10.7109375" style="231"/>
    <col min="1149" max="1152" width="10.7109375" style="231" customWidth="1"/>
    <col min="1153" max="1154" width="10.7109375" style="231"/>
    <col min="1155" max="1156" width="10.7109375" style="231" customWidth="1"/>
    <col min="1157" max="1158" width="10.7109375" style="231"/>
    <col min="1159" max="1170" width="10.7109375" style="231" customWidth="1"/>
    <col min="1171" max="1171" width="10.7109375" style="231"/>
    <col min="1172" max="1173" width="10.7109375" style="231" customWidth="1"/>
    <col min="1174" max="1174" width="10.7109375" style="231"/>
    <col min="1175" max="1176" width="10.7109375" style="231" customWidth="1"/>
    <col min="1177" max="1179" width="10.7109375" style="231"/>
    <col min="1180" max="1180" width="10.7109375" style="231" customWidth="1"/>
    <col min="1181" max="1181" width="10.7109375" style="231"/>
    <col min="1182" max="1183" width="10.7109375" style="231" customWidth="1"/>
    <col min="1184" max="1184" width="10.7109375" style="231"/>
    <col min="1185" max="1190" width="10.7109375" style="231" customWidth="1"/>
    <col min="1191" max="1192" width="10.7109375" style="231"/>
    <col min="1193" max="1197" width="10.7109375" style="231" customWidth="1"/>
    <col min="1198" max="1198" width="10.7109375" style="231"/>
    <col min="1199" max="1200" width="10.7109375" style="231" customWidth="1"/>
    <col min="1201" max="1201" width="10.7109375" style="231"/>
    <col min="1202" max="1203" width="10.7109375" style="231" customWidth="1"/>
    <col min="1204" max="1205" width="10.7109375" style="231"/>
    <col min="1206" max="1211" width="10.7109375" style="231" customWidth="1"/>
    <col min="1212" max="1212" width="10.7109375" style="231"/>
    <col min="1213" max="1216" width="10.7109375" style="231" customWidth="1"/>
    <col min="1217" max="1218" width="10.7109375" style="231"/>
    <col min="1219" max="1219" width="10.7109375" style="231" customWidth="1"/>
    <col min="1220" max="1220" width="10.7109375" style="231"/>
    <col min="1221" max="1221" width="10.7109375" style="231" customWidth="1"/>
    <col min="1222" max="1222" width="10.7109375" style="231"/>
    <col min="1223" max="1234" width="10.7109375" style="231" customWidth="1"/>
    <col min="1235" max="1235" width="10.7109375" style="231"/>
    <col min="1236" max="1237" width="10.7109375" style="231" customWidth="1"/>
    <col min="1238" max="1238" width="10.7109375" style="231"/>
    <col min="1239" max="1240" width="10.7109375" style="231" customWidth="1"/>
    <col min="1241" max="1243" width="10.7109375" style="231"/>
    <col min="1244" max="1244" width="10.7109375" style="231" customWidth="1"/>
    <col min="1245" max="1245" width="10.7109375" style="231"/>
    <col min="1246" max="1247" width="10.7109375" style="231" customWidth="1"/>
    <col min="1248" max="1248" width="10.7109375" style="231"/>
    <col min="1249" max="1254" width="10.7109375" style="231" customWidth="1"/>
    <col min="1255" max="1257" width="10.7109375" style="231"/>
    <col min="1258" max="1261" width="10.7109375" style="231" customWidth="1"/>
    <col min="1262" max="1262" width="10.7109375" style="231"/>
    <col min="1263" max="1264" width="10.7109375" style="231" customWidth="1"/>
    <col min="1265" max="1265" width="10.7109375" style="231"/>
    <col min="1266" max="1267" width="10.7109375" style="231" customWidth="1"/>
    <col min="1268" max="1269" width="10.7109375" style="231"/>
    <col min="1270" max="1275" width="10.7109375" style="231" customWidth="1"/>
    <col min="1276" max="1276" width="10.7109375" style="231"/>
    <col min="1277" max="1280" width="10.7109375" style="231" customWidth="1"/>
    <col min="1281" max="1282" width="10.7109375" style="231"/>
    <col min="1283" max="1285" width="10.7109375" style="231" customWidth="1"/>
    <col min="1286" max="1286" width="10.7109375" style="231"/>
    <col min="1287" max="1298" width="10.7109375" style="231" customWidth="1"/>
    <col min="1299" max="1299" width="10.7109375" style="231"/>
    <col min="1300" max="1301" width="10.7109375" style="231" customWidth="1"/>
    <col min="1302" max="1302" width="10.7109375" style="231"/>
    <col min="1303" max="1304" width="10.7109375" style="231" customWidth="1"/>
    <col min="1305" max="1307" width="10.7109375" style="231"/>
    <col min="1308" max="1308" width="10.7109375" style="231" customWidth="1"/>
    <col min="1309" max="1309" width="10.7109375" style="231"/>
    <col min="1310" max="1311" width="10.7109375" style="231" customWidth="1"/>
    <col min="1312" max="1312" width="10.7109375" style="231"/>
    <col min="1313" max="1318" width="10.7109375" style="231" customWidth="1"/>
    <col min="1319" max="1320" width="10.7109375" style="231"/>
    <col min="1321" max="1321" width="10.7109375" style="231" customWidth="1"/>
    <col min="1322" max="1322" width="10.7109375" style="231"/>
    <col min="1323" max="1325" width="10.7109375" style="231" customWidth="1"/>
    <col min="1326" max="1326" width="10.7109375" style="231"/>
    <col min="1327" max="1328" width="10.7109375" style="231" customWidth="1"/>
    <col min="1329" max="1329" width="10.7109375" style="231"/>
    <col min="1330" max="1331" width="10.7109375" style="231" customWidth="1"/>
    <col min="1332" max="1333" width="10.7109375" style="231"/>
    <col min="1334" max="1339" width="10.7109375" style="231" customWidth="1"/>
    <col min="1340" max="1340" width="10.7109375" style="231"/>
    <col min="1341" max="1344" width="10.7109375" style="231" customWidth="1"/>
    <col min="1345" max="1346" width="10.7109375" style="231"/>
    <col min="1347" max="1347" width="10.7109375" style="231" customWidth="1"/>
    <col min="1348" max="1349" width="10.7109375" style="231"/>
    <col min="1350" max="1362" width="10.7109375" style="231" customWidth="1"/>
    <col min="1363" max="1363" width="10.7109375" style="231"/>
    <col min="1364" max="1365" width="10.7109375" style="231" customWidth="1"/>
    <col min="1366" max="1366" width="10.7109375" style="231"/>
    <col min="1367" max="1368" width="10.7109375" style="231" customWidth="1"/>
    <col min="1369" max="1371" width="10.7109375" style="231"/>
    <col min="1372" max="1372" width="10.7109375" style="231" customWidth="1"/>
    <col min="1373" max="1373" width="10.7109375" style="231"/>
    <col min="1374" max="1375" width="10.7109375" style="231" customWidth="1"/>
    <col min="1376" max="1376" width="10.7109375" style="231"/>
    <col min="1377" max="1382" width="10.7109375" style="231" customWidth="1"/>
    <col min="1383" max="1386" width="10.7109375" style="231"/>
    <col min="1387" max="1389" width="10.7109375" style="231" customWidth="1"/>
    <col min="1390" max="1390" width="10.7109375" style="231"/>
    <col min="1391" max="1392" width="10.7109375" style="231" customWidth="1"/>
    <col min="1393" max="1393" width="10.7109375" style="231"/>
    <col min="1394" max="1395" width="10.7109375" style="231" customWidth="1"/>
    <col min="1396" max="1397" width="10.7109375" style="231"/>
    <col min="1398" max="1403" width="10.7109375" style="231" customWidth="1"/>
    <col min="1404" max="1404" width="10.7109375" style="231"/>
    <col min="1405" max="1408" width="10.7109375" style="231" customWidth="1"/>
    <col min="1409" max="1410" width="10.7109375" style="231"/>
    <col min="1411" max="1412" width="10.7109375" style="231" customWidth="1"/>
    <col min="1413" max="1413" width="10.7109375" style="231"/>
    <col min="1414" max="1426" width="10.7109375" style="231" customWidth="1"/>
    <col min="1427" max="1427" width="10.7109375" style="231"/>
    <col min="1428" max="1429" width="10.7109375" style="231" customWidth="1"/>
    <col min="1430" max="1430" width="10.7109375" style="231"/>
    <col min="1431" max="1432" width="10.7109375" style="231" customWidth="1"/>
    <col min="1433" max="1435" width="10.7109375" style="231"/>
    <col min="1436" max="1436" width="10.7109375" style="231" customWidth="1"/>
    <col min="1437" max="1437" width="10.7109375" style="231"/>
    <col min="1438" max="1439" width="10.7109375" style="231" customWidth="1"/>
    <col min="1440" max="1440" width="10.7109375" style="231"/>
    <col min="1441" max="1446" width="10.7109375" style="231" customWidth="1"/>
    <col min="1447" max="1448" width="10.7109375" style="231"/>
    <col min="1449" max="1450" width="10.7109375" style="231" customWidth="1"/>
    <col min="1451" max="1451" width="10.7109375" style="231"/>
    <col min="1452" max="1453" width="10.7109375" style="231" customWidth="1"/>
    <col min="1454" max="1454" width="10.7109375" style="231"/>
    <col min="1455" max="1456" width="10.7109375" style="231" customWidth="1"/>
    <col min="1457" max="1457" width="10.7109375" style="231"/>
    <col min="1458" max="1459" width="10.7109375" style="231" customWidth="1"/>
    <col min="1460" max="1461" width="10.7109375" style="231"/>
    <col min="1462" max="1467" width="10.7109375" style="231" customWidth="1"/>
    <col min="1468" max="1468" width="10.7109375" style="231"/>
    <col min="1469" max="1472" width="10.7109375" style="231" customWidth="1"/>
    <col min="1473" max="1474" width="10.7109375" style="231"/>
    <col min="1475" max="1475" width="10.7109375" style="231" customWidth="1"/>
    <col min="1476" max="1476" width="10.7109375" style="231"/>
    <col min="1477" max="1490" width="10.7109375" style="231" customWidth="1"/>
    <col min="1491" max="1491" width="10.7109375" style="231"/>
    <col min="1492" max="1493" width="10.7109375" style="231" customWidth="1"/>
    <col min="1494" max="1494" width="10.7109375" style="231"/>
    <col min="1495" max="1496" width="10.7109375" style="231" customWidth="1"/>
    <col min="1497" max="1499" width="10.7109375" style="231"/>
    <col min="1500" max="1500" width="10.7109375" style="231" customWidth="1"/>
    <col min="1501" max="1501" width="10.7109375" style="231"/>
    <col min="1502" max="1503" width="10.7109375" style="231" customWidth="1"/>
    <col min="1504" max="1504" width="10.7109375" style="231"/>
    <col min="1505" max="1510" width="10.7109375" style="231" customWidth="1"/>
    <col min="1511" max="1513" width="10.7109375" style="231"/>
    <col min="1514" max="1514" width="10.7109375" style="231" customWidth="1"/>
    <col min="1515" max="1515" width="10.7109375" style="231"/>
    <col min="1516" max="1517" width="10.7109375" style="231" customWidth="1"/>
    <col min="1518" max="1518" width="10.7109375" style="231"/>
    <col min="1519" max="1520" width="10.7109375" style="231" customWidth="1"/>
    <col min="1521" max="1521" width="10.7109375" style="231"/>
    <col min="1522" max="1523" width="10.7109375" style="231" customWidth="1"/>
    <col min="1524" max="1525" width="10.7109375" style="231"/>
    <col min="1526" max="1531" width="10.7109375" style="231" customWidth="1"/>
    <col min="1532" max="1532" width="10.7109375" style="231"/>
    <col min="1533" max="1536" width="10.7109375" style="231" customWidth="1"/>
    <col min="1537" max="1538" width="10.7109375" style="231"/>
    <col min="1539" max="1553" width="10.7109375" style="231" customWidth="1"/>
    <col min="1554" max="1554" width="10.7109375" style="231"/>
    <col min="1555" max="1558" width="10.7109375" style="231" customWidth="1"/>
    <col min="1559" max="1559" width="10.7109375" style="231"/>
    <col min="1560" max="1564" width="10.7109375" style="231" customWidth="1"/>
    <col min="1565" max="1565" width="10.7109375" style="231"/>
    <col min="1566" max="1570" width="10.7109375" style="231" customWidth="1"/>
    <col min="1571" max="1571" width="10.7109375" style="231"/>
    <col min="1572" max="1573" width="10.7109375" style="231" customWidth="1"/>
    <col min="1574" max="1575" width="10.7109375" style="231"/>
    <col min="1576" max="1584" width="10.7109375" style="231" customWidth="1"/>
    <col min="1585" max="1586" width="10.7109375" style="231"/>
    <col min="1587" max="1587" width="10.7109375" style="231" customWidth="1"/>
    <col min="1588" max="1591" width="10.7109375" style="231"/>
    <col min="1592" max="1592" width="10.7109375" style="231" customWidth="1"/>
    <col min="1593" max="1595" width="10.7109375" style="231"/>
    <col min="1596" max="1597" width="10.7109375" style="231" customWidth="1"/>
    <col min="1598" max="1599" width="10.7109375" style="231"/>
    <col min="1600" max="1600" width="10.7109375" style="231" customWidth="1"/>
    <col min="1601" max="1607" width="10.7109375" style="231"/>
    <col min="1608" max="1609" width="10.7109375" style="231" customWidth="1"/>
    <col min="1610" max="1612" width="10.7109375" style="231"/>
    <col min="1613" max="1613" width="10.7109375" style="231" customWidth="1"/>
    <col min="1614" max="1614" width="10.7109375" style="231"/>
    <col min="1615" max="1616" width="10.7109375" style="231" customWidth="1"/>
    <col min="1617" max="1619" width="10.7109375" style="231"/>
    <col min="1620" max="1621" width="10.7109375" style="231" customWidth="1"/>
    <col min="1622" max="1623" width="10.7109375" style="231"/>
    <col min="1624" max="1624" width="10.7109375" style="231" customWidth="1"/>
    <col min="1625" max="1626" width="10.7109375" style="231"/>
    <col min="1627" max="1627" width="10.7109375" style="231" customWidth="1"/>
    <col min="1628" max="1633" width="10.7109375" style="231"/>
    <col min="1634" max="1634" width="10.7109375" style="231" customWidth="1"/>
    <col min="1635" max="1635" width="10.7109375" style="231"/>
    <col min="1636" max="1637" width="10.7109375" style="231" customWidth="1"/>
    <col min="1638" max="1639" width="10.7109375" style="231"/>
    <col min="1640" max="1640" width="10.7109375" style="231" customWidth="1"/>
    <col min="1641" max="1641" width="10.7109375" style="231"/>
    <col min="1642" max="1645" width="10.7109375" style="231" customWidth="1"/>
    <col min="1646" max="1647" width="10.7109375" style="231"/>
    <col min="1648" max="1649" width="10.7109375" style="231" customWidth="1"/>
    <col min="1650" max="1655" width="10.7109375" style="231"/>
    <col min="1656" max="1656" width="10.7109375" style="231" customWidth="1"/>
    <col min="1657" max="1660" width="10.7109375" style="231"/>
    <col min="1661" max="1661" width="10.7109375" style="231" customWidth="1"/>
    <col min="1662" max="1663" width="10.7109375" style="231"/>
    <col min="1664" max="1665" width="10.7109375" style="231" customWidth="1"/>
    <col min="1666" max="1666" width="10.7109375" style="231"/>
    <col min="1667" max="1668" width="10.7109375" style="231" customWidth="1"/>
    <col min="1669" max="1671" width="10.7109375" style="231"/>
    <col min="1672" max="1672" width="10.7109375" style="231" customWidth="1"/>
    <col min="1673" max="1678" width="10.7109375" style="231"/>
    <col min="1679" max="1680" width="10.7109375" style="231" customWidth="1"/>
    <col min="1681" max="1686" width="10.7109375" style="231"/>
    <col min="1687" max="1688" width="10.7109375" style="231" customWidth="1"/>
    <col min="1689" max="1692" width="10.7109375" style="231"/>
    <col min="1693" max="1693" width="10.7109375" style="231" customWidth="1"/>
    <col min="1694" max="1695" width="10.7109375" style="231"/>
    <col min="1696" max="1696" width="10.7109375" style="231" customWidth="1"/>
    <col min="1697" max="1699" width="10.7109375" style="231"/>
    <col min="1700" max="1700" width="10.7109375" style="231" customWidth="1"/>
    <col min="1701" max="1703" width="10.7109375" style="231"/>
    <col min="1704" max="1704" width="10.7109375" style="231" customWidth="1"/>
    <col min="1705" max="1705" width="10.7109375" style="231"/>
    <col min="1706" max="1707" width="10.7109375" style="231" customWidth="1"/>
    <col min="1708" max="1711" width="10.7109375" style="231"/>
    <col min="1712" max="1712" width="10.7109375" style="231" customWidth="1"/>
    <col min="1713" max="1718" width="10.7109375" style="231"/>
    <col min="1719" max="1721" width="10.7109375" style="231" customWidth="1"/>
    <col min="1722" max="1722" width="10.7109375" style="231"/>
    <col min="1723" max="1723" width="10.7109375" style="231" customWidth="1"/>
    <col min="1724" max="1724" width="10.7109375" style="231"/>
    <col min="1725" max="1728" width="10.7109375" style="231" customWidth="1"/>
    <col min="1729" max="1730" width="10.7109375" style="231"/>
    <col min="1731" max="1731" width="10.7109375" style="231" customWidth="1"/>
    <col min="1732" max="1732" width="10.7109375" style="231"/>
    <col min="1733" max="1733" width="10.7109375" style="231" customWidth="1"/>
    <col min="1734" max="1734" width="10.7109375" style="231"/>
    <col min="1735" max="1736" width="10.7109375" style="231" customWidth="1"/>
    <col min="1737" max="1738" width="10.7109375" style="231"/>
    <col min="1739" max="1739" width="10.7109375" style="231" customWidth="1"/>
    <col min="1740" max="1740" width="10.7109375" style="231"/>
    <col min="1741" max="1741" width="10.7109375" style="231" customWidth="1"/>
    <col min="1742" max="1742" width="10.7109375" style="231"/>
    <col min="1743" max="1744" width="10.7109375" style="231" customWidth="1"/>
    <col min="1745" max="1745" width="10.7109375" style="231"/>
    <col min="1746" max="1746" width="10.7109375" style="231" customWidth="1"/>
    <col min="1747" max="1748" width="10.7109375" style="231"/>
    <col min="1749" max="1749" width="10.7109375" style="231" customWidth="1"/>
    <col min="1750" max="1750" width="10.7109375" style="231"/>
    <col min="1751" max="1753" width="10.7109375" style="231" customWidth="1"/>
    <col min="1754" max="1758" width="10.7109375" style="231"/>
    <col min="1759" max="1760" width="10.7109375" style="231" customWidth="1"/>
    <col min="1761" max="1762" width="10.7109375" style="231"/>
    <col min="1763" max="1764" width="10.7109375" style="231" customWidth="1"/>
    <col min="1765" max="1767" width="10.7109375" style="231"/>
    <col min="1768" max="1768" width="10.7109375" style="231" customWidth="1"/>
    <col min="1769" max="1769" width="10.7109375" style="231"/>
    <col min="1770" max="1770" width="10.7109375" style="231" customWidth="1"/>
    <col min="1771" max="1771" width="10.7109375" style="231"/>
    <col min="1772" max="1772" width="10.7109375" style="231" customWidth="1"/>
    <col min="1773" max="1775" width="10.7109375" style="231"/>
    <col min="1776" max="1777" width="10.7109375" style="231" customWidth="1"/>
    <col min="1778" max="1778" width="10.7109375" style="231"/>
    <col min="1779" max="1780" width="10.7109375" style="231" customWidth="1"/>
    <col min="1781" max="1783" width="10.7109375" style="231"/>
    <col min="1784" max="1784" width="10.7109375" style="231" customWidth="1"/>
    <col min="1785" max="1786" width="10.7109375" style="231"/>
    <col min="1787" max="1787" width="10.7109375" style="231" customWidth="1"/>
    <col min="1788" max="1791" width="10.7109375" style="231"/>
    <col min="1792" max="1793" width="10.7109375" style="231" customWidth="1"/>
    <col min="1794" max="1799" width="10.7109375" style="231"/>
    <col min="1800" max="1800" width="10.7109375" style="231" customWidth="1"/>
    <col min="1801" max="1803" width="10.7109375" style="231"/>
    <col min="1804" max="1805" width="10.7109375" style="231" customWidth="1"/>
    <col min="1806" max="1807" width="10.7109375" style="231"/>
    <col min="1808" max="1808" width="10.7109375" style="231" customWidth="1"/>
    <col min="1809" max="1814" width="10.7109375" style="231"/>
    <col min="1815" max="1816" width="10.7109375" style="231" customWidth="1"/>
    <col min="1817" max="1823" width="10.7109375" style="231"/>
    <col min="1824" max="1824" width="10.7109375" style="231" customWidth="1"/>
    <col min="1825" max="1828" width="10.7109375" style="231"/>
    <col min="1829" max="1829" width="10.7109375" style="231" customWidth="1"/>
    <col min="1830" max="1831" width="10.7109375" style="231"/>
    <col min="1832" max="1832" width="10.7109375" style="231" customWidth="1"/>
    <col min="1833" max="1833" width="10.7109375" style="231"/>
    <col min="1834" max="1834" width="10.7109375" style="231" customWidth="1"/>
    <col min="1835" max="1839" width="10.7109375" style="231"/>
    <col min="1840" max="1841" width="10.7109375" style="231" customWidth="1"/>
    <col min="1842" max="1844" width="10.7109375" style="231"/>
    <col min="1845" max="1845" width="10.7109375" style="231" customWidth="1"/>
    <col min="1846" max="1846" width="10.7109375" style="231"/>
    <col min="1847" max="1848" width="10.7109375" style="231" customWidth="1"/>
    <col min="1849" max="1850" width="10.7109375" style="231"/>
    <col min="1851" max="1851" width="10.7109375" style="231" customWidth="1"/>
    <col min="1852" max="1852" width="10.7109375" style="231"/>
    <col min="1853" max="1853" width="10.7109375" style="231" customWidth="1"/>
    <col min="1854" max="1855" width="10.7109375" style="231"/>
    <col min="1856" max="1860" width="10.7109375" style="231" customWidth="1"/>
    <col min="1861" max="1863" width="10.7109375" style="231"/>
    <col min="1864" max="1865" width="10.7109375" style="231" customWidth="1"/>
    <col min="1866" max="1871" width="10.7109375" style="231"/>
    <col min="1872" max="1874" width="10.7109375" style="231" customWidth="1"/>
    <col min="1875" max="1876" width="10.7109375" style="231"/>
    <col min="1877" max="1877" width="10.7109375" style="231" customWidth="1"/>
    <col min="1878" max="1879" width="10.7109375" style="231"/>
    <col min="1880" max="1880" width="10.7109375" style="231" customWidth="1"/>
    <col min="1881" max="1881" width="10.7109375" style="231"/>
    <col min="1882" max="1882" width="10.7109375" style="231" customWidth="1"/>
    <col min="1883" max="1883" width="10.7109375" style="231"/>
    <col min="1884" max="1885" width="10.7109375" style="231" customWidth="1"/>
    <col min="1886" max="1887" width="10.7109375" style="231"/>
    <col min="1888" max="1888" width="10.7109375" style="231" customWidth="1"/>
    <col min="1889" max="1894" width="10.7109375" style="231"/>
    <col min="1895" max="1897" width="10.7109375" style="231" customWidth="1"/>
    <col min="1898" max="1898" width="10.7109375" style="231"/>
    <col min="1899" max="1899" width="10.7109375" style="231" customWidth="1"/>
    <col min="1900" max="1900" width="10.7109375" style="231"/>
    <col min="1901" max="1901" width="10.7109375" style="231" customWidth="1"/>
    <col min="1902" max="1903" width="10.7109375" style="231"/>
    <col min="1904" max="1904" width="10.7109375" style="231" customWidth="1"/>
    <col min="1905" max="1908" width="10.7109375" style="231"/>
    <col min="1909" max="1909" width="10.7109375" style="231" customWidth="1"/>
    <col min="1910" max="1911" width="10.7109375" style="231"/>
    <col min="1912" max="1913" width="10.7109375" style="231" customWidth="1"/>
    <col min="1914" max="1914" width="10.7109375" style="231"/>
    <col min="1915" max="1917" width="10.7109375" style="231" customWidth="1"/>
    <col min="1918" max="1919" width="10.7109375" style="231"/>
    <col min="1920" max="1921" width="10.7109375" style="231" customWidth="1"/>
    <col min="1922" max="1923" width="10.7109375" style="231"/>
    <col min="1924" max="1924" width="10.7109375" style="231" customWidth="1"/>
    <col min="1925" max="1927" width="10.7109375" style="231"/>
    <col min="1928" max="1928" width="10.7109375" style="231" customWidth="1"/>
    <col min="1929" max="1930" width="10.7109375" style="231"/>
    <col min="1931" max="1931" width="10.7109375" style="231" customWidth="1"/>
    <col min="1932" max="1932" width="10.7109375" style="231"/>
    <col min="1933" max="1933" width="10.7109375" style="231" customWidth="1"/>
    <col min="1934" max="1935" width="10.7109375" style="231"/>
    <col min="1936" max="1936" width="10.7109375" style="231" customWidth="1"/>
    <col min="1937" max="1938" width="10.7109375" style="231"/>
    <col min="1939" max="1941" width="10.7109375" style="231" customWidth="1"/>
    <col min="1942" max="1943" width="10.7109375" style="231"/>
    <col min="1944" max="1944" width="10.7109375" style="231" customWidth="1"/>
    <col min="1945" max="1946" width="10.7109375" style="231"/>
    <col min="1947" max="1947" width="10.7109375" style="231" customWidth="1"/>
    <col min="1948" max="1948" width="10.7109375" style="231"/>
    <col min="1949" max="1949" width="10.7109375" style="231" customWidth="1"/>
    <col min="1950" max="1951" width="10.7109375" style="231"/>
    <col min="1952" max="1952" width="10.7109375" style="231" customWidth="1"/>
    <col min="1953" max="1953" width="10.7109375" style="231"/>
    <col min="1954" max="1954" width="10.7109375" style="231" customWidth="1"/>
    <col min="1955" max="1959" width="10.7109375" style="231"/>
    <col min="1960" max="1962" width="10.7109375" style="231" customWidth="1"/>
    <col min="1963" max="1967" width="10.7109375" style="231"/>
    <col min="1968" max="1968" width="10.7109375" style="231" customWidth="1"/>
    <col min="1969" max="1974" width="10.7109375" style="231"/>
    <col min="1975" max="1976" width="10.7109375" style="231" customWidth="1"/>
    <col min="1977" max="1980" width="10.7109375" style="231"/>
    <col min="1981" max="1981" width="10.7109375" style="231" customWidth="1"/>
    <col min="1982" max="1982" width="10.7109375" style="231"/>
    <col min="1983" max="1984" width="10.7109375" style="231" customWidth="1"/>
    <col min="1985" max="1986" width="10.7109375" style="231"/>
    <col min="1987" max="1988" width="10.7109375" style="231" customWidth="1"/>
    <col min="1989" max="1991" width="10.7109375" style="231"/>
    <col min="1992" max="1992" width="10.7109375" style="231" customWidth="1"/>
    <col min="1993" max="1995" width="10.7109375" style="231"/>
    <col min="1996" max="1996" width="10.7109375" style="231" customWidth="1"/>
    <col min="1997" max="1999" width="10.7109375" style="231"/>
    <col min="2000" max="2000" width="10.7109375" style="231" customWidth="1"/>
    <col min="2001" max="2002" width="10.7109375" style="231"/>
    <col min="2003" max="2004" width="10.7109375" style="231" customWidth="1"/>
    <col min="2005" max="2007" width="10.7109375" style="231"/>
    <col min="2008" max="2008" width="10.7109375" style="231" customWidth="1"/>
    <col min="2009" max="2009" width="10.7109375" style="231"/>
    <col min="2010" max="2011" width="10.7109375" style="231" customWidth="1"/>
    <col min="2012" max="2012" width="10.7109375" style="231"/>
    <col min="2013" max="2013" width="10.7109375" style="231" customWidth="1"/>
    <col min="2014" max="2015" width="10.7109375" style="231"/>
    <col min="2016" max="2016" width="10.7109375" style="231" customWidth="1"/>
    <col min="2017" max="2023" width="10.7109375" style="231"/>
    <col min="2024" max="2024" width="10.7109375" style="231" customWidth="1"/>
    <col min="2025" max="2028" width="10.7109375" style="231"/>
    <col min="2029" max="2029" width="10.7109375" style="231" customWidth="1"/>
    <col min="2030" max="2031" width="10.7109375" style="231"/>
    <col min="2032" max="2032" width="10.7109375" style="231" customWidth="1"/>
    <col min="2033" max="2038" width="10.7109375" style="231"/>
    <col min="2039" max="2041" width="10.7109375" style="231" customWidth="1"/>
    <col min="2042" max="2042" width="10.7109375" style="231"/>
    <col min="2043" max="2043" width="10.7109375" style="231" customWidth="1"/>
    <col min="2044" max="2044" width="10.7109375" style="231"/>
    <col min="2045" max="2048" width="10.7109375" style="231" customWidth="1"/>
    <col min="2049" max="2050" width="10.7109375" style="231"/>
    <col min="2051" max="2051" width="10.7109375" style="231" customWidth="1"/>
    <col min="2052" max="2052" width="10.7109375" style="231"/>
    <col min="2053" max="2053" width="10.7109375" style="231" customWidth="1"/>
    <col min="2054" max="2054" width="10.7109375" style="231"/>
    <col min="2055" max="2056" width="10.7109375" style="231" customWidth="1"/>
    <col min="2057" max="2058" width="10.7109375" style="231"/>
    <col min="2059" max="2059" width="10.7109375" style="231" customWidth="1"/>
    <col min="2060" max="2060" width="10.7109375" style="231"/>
    <col min="2061" max="2064" width="10.7109375" style="231" customWidth="1"/>
    <col min="2065" max="2065" width="10.7109375" style="231"/>
    <col min="2066" max="2067" width="10.7109375" style="231" customWidth="1"/>
    <col min="2068" max="2068" width="10.7109375" style="231"/>
    <col min="2069" max="2074" width="10.7109375" style="231" customWidth="1"/>
    <col min="2075" max="2078" width="10.7109375" style="231"/>
    <col min="2079" max="2080" width="10.7109375" style="231" customWidth="1"/>
    <col min="2081" max="2082" width="10.7109375" style="231"/>
    <col min="2083" max="2083" width="10.7109375" style="231" customWidth="1"/>
    <col min="2084" max="2087" width="10.7109375" style="231"/>
    <col min="2088" max="2088" width="10.7109375" style="231" customWidth="1"/>
    <col min="2089" max="2089" width="10.7109375" style="231"/>
    <col min="2090" max="2090" width="10.7109375" style="231" customWidth="1"/>
    <col min="2091" max="2092" width="10.7109375" style="231"/>
    <col min="2093" max="2093" width="10.7109375" style="231" customWidth="1"/>
    <col min="2094" max="2095" width="10.7109375" style="231"/>
    <col min="2096" max="2096" width="10.7109375" style="231" customWidth="1"/>
    <col min="2097" max="2098" width="10.7109375" style="231"/>
    <col min="2099" max="2099" width="10.7109375" style="231" customWidth="1"/>
    <col min="2100" max="2103" width="10.7109375" style="231"/>
    <col min="2104" max="2105" width="10.7109375" style="231" customWidth="1"/>
    <col min="2106" max="2110" width="10.7109375" style="231"/>
    <col min="2111" max="2112" width="10.7109375" style="231" customWidth="1"/>
    <col min="2113" max="2114" width="10.7109375" style="231"/>
    <col min="2115" max="2117" width="10.7109375" style="231" customWidth="1"/>
    <col min="2118" max="2119" width="10.7109375" style="231"/>
    <col min="2120" max="2120" width="10.7109375" style="231" customWidth="1"/>
    <col min="2121" max="2124" width="10.7109375" style="231"/>
    <col min="2125" max="2125" width="10.7109375" style="231" customWidth="1"/>
    <col min="2126" max="2127" width="10.7109375" style="231"/>
    <col min="2128" max="2128" width="10.7109375" style="231" customWidth="1"/>
    <col min="2129" max="2129" width="10.7109375" style="231"/>
    <col min="2130" max="2130" width="10.7109375" style="231" customWidth="1"/>
    <col min="2131" max="2132" width="10.7109375" style="231"/>
    <col min="2133" max="2133" width="10.7109375" style="231" customWidth="1"/>
    <col min="2134" max="2135" width="10.7109375" style="231"/>
    <col min="2136" max="2137" width="10.7109375" style="231" customWidth="1"/>
    <col min="2138" max="2140" width="10.7109375" style="231"/>
    <col min="2141" max="2141" width="10.7109375" style="231" customWidth="1"/>
    <col min="2142" max="2142" width="10.7109375" style="231"/>
    <col min="2143" max="2144" width="10.7109375" style="231" customWidth="1"/>
    <col min="2145" max="2145" width="10.7109375" style="231"/>
    <col min="2146" max="2147" width="10.7109375" style="231" customWidth="1"/>
    <col min="2148" max="2151" width="10.7109375" style="231"/>
    <col min="2152" max="2155" width="10.7109375" style="231" customWidth="1"/>
    <col min="2156" max="2159" width="10.7109375" style="231"/>
    <col min="2160" max="2160" width="10.7109375" style="231" customWidth="1"/>
    <col min="2161" max="2162" width="10.7109375" style="231"/>
    <col min="2163" max="2164" width="10.7109375" style="231" customWidth="1"/>
    <col min="2165" max="2167" width="10.7109375" style="231"/>
    <col min="2168" max="2170" width="10.7109375" style="231" customWidth="1"/>
    <col min="2171" max="2172" width="10.7109375" style="231"/>
    <col min="2173" max="2173" width="10.7109375" style="231" customWidth="1"/>
    <col min="2174" max="2175" width="10.7109375" style="231"/>
    <col min="2176" max="2176" width="10.7109375" style="231" customWidth="1"/>
    <col min="2177" max="2179" width="10.7109375" style="231"/>
    <col min="2180" max="2181" width="10.7109375" style="231" customWidth="1"/>
    <col min="2182" max="2183" width="10.7109375" style="231"/>
    <col min="2184" max="2184" width="10.7109375" style="231" customWidth="1"/>
    <col min="2185" max="2188" width="10.7109375" style="231"/>
    <col min="2189" max="2189" width="10.7109375" style="231" customWidth="1"/>
    <col min="2190" max="2190" width="10.7109375" style="231"/>
    <col min="2191" max="2192" width="10.7109375" style="231" customWidth="1"/>
    <col min="2193" max="2193" width="10.7109375" style="231"/>
    <col min="2194" max="2196" width="10.7109375" style="231" customWidth="1"/>
    <col min="2197" max="2199" width="10.7109375" style="231"/>
    <col min="2200" max="2201" width="10.7109375" style="231" customWidth="1"/>
    <col min="2202" max="2202" width="10.7109375" style="231"/>
    <col min="2203" max="2204" width="10.7109375" style="231" customWidth="1"/>
    <col min="2205" max="2207" width="10.7109375" style="231"/>
    <col min="2208" max="2208" width="10.7109375" style="231" customWidth="1"/>
    <col min="2209" max="2209" width="10.7109375" style="231"/>
    <col min="2210" max="2211" width="10.7109375" style="231" customWidth="1"/>
    <col min="2212" max="2215" width="10.7109375" style="231"/>
    <col min="2216" max="2217" width="10.7109375" style="231" customWidth="1"/>
    <col min="2218" max="2220" width="10.7109375" style="231"/>
    <col min="2221" max="2221" width="10.7109375" style="231" customWidth="1"/>
    <col min="2222" max="2223" width="10.7109375" style="231"/>
    <col min="2224" max="2224" width="10.7109375" style="231" customWidth="1"/>
    <col min="2225" max="2227" width="10.7109375" style="231"/>
    <col min="2228" max="2228" width="10.7109375" style="231" customWidth="1"/>
    <col min="2229" max="2231" width="10.7109375" style="231"/>
    <col min="2232" max="2233" width="10.7109375" style="231" customWidth="1"/>
    <col min="2234" max="2236" width="10.7109375" style="231"/>
    <col min="2237" max="2237" width="10.7109375" style="231" customWidth="1"/>
    <col min="2238" max="2238" width="10.7109375" style="231"/>
    <col min="2239" max="2241" width="10.7109375" style="231" customWidth="1"/>
    <col min="2242" max="2243" width="10.7109375" style="231"/>
    <col min="2244" max="2244" width="10.7109375" style="231" customWidth="1"/>
    <col min="2245" max="2247" width="10.7109375" style="231"/>
    <col min="2248" max="2248" width="10.7109375" style="231" customWidth="1"/>
    <col min="2249" max="2250" width="10.7109375" style="231"/>
    <col min="2251" max="2251" width="10.7109375" style="231" customWidth="1"/>
    <col min="2252" max="2252" width="10.7109375" style="231"/>
    <col min="2253" max="2253" width="10.7109375" style="231" customWidth="1"/>
    <col min="2254" max="2255" width="10.7109375" style="231"/>
    <col min="2256" max="2256" width="10.7109375" style="231" customWidth="1"/>
    <col min="2257" max="2258" width="10.7109375" style="231"/>
    <col min="2259" max="2261" width="10.7109375" style="231" customWidth="1"/>
    <col min="2262" max="2263" width="10.7109375" style="231"/>
    <col min="2264" max="2264" width="10.7109375" style="231" customWidth="1"/>
    <col min="2265" max="2266" width="10.7109375" style="231"/>
    <col min="2267" max="2267" width="10.7109375" style="231" customWidth="1"/>
    <col min="2268" max="2268" width="10.7109375" style="231"/>
    <col min="2269" max="2269" width="10.7109375" style="231" customWidth="1"/>
    <col min="2270" max="2271" width="10.7109375" style="231"/>
    <col min="2272" max="2272" width="10.7109375" style="231" customWidth="1"/>
    <col min="2273" max="2273" width="10.7109375" style="231"/>
    <col min="2274" max="2274" width="10.7109375" style="231" customWidth="1"/>
    <col min="2275" max="2275" width="10.7109375" style="231"/>
    <col min="2276" max="2277" width="10.7109375" style="231" customWidth="1"/>
    <col min="2278" max="2279" width="10.7109375" style="231"/>
    <col min="2280" max="2282" width="10.7109375" style="231" customWidth="1"/>
    <col min="2283" max="2283" width="10.7109375" style="231"/>
    <col min="2284" max="2284" width="10.7109375" style="231" customWidth="1"/>
    <col min="2285" max="2287" width="10.7109375" style="231"/>
    <col min="2288" max="2289" width="10.7109375" style="231" customWidth="1"/>
    <col min="2290" max="2294" width="10.7109375" style="231"/>
    <col min="2295" max="2296" width="10.7109375" style="231" customWidth="1"/>
    <col min="2297" max="2297" width="10.7109375" style="231"/>
    <col min="2298" max="2299" width="10.7109375" style="231" customWidth="1"/>
    <col min="2300" max="2305" width="10.7109375" style="231"/>
    <col min="2306" max="2306" width="10.7109375" style="231" customWidth="1"/>
    <col min="2307" max="2307" width="10.7109375" style="231"/>
    <col min="2308" max="2308" width="10.7109375" style="231" customWidth="1"/>
    <col min="2309" max="2311" width="10.7109375" style="231"/>
    <col min="2312" max="2312" width="10.7109375" style="231" customWidth="1"/>
    <col min="2313" max="2313" width="10.7109375" style="231"/>
    <col min="2314" max="2314" width="10.7109375" style="231" customWidth="1"/>
    <col min="2315" max="2315" width="10.7109375" style="231"/>
    <col min="2316" max="2317" width="10.7109375" style="231" customWidth="1"/>
    <col min="2318" max="2321" width="10.7109375" style="231"/>
    <col min="2322" max="2322" width="10.7109375" style="231" customWidth="1"/>
    <col min="2323" max="2324" width="10.7109375" style="231"/>
    <col min="2325" max="2325" width="10.7109375" style="231" customWidth="1"/>
    <col min="2326" max="2327" width="10.7109375" style="231"/>
    <col min="2328" max="2328" width="10.7109375" style="231" customWidth="1"/>
    <col min="2329" max="2329" width="10.7109375" style="231"/>
    <col min="2330" max="2334" width="10.7109375" style="231" customWidth="1"/>
    <col min="2335" max="2335" width="10.7109375" style="231"/>
    <col min="2336" max="2337" width="10.7109375" style="231" customWidth="1"/>
    <col min="2338" max="2338" width="10.7109375" style="231"/>
    <col min="2339" max="2340" width="10.7109375" style="231" customWidth="1"/>
    <col min="2341" max="2343" width="10.7109375" style="231"/>
    <col min="2344" max="2345" width="10.7109375" style="231" customWidth="1"/>
    <col min="2346" max="2346" width="10.7109375" style="231"/>
    <col min="2347" max="2348" width="10.7109375" style="231" customWidth="1"/>
    <col min="2349" max="2351" width="10.7109375" style="231"/>
    <col min="2352" max="2352" width="10.7109375" style="231" customWidth="1"/>
    <col min="2353" max="2353" width="10.7109375" style="231"/>
    <col min="2354" max="2357" width="10.7109375" style="231" customWidth="1"/>
    <col min="2358" max="2359" width="10.7109375" style="231"/>
    <col min="2360" max="2360" width="10.7109375" style="231" customWidth="1"/>
    <col min="2361" max="2361" width="10.7109375" style="231"/>
    <col min="2362" max="2363" width="10.7109375" style="231" customWidth="1"/>
    <col min="2364" max="2367" width="10.7109375" style="231"/>
    <col min="2368" max="2370" width="10.7109375" style="231" customWidth="1"/>
    <col min="2371" max="2374" width="10.7109375" style="231"/>
    <col min="2375" max="2376" width="10.7109375" style="231" customWidth="1"/>
    <col min="2377" max="2380" width="10.7109375" style="231"/>
    <col min="2381" max="2381" width="10.7109375" style="231" customWidth="1"/>
    <col min="2382" max="2382" width="10.7109375" style="231"/>
    <col min="2383" max="2384" width="10.7109375" style="231" customWidth="1"/>
    <col min="2385" max="2386" width="10.7109375" style="231"/>
    <col min="2387" max="2387" width="10.7109375" style="231" customWidth="1"/>
    <col min="2388" max="2391" width="10.7109375" style="231"/>
    <col min="2392" max="2392" width="10.7109375" style="231" customWidth="1"/>
    <col min="2393" max="2393" width="10.7109375" style="231"/>
    <col min="2394" max="2394" width="10.7109375" style="231" customWidth="1"/>
    <col min="2395" max="2395" width="10.7109375" style="231"/>
    <col min="2396" max="2396" width="10.7109375" style="231" customWidth="1"/>
    <col min="2397" max="2401" width="10.7109375" style="231"/>
    <col min="2402" max="2402" width="10.7109375" style="231" customWidth="1"/>
    <col min="2403" max="2407" width="10.7109375" style="231"/>
    <col min="2408" max="2409" width="10.7109375" style="231" customWidth="1"/>
    <col min="2410" max="2414" width="10.7109375" style="231"/>
    <col min="2415" max="2417" width="10.7109375" style="231" customWidth="1"/>
    <col min="2418" max="2418" width="10.7109375" style="231"/>
    <col min="2419" max="2419" width="10.7109375" style="231" customWidth="1"/>
    <col min="2420" max="2420" width="10.7109375" style="231"/>
    <col min="2421" max="2424" width="10.7109375" style="231" customWidth="1"/>
    <col min="2425" max="2425" width="10.7109375" style="231"/>
    <col min="2426" max="2427" width="10.7109375" style="231" customWidth="1"/>
    <col min="2428" max="2428" width="10.7109375" style="231"/>
    <col min="2429" max="2432" width="10.7109375" style="231" customWidth="1"/>
    <col min="2433" max="2433" width="10.7109375" style="231"/>
    <col min="2434" max="2435" width="10.7109375" style="231" customWidth="1"/>
    <col min="2436" max="2436" width="10.7109375" style="231"/>
    <col min="2437" max="2440" width="10.7109375" style="231" customWidth="1"/>
    <col min="2441" max="2441" width="10.7109375" style="231"/>
    <col min="2442" max="2443" width="10.7109375" style="231" customWidth="1"/>
    <col min="2444" max="2444" width="10.7109375" style="231"/>
    <col min="2445" max="2449" width="10.7109375" style="231" customWidth="1"/>
    <col min="2450" max="2454" width="10.7109375" style="231"/>
    <col min="2455" max="2456" width="10.7109375" style="231" customWidth="1"/>
    <col min="2457" max="2457" width="10.7109375" style="231"/>
    <col min="2458" max="2461" width="10.7109375" style="231" customWidth="1"/>
    <col min="2462" max="2463" width="10.7109375" style="231"/>
    <col min="2464" max="2465" width="10.7109375" style="231" customWidth="1"/>
    <col min="2466" max="2466" width="10.7109375" style="231"/>
    <col min="2467" max="2468" width="10.7109375" style="231" customWidth="1"/>
    <col min="2469" max="2471" width="10.7109375" style="231"/>
    <col min="2472" max="2473" width="10.7109375" style="231" customWidth="1"/>
    <col min="2474" max="2474" width="10.7109375" style="231"/>
    <col min="2475" max="2476" width="10.7109375" style="231" customWidth="1"/>
    <col min="2477" max="2479" width="10.7109375" style="231"/>
    <col min="2480" max="2480" width="10.7109375" style="231" customWidth="1"/>
    <col min="2481" max="2481" width="10.7109375" style="231"/>
    <col min="2482" max="2483" width="10.7109375" style="231" customWidth="1"/>
    <col min="2484" max="2484" width="10.7109375" style="231"/>
    <col min="2485" max="2485" width="10.7109375" style="231" customWidth="1"/>
    <col min="2486" max="2487" width="10.7109375" style="231"/>
    <col min="2488" max="2488" width="10.7109375" style="231" customWidth="1"/>
    <col min="2489" max="2489" width="10.7109375" style="231"/>
    <col min="2490" max="2491" width="10.7109375" style="231" customWidth="1"/>
    <col min="2492" max="2510" width="10.7109375" style="231"/>
    <col min="2511" max="2511" width="10.7109375" style="231" customWidth="1"/>
    <col min="2512" max="2513" width="10.7109375" style="231"/>
    <col min="2514" max="2515" width="10.7109375" style="231" customWidth="1"/>
    <col min="2516" max="2525" width="10.7109375" style="231"/>
    <col min="2526" max="2526" width="10.7109375" style="231" customWidth="1"/>
    <col min="2527" max="2527" width="10.7109375" style="231"/>
    <col min="2528" max="2528" width="10.7109375" style="231" customWidth="1"/>
    <col min="2529" max="2529" width="10.7109375" style="231"/>
    <col min="2530" max="2531" width="10.7109375" style="231" customWidth="1"/>
    <col min="2532" max="2534" width="10.7109375" style="231"/>
    <col min="2535" max="2536" width="10.7109375" style="231" customWidth="1"/>
    <col min="2537" max="2537" width="10.7109375" style="231"/>
    <col min="2538" max="2538" width="10.7109375" style="231" customWidth="1"/>
    <col min="2539" max="2541" width="10.7109375" style="231"/>
    <col min="2542" max="2543" width="10.7109375" style="231" customWidth="1"/>
    <col min="2544" max="2544" width="10.7109375" style="231"/>
    <col min="2545" max="2546" width="10.7109375" style="231" customWidth="1"/>
    <col min="2547" max="2551" width="10.7109375" style="231"/>
    <col min="2552" max="2554" width="10.7109375" style="231" customWidth="1"/>
    <col min="2555" max="2555" width="10.7109375" style="231"/>
    <col min="2556" max="2557" width="10.7109375" style="231" customWidth="1"/>
    <col min="2558" max="2559" width="10.7109375" style="231"/>
    <col min="2560" max="2560" width="10.7109375" style="231" customWidth="1"/>
    <col min="2561" max="2561" width="10.7109375" style="231"/>
    <col min="2562" max="2563" width="10.7109375" style="231" customWidth="1"/>
    <col min="2564" max="2564" width="10.7109375" style="231"/>
    <col min="2565" max="2565" width="10.7109375" style="231" customWidth="1"/>
    <col min="2566" max="2567" width="10.7109375" style="231"/>
    <col min="2568" max="2568" width="10.7109375" style="231" customWidth="1"/>
    <col min="2569" max="2570" width="10.7109375" style="231"/>
    <col min="2571" max="2573" width="10.7109375" style="231" customWidth="1"/>
    <col min="2574" max="2575" width="10.7109375" style="231"/>
    <col min="2576" max="2577" width="10.7109375" style="231" customWidth="1"/>
    <col min="2578" max="2579" width="10.7109375" style="231"/>
    <col min="2580" max="2580" width="10.7109375" style="231" customWidth="1"/>
    <col min="2581" max="2583" width="10.7109375" style="231"/>
    <col min="2584" max="2585" width="10.7109375" style="231" customWidth="1"/>
    <col min="2586" max="2590" width="10.7109375" style="231"/>
    <col min="2591" max="2593" width="10.7109375" style="231" customWidth="1"/>
    <col min="2594" max="2594" width="10.7109375" style="231"/>
    <col min="2595" max="2595" width="10.7109375" style="231" customWidth="1"/>
    <col min="2596" max="2596" width="10.7109375" style="231"/>
    <col min="2597" max="2600" width="10.7109375" style="231" customWidth="1"/>
    <col min="2601" max="2601" width="10.7109375" style="231"/>
    <col min="2602" max="2603" width="10.7109375" style="231" customWidth="1"/>
    <col min="2604" max="2604" width="10.7109375" style="231"/>
    <col min="2605" max="2605" width="10.7109375" style="231" customWidth="1"/>
    <col min="2606" max="2606" width="10.7109375" style="231"/>
    <col min="2607" max="2608" width="10.7109375" style="231" customWidth="1"/>
    <col min="2609" max="2609" width="10.7109375" style="231"/>
    <col min="2610" max="2611" width="10.7109375" style="231" customWidth="1"/>
    <col min="2612" max="2612" width="10.7109375" style="231"/>
    <col min="2613" max="2616" width="10.7109375" style="231" customWidth="1"/>
    <col min="2617" max="2617" width="10.7109375" style="231"/>
    <col min="2618" max="2619" width="10.7109375" style="231" customWidth="1"/>
    <col min="2620" max="2620" width="10.7109375" style="231"/>
    <col min="2621" max="2624" width="10.7109375" style="231" customWidth="1"/>
    <col min="2625" max="2625" width="10.7109375" style="231"/>
    <col min="2626" max="2627" width="10.7109375" style="231" customWidth="1"/>
    <col min="2628" max="2628" width="10.7109375" style="231"/>
    <col min="2629" max="2632" width="10.7109375" style="231" customWidth="1"/>
    <col min="2633" max="2633" width="10.7109375" style="231"/>
    <col min="2634" max="2635" width="10.7109375" style="231" customWidth="1"/>
    <col min="2636" max="2636" width="10.7109375" style="231"/>
    <col min="2637" max="2642" width="10.7109375" style="231" customWidth="1"/>
    <col min="2643" max="2646" width="10.7109375" style="231"/>
    <col min="2647" max="2648" width="10.7109375" style="231" customWidth="1"/>
    <col min="2649" max="2650" width="10.7109375" style="231"/>
    <col min="2651" max="2651" width="10.7109375" style="231" customWidth="1"/>
    <col min="2652" max="2652" width="10.7109375" style="231"/>
    <col min="2653" max="2653" width="10.7109375" style="231" customWidth="1"/>
    <col min="2654" max="2655" width="10.7109375" style="231"/>
    <col min="2656" max="2656" width="10.7109375" style="231" customWidth="1"/>
    <col min="2657" max="2657" width="10.7109375" style="231"/>
    <col min="2658" max="2658" width="10.7109375" style="231" customWidth="1"/>
    <col min="2659" max="2659" width="10.7109375" style="231"/>
    <col min="2660" max="2661" width="10.7109375" style="231" customWidth="1"/>
    <col min="2662" max="2663" width="10.7109375" style="231"/>
    <col min="2664" max="2664" width="10.7109375" style="231" customWidth="1"/>
    <col min="2665" max="2665" width="10.7109375" style="231"/>
    <col min="2666" max="2667" width="10.7109375" style="231" customWidth="1"/>
    <col min="2668" max="2671" width="10.7109375" style="231"/>
    <col min="2672" max="2673" width="10.7109375" style="231" customWidth="1"/>
    <col min="2674" max="2679" width="10.7109375" style="231"/>
    <col min="2680" max="2680" width="10.7109375" style="231" customWidth="1"/>
    <col min="2681" max="2682" width="10.7109375" style="231"/>
    <col min="2683" max="2685" width="10.7109375" style="231" customWidth="1"/>
    <col min="2686" max="2687" width="10.7109375" style="231"/>
    <col min="2688" max="2688" width="10.7109375" style="231" customWidth="1"/>
    <col min="2689" max="2692" width="10.7109375" style="231"/>
    <col min="2693" max="2693" width="10.7109375" style="231" customWidth="1"/>
    <col min="2694" max="2695" width="10.7109375" style="231"/>
    <col min="2696" max="2696" width="10.7109375" style="231" customWidth="1"/>
    <col min="2697" max="2697" width="10.7109375" style="231"/>
    <col min="2698" max="2698" width="10.7109375" style="231" customWidth="1"/>
    <col min="2699" max="2700" width="10.7109375" style="231"/>
    <col min="2701" max="2701" width="10.7109375" style="231" customWidth="1"/>
    <col min="2702" max="2703" width="10.7109375" style="231"/>
    <col min="2704" max="2705" width="10.7109375" style="231" customWidth="1"/>
    <col min="2706" max="2708" width="10.7109375" style="231"/>
    <col min="2709" max="2709" width="10.7109375" style="231" customWidth="1"/>
    <col min="2710" max="2710" width="10.7109375" style="231"/>
    <col min="2711" max="2712" width="10.7109375" style="231" customWidth="1"/>
    <col min="2713" max="2713" width="10.7109375" style="231"/>
    <col min="2714" max="2717" width="10.7109375" style="231" customWidth="1"/>
    <col min="2718" max="2719" width="10.7109375" style="231"/>
    <col min="2720" max="2724" width="10.7109375" style="231" customWidth="1"/>
    <col min="2725" max="2727" width="10.7109375" style="231"/>
    <col min="2728" max="2732" width="10.7109375" style="231" customWidth="1"/>
    <col min="2733" max="2735" width="10.7109375" style="231"/>
    <col min="2736" max="2736" width="10.7109375" style="231" customWidth="1"/>
    <col min="2737" max="2737" width="10.7109375" style="231"/>
    <col min="2738" max="2738" width="10.7109375" style="231" customWidth="1"/>
    <col min="2739" max="2747" width="10.7109375" style="231"/>
    <col min="2748" max="2748" width="10.7109375" style="231" customWidth="1"/>
    <col min="2749" max="2756" width="10.7109375" style="231"/>
    <col min="2757" max="2757" width="10.7109375" style="231" customWidth="1"/>
    <col min="2758" max="2758" width="10.7109375" style="231"/>
    <col min="2759" max="2764" width="10.7109375" style="231" customWidth="1"/>
    <col min="2765" max="2767" width="10.7109375" style="231"/>
    <col min="2768" max="2769" width="10.7109375" style="231" customWidth="1"/>
    <col min="2770" max="2770" width="10.7109375" style="231"/>
    <col min="2771" max="2772" width="10.7109375" style="231" customWidth="1"/>
    <col min="2773" max="2775" width="10.7109375" style="231"/>
    <col min="2776" max="2776" width="10.7109375" style="231" customWidth="1"/>
    <col min="2777" max="2777" width="10.7109375" style="231"/>
    <col min="2778" max="2779" width="10.7109375" style="231" customWidth="1"/>
    <col min="2780" max="2780" width="10.7109375" style="231"/>
    <col min="2781" max="2781" width="10.7109375" style="231" customWidth="1"/>
    <col min="2782" max="2783" width="10.7109375" style="231"/>
    <col min="2784" max="2785" width="10.7109375" style="231" customWidth="1"/>
    <col min="2786" max="2788" width="10.7109375" style="231"/>
    <col min="2789" max="2789" width="10.7109375" style="231" customWidth="1"/>
    <col min="2790" max="2791" width="10.7109375" style="231"/>
    <col min="2792" max="2794" width="10.7109375" style="231" customWidth="1"/>
    <col min="2795" max="2795" width="10.7109375" style="231"/>
    <col min="2796" max="2796" width="10.7109375" style="231" customWidth="1"/>
    <col min="2797" max="2799" width="10.7109375" style="231"/>
    <col min="2800" max="2801" width="10.7109375" style="231" customWidth="1"/>
    <col min="2802" max="2804" width="10.7109375" style="231"/>
    <col min="2805" max="2805" width="10.7109375" style="231" customWidth="1"/>
    <col min="2806" max="2806" width="10.7109375" style="231"/>
    <col min="2807" max="2812" width="10.7109375" style="231" customWidth="1"/>
    <col min="2813" max="2813" width="10.7109375" style="231"/>
    <col min="2814" max="2814" width="10.7109375" style="231" customWidth="1"/>
    <col min="2815" max="2815" width="10.7109375" style="231"/>
    <col min="2816" max="2816" width="10.7109375" style="231" customWidth="1"/>
    <col min="2817" max="2817" width="10.7109375" style="231"/>
    <col min="2818" max="2821" width="10.7109375" style="231" customWidth="1"/>
    <col min="2822" max="2823" width="10.7109375" style="231"/>
    <col min="2824" max="2828" width="10.7109375" style="231" customWidth="1"/>
    <col min="2829" max="2831" width="10.7109375" style="231"/>
    <col min="2832" max="2832" width="10.7109375" style="231" customWidth="1"/>
    <col min="2833" max="2833" width="10.7109375" style="231"/>
    <col min="2834" max="2834" width="10.7109375" style="231" customWidth="1"/>
    <col min="2835" max="2835" width="10.7109375" style="231"/>
    <col min="2836" max="2837" width="10.7109375" style="231" customWidth="1"/>
    <col min="2838" max="2839" width="10.7109375" style="231"/>
    <col min="2840" max="2841" width="10.7109375" style="231" customWidth="1"/>
    <col min="2842" max="2842" width="10.7109375" style="231"/>
    <col min="2843" max="2844" width="10.7109375" style="231" customWidth="1"/>
    <col min="2845" max="2849" width="10.7109375" style="231"/>
    <col min="2850" max="2850" width="10.7109375" style="231" customWidth="1"/>
    <col min="2851" max="2853" width="10.7109375" style="231"/>
    <col min="2854" max="2854" width="10.7109375" style="231" customWidth="1"/>
    <col min="2855" max="2855" width="10.7109375" style="231"/>
    <col min="2856" max="2857" width="10.7109375" style="231" customWidth="1"/>
    <col min="2858" max="2860" width="10.7109375" style="231"/>
    <col min="2861" max="2861" width="10.7109375" style="231" customWidth="1"/>
    <col min="2862" max="2863" width="10.7109375" style="231"/>
    <col min="2864" max="2865" width="10.7109375" style="231" customWidth="1"/>
    <col min="2866" max="2867" width="10.7109375" style="231"/>
    <col min="2868" max="2869" width="10.7109375" style="231" customWidth="1"/>
    <col min="2870" max="2871" width="10.7109375" style="231"/>
    <col min="2872" max="2872" width="10.7109375" style="231" customWidth="1"/>
    <col min="2873" max="2876" width="10.7109375" style="231"/>
    <col min="2877" max="2877" width="10.7109375" style="231" customWidth="1"/>
    <col min="2878" max="2879" width="10.7109375" style="231"/>
    <col min="2880" max="2881" width="10.7109375" style="231" customWidth="1"/>
    <col min="2882" max="2884" width="10.7109375" style="231"/>
    <col min="2885" max="2885" width="10.7109375" style="231" customWidth="1"/>
    <col min="2886" max="2886" width="10.7109375" style="231"/>
    <col min="2887" max="2892" width="10.7109375" style="231" customWidth="1"/>
    <col min="2893" max="2895" width="10.7109375" style="231"/>
    <col min="2896" max="2900" width="10.7109375" style="231" customWidth="1"/>
    <col min="2901" max="2903" width="10.7109375" style="231"/>
    <col min="2904" max="2905" width="10.7109375" style="231" customWidth="1"/>
    <col min="2906" max="2907" width="10.7109375" style="231"/>
    <col min="2908" max="2908" width="10.7109375" style="231" customWidth="1"/>
    <col min="2909" max="2912" width="10.7109375" style="231"/>
    <col min="2913" max="2913" width="10.7109375" style="231" customWidth="1"/>
    <col min="2914" max="2918" width="10.7109375" style="231"/>
    <col min="2919" max="2923" width="10.7109375" style="231" customWidth="1"/>
    <col min="2924" max="2925" width="10.7109375" style="231"/>
    <col min="2926" max="2926" width="10.7109375" style="231" customWidth="1"/>
    <col min="2927" max="2927" width="10.7109375" style="231"/>
    <col min="2928" max="2928" width="10.7109375" style="231" customWidth="1"/>
    <col min="2929" max="2929" width="10.7109375" style="231"/>
    <col min="2930" max="2930" width="10.7109375" style="231" customWidth="1"/>
    <col min="2931" max="2932" width="10.7109375" style="231"/>
    <col min="2933" max="2934" width="10.7109375" style="231" customWidth="1"/>
    <col min="2935" max="2935" width="10.7109375" style="231"/>
    <col min="2936" max="2940" width="10.7109375" style="231" customWidth="1"/>
    <col min="2941" max="2941" width="10.7109375" style="231"/>
    <col min="2942" max="2942" width="10.7109375" style="231" customWidth="1"/>
    <col min="2943" max="2943" width="10.7109375" style="231"/>
    <col min="2944" max="2944" width="10.7109375" style="231" customWidth="1"/>
    <col min="2945" max="2945" width="10.7109375" style="231"/>
    <col min="2946" max="2949" width="10.7109375" style="231" customWidth="1"/>
    <col min="2950" max="2951" width="10.7109375" style="231"/>
    <col min="2952" max="2956" width="10.7109375" style="231" customWidth="1"/>
    <col min="2957" max="2959" width="10.7109375" style="231"/>
    <col min="2960" max="2960" width="10.7109375" style="231" customWidth="1"/>
    <col min="2961" max="2964" width="10.7109375" style="231"/>
    <col min="2965" max="2965" width="10.7109375" style="231" customWidth="1"/>
    <col min="2966" max="2968" width="10.7109375" style="231"/>
    <col min="2969" max="2969" width="10.7109375" style="231" customWidth="1"/>
    <col min="2970" max="2970" width="10.7109375" style="231"/>
    <col min="2971" max="2972" width="10.7109375" style="231" customWidth="1"/>
    <col min="2973" max="2975" width="10.7109375" style="231"/>
    <col min="2976" max="2977" width="10.7109375" style="231" customWidth="1"/>
    <col min="2978" max="2980" width="10.7109375" style="231"/>
    <col min="2981" max="2982" width="10.7109375" style="231" customWidth="1"/>
    <col min="2983" max="2983" width="10.7109375" style="231"/>
    <col min="2984" max="2984" width="10.7109375" style="231" customWidth="1"/>
    <col min="2985" max="2985" width="10.7109375" style="231"/>
    <col min="2986" max="2989" width="10.7109375" style="231" customWidth="1"/>
    <col min="2990" max="2991" width="10.7109375" style="231"/>
    <col min="2992" max="2992" width="10.7109375" style="231" customWidth="1"/>
    <col min="2993" max="2993" width="10.7109375" style="231"/>
    <col min="2994" max="2994" width="10.7109375" style="231" customWidth="1"/>
    <col min="2995" max="2996" width="10.7109375" style="231"/>
    <col min="2997" max="2997" width="10.7109375" style="231" customWidth="1"/>
    <col min="2998" max="2999" width="10.7109375" style="231"/>
    <col min="3000" max="3000" width="10.7109375" style="231" customWidth="1"/>
    <col min="3001" max="3001" width="10.7109375" style="231"/>
    <col min="3002" max="3002" width="10.7109375" style="231" customWidth="1"/>
    <col min="3003" max="3003" width="10.7109375" style="231"/>
    <col min="3004" max="3005" width="10.7109375" style="231" customWidth="1"/>
    <col min="3006" max="3007" width="10.7109375" style="231"/>
    <col min="3008" max="3010" width="10.7109375" style="231" customWidth="1"/>
    <col min="3011" max="3014" width="10.7109375" style="231"/>
    <col min="3015" max="3016" width="10.7109375" style="231" customWidth="1"/>
    <col min="3017" max="3020" width="10.7109375" style="231"/>
    <col min="3021" max="3021" width="10.7109375" style="231" customWidth="1"/>
    <col min="3022" max="3022" width="10.7109375" style="231"/>
    <col min="3023" max="3024" width="10.7109375" style="231" customWidth="1"/>
    <col min="3025" max="3028" width="10.7109375" style="231"/>
    <col min="3029" max="3029" width="10.7109375" style="231" customWidth="1"/>
    <col min="3030" max="3031" width="10.7109375" style="231"/>
    <col min="3032" max="3032" width="10.7109375" style="231" customWidth="1"/>
    <col min="3033" max="3033" width="10.7109375" style="231"/>
    <col min="3034" max="3034" width="10.7109375" style="231" customWidth="1"/>
    <col min="3035" max="3035" width="10.7109375" style="231"/>
    <col min="3036" max="3037" width="10.7109375" style="231" customWidth="1"/>
    <col min="3038" max="3039" width="10.7109375" style="231"/>
    <col min="3040" max="3040" width="10.7109375" style="231" customWidth="1"/>
    <col min="3041" max="3041" width="10.7109375" style="231"/>
    <col min="3042" max="3043" width="10.7109375" style="231" customWidth="1"/>
    <col min="3044" max="3047" width="10.7109375" style="231"/>
    <col min="3048" max="3049" width="10.7109375" style="231" customWidth="1"/>
    <col min="3050" max="3054" width="10.7109375" style="231"/>
    <col min="3055" max="3057" width="10.7109375" style="231" customWidth="1"/>
    <col min="3058" max="3058" width="10.7109375" style="231"/>
    <col min="3059" max="3059" width="10.7109375" style="231" customWidth="1"/>
    <col min="3060" max="3060" width="10.7109375" style="231"/>
    <col min="3061" max="3064" width="10.7109375" style="231" customWidth="1"/>
    <col min="3065" max="3065" width="10.7109375" style="231"/>
    <col min="3066" max="3067" width="10.7109375" style="231" customWidth="1"/>
    <col min="3068" max="3068" width="10.7109375" style="231"/>
    <col min="3069" max="3072" width="10.7109375" style="231" customWidth="1"/>
    <col min="3073" max="3073" width="10.7109375" style="231"/>
    <col min="3074" max="3075" width="10.7109375" style="231" customWidth="1"/>
    <col min="3076" max="3076" width="10.7109375" style="231"/>
    <col min="3077" max="3080" width="10.7109375" style="231" customWidth="1"/>
    <col min="3081" max="3081" width="10.7109375" style="231"/>
    <col min="3082" max="3083" width="10.7109375" style="231" customWidth="1"/>
    <col min="3084" max="3084" width="10.7109375" style="231"/>
    <col min="3085" max="3088" width="10.7109375" style="231" customWidth="1"/>
    <col min="3089" max="3089" width="10.7109375" style="231"/>
    <col min="3090" max="3091" width="10.7109375" style="231" customWidth="1"/>
    <col min="3092" max="3092" width="10.7109375" style="231"/>
    <col min="3093" max="3096" width="10.7109375" style="231" customWidth="1"/>
    <col min="3097" max="3097" width="10.7109375" style="231"/>
    <col min="3098" max="3099" width="10.7109375" style="231" customWidth="1"/>
    <col min="3100" max="3100" width="10.7109375" style="231"/>
    <col min="3101" max="3106" width="10.7109375" style="231" customWidth="1"/>
    <col min="3107" max="3110" width="10.7109375" style="231"/>
    <col min="3111" max="3112" width="10.7109375" style="231" customWidth="1"/>
    <col min="3113" max="3114" width="10.7109375" style="231"/>
    <col min="3115" max="3116" width="10.7109375" style="231" customWidth="1"/>
    <col min="3117" max="3119" width="10.7109375" style="231"/>
    <col min="3120" max="3121" width="10.7109375" style="231" customWidth="1"/>
    <col min="3122" max="3123" width="10.7109375" style="231"/>
    <col min="3124" max="3124" width="10.7109375" style="231" customWidth="1"/>
    <col min="3125" max="3127" width="10.7109375" style="231"/>
    <col min="3128" max="3129" width="10.7109375" style="231" customWidth="1"/>
    <col min="3130" max="3130" width="10.7109375" style="231"/>
    <col min="3131" max="3132" width="10.7109375" style="231" customWidth="1"/>
    <col min="3133" max="3135" width="10.7109375" style="231"/>
    <col min="3136" max="3136" width="10.7109375" style="231" customWidth="1"/>
    <col min="3137" max="3137" width="10.7109375" style="231"/>
    <col min="3138" max="3139" width="10.7109375" style="231" customWidth="1"/>
    <col min="3140" max="3140" width="10.7109375" style="231"/>
    <col min="3141" max="3141" width="10.7109375" style="231" customWidth="1"/>
    <col min="3142" max="3143" width="10.7109375" style="231"/>
    <col min="3144" max="3145" width="10.7109375" style="231" customWidth="1"/>
    <col min="3146" max="3148" width="10.7109375" style="231"/>
    <col min="3149" max="3149" width="10.7109375" style="231" customWidth="1"/>
    <col min="3150" max="3151" width="10.7109375" style="231"/>
    <col min="3152" max="3152" width="10.7109375" style="231" customWidth="1"/>
    <col min="3153" max="3155" width="10.7109375" style="231"/>
    <col min="3156" max="3157" width="10.7109375" style="231" customWidth="1"/>
    <col min="3158" max="3159" width="10.7109375" style="231"/>
    <col min="3160" max="3161" width="10.7109375" style="231" customWidth="1"/>
    <col min="3162" max="3168" width="10.7109375" style="231"/>
    <col min="3169" max="3170" width="10.7109375" style="231" customWidth="1"/>
    <col min="3171" max="3173" width="10.7109375" style="231"/>
    <col min="3174" max="3174" width="10.7109375" style="231" customWidth="1"/>
    <col min="3175" max="3175" width="10.7109375" style="231"/>
    <col min="3176" max="3176" width="10.7109375" style="231" customWidth="1"/>
    <col min="3177" max="3177" width="10.7109375" style="231"/>
    <col min="3178" max="3178" width="10.7109375" style="231" customWidth="1"/>
    <col min="3179" max="3179" width="10.7109375" style="231"/>
    <col min="3180" max="3181" width="10.7109375" style="231" customWidth="1"/>
    <col min="3182" max="3183" width="10.7109375" style="231"/>
    <col min="3184" max="3186" width="10.7109375" style="231" customWidth="1"/>
    <col min="3187" max="3187" width="10.7109375" style="231"/>
    <col min="3188" max="3188" width="10.7109375" style="231" customWidth="1"/>
    <col min="3189" max="3191" width="10.7109375" style="231"/>
    <col min="3192" max="3193" width="10.7109375" style="231" customWidth="1"/>
    <col min="3194" max="3195" width="10.7109375" style="231"/>
    <col min="3196" max="3196" width="10.7109375" style="231" customWidth="1"/>
    <col min="3197" max="3207" width="10.7109375" style="231"/>
    <col min="3208" max="3208" width="10.7109375" style="231" customWidth="1"/>
    <col min="3209" max="3210" width="10.7109375" style="231"/>
    <col min="3211" max="3212" width="10.7109375" style="231" customWidth="1"/>
    <col min="3213" max="3215" width="10.7109375" style="231"/>
    <col min="3216" max="3218" width="10.7109375" style="231" customWidth="1"/>
    <col min="3219" max="3222" width="10.7109375" style="231"/>
    <col min="3223" max="3224" width="10.7109375" style="231" customWidth="1"/>
    <col min="3225" max="3228" width="10.7109375" style="231"/>
    <col min="3229" max="3229" width="10.7109375" style="231" customWidth="1"/>
    <col min="3230" max="3231" width="10.7109375" style="231"/>
    <col min="3232" max="3232" width="10.7109375" style="231" customWidth="1"/>
    <col min="3233" max="3234" width="10.7109375" style="231"/>
    <col min="3235" max="3235" width="10.7109375" style="231" customWidth="1"/>
    <col min="3236" max="3241" width="10.7109375" style="231"/>
    <col min="3242" max="3242" width="10.7109375" style="231" customWidth="1"/>
    <col min="3243" max="3247" width="10.7109375" style="231"/>
    <col min="3248" max="3249" width="10.7109375" style="231" customWidth="1"/>
    <col min="3250" max="3250" width="10.7109375" style="231"/>
    <col min="3251" max="3252" width="10.7109375" style="231" customWidth="1"/>
    <col min="3253" max="3255" width="10.7109375" style="231"/>
    <col min="3256" max="3256" width="10.7109375" style="231" customWidth="1"/>
    <col min="3257" max="3257" width="10.7109375" style="231"/>
    <col min="3258" max="3259" width="10.7109375" style="231" customWidth="1"/>
    <col min="3260" max="3260" width="10.7109375" style="231"/>
    <col min="3261" max="3261" width="10.7109375" style="231" customWidth="1"/>
    <col min="3262" max="3263" width="10.7109375" style="231"/>
    <col min="3264" max="3264" width="10.7109375" style="231" customWidth="1"/>
    <col min="3265" max="3276" width="10.7109375" style="231"/>
    <col min="3277" max="3277" width="10.7109375" style="231" customWidth="1"/>
    <col min="3278" max="3279" width="10.7109375" style="231"/>
    <col min="3280" max="3281" width="10.7109375" style="231" customWidth="1"/>
    <col min="3282" max="3292" width="10.7109375" style="231"/>
    <col min="3293" max="3293" width="10.7109375" style="231" customWidth="1"/>
    <col min="3294" max="3295" width="10.7109375" style="231"/>
    <col min="3296" max="3296" width="10.7109375" style="231" customWidth="1"/>
    <col min="3297" max="3300" width="10.7109375" style="231"/>
    <col min="3301" max="3301" width="10.7109375" style="231" customWidth="1"/>
    <col min="3302" max="3302" width="10.7109375" style="231"/>
    <col min="3303" max="3303" width="10.7109375" style="231" customWidth="1"/>
    <col min="3304" max="3306" width="10.7109375" style="231"/>
    <col min="3307" max="3307" width="10.7109375" style="231" customWidth="1"/>
    <col min="3308" max="3309" width="10.7109375" style="231"/>
    <col min="3310" max="3311" width="10.7109375" style="231" customWidth="1"/>
    <col min="3312" max="3314" width="10.7109375" style="231"/>
    <col min="3315" max="3315" width="10.7109375" style="231" customWidth="1"/>
    <col min="3316" max="3316" width="10.7109375" style="231"/>
    <col min="3317" max="3320" width="10.7109375" style="231" customWidth="1"/>
    <col min="3321" max="3321" width="10.7109375" style="231"/>
    <col min="3322" max="3323" width="10.7109375" style="231" customWidth="1"/>
    <col min="3324" max="3324" width="10.7109375" style="231"/>
    <col min="3325" max="3326" width="10.7109375" style="231" customWidth="1"/>
    <col min="3327" max="3327" width="10.7109375" style="231"/>
    <col min="3328" max="3328" width="10.7109375" style="231" customWidth="1"/>
    <col min="3329" max="3329" width="10.7109375" style="231"/>
    <col min="3330" max="3331" width="10.7109375" style="231" customWidth="1"/>
    <col min="3332" max="3333" width="10.7109375" style="231"/>
    <col min="3334" max="3335" width="10.7109375" style="231" customWidth="1"/>
    <col min="3336" max="3337" width="10.7109375" style="231"/>
    <col min="3338" max="3338" width="10.7109375" style="231" customWidth="1"/>
    <col min="3339" max="3342" width="10.7109375" style="231"/>
    <col min="3343" max="3344" width="10.7109375" style="231" customWidth="1"/>
    <col min="3345" max="3346" width="10.7109375" style="231"/>
    <col min="3347" max="3347" width="10.7109375" style="231" customWidth="1"/>
    <col min="3348" max="3348" width="10.7109375" style="231"/>
    <col min="3349" max="3349" width="10.7109375" style="231" customWidth="1"/>
    <col min="3350" max="3351" width="10.7109375" style="231"/>
    <col min="3352" max="3352" width="10.7109375" style="231" customWidth="1"/>
    <col min="3353" max="3353" width="10.7109375" style="231"/>
    <col min="3354" max="3354" width="10.7109375" style="231" customWidth="1"/>
    <col min="3355" max="3356" width="10.7109375" style="231"/>
    <col min="3357" max="3357" width="10.7109375" style="231" customWidth="1"/>
    <col min="3358" max="3359" width="10.7109375" style="231"/>
    <col min="3360" max="3360" width="10.7109375" style="231" customWidth="1"/>
    <col min="3361" max="3361" width="10.7109375" style="231"/>
    <col min="3362" max="3363" width="10.7109375" style="231" customWidth="1"/>
    <col min="3364" max="3374" width="10.7109375" style="231"/>
    <col min="3375" max="3376" width="10.7109375" style="231" customWidth="1"/>
    <col min="3377" max="3378" width="10.7109375" style="231"/>
    <col min="3379" max="3381" width="10.7109375" style="231" customWidth="1"/>
    <col min="3382" max="3383" width="10.7109375" style="231"/>
    <col min="3384" max="3384" width="10.7109375" style="231" customWidth="1"/>
    <col min="3385" max="3388" width="10.7109375" style="231"/>
    <col min="3389" max="3389" width="10.7109375" style="231" customWidth="1"/>
    <col min="3390" max="3391" width="10.7109375" style="231"/>
    <col min="3392" max="3392" width="10.7109375" style="231" customWidth="1"/>
    <col min="3393" max="3393" width="10.7109375" style="231"/>
    <col min="3394" max="3394" width="10.7109375" style="231" customWidth="1"/>
    <col min="3395" max="3404" width="10.7109375" style="231"/>
    <col min="3405" max="3405" width="10.7109375" style="231" customWidth="1"/>
    <col min="3406" max="3406" width="10.7109375" style="231"/>
    <col min="3407" max="3408" width="10.7109375" style="231" customWidth="1"/>
    <col min="3409" max="3409" width="10.7109375" style="231"/>
    <col min="3410" max="3412" width="10.7109375" style="231" customWidth="1"/>
    <col min="3413" max="3415" width="10.7109375" style="231"/>
    <col min="3416" max="3416" width="10.7109375" style="231" customWidth="1"/>
    <col min="3417" max="3418" width="10.7109375" style="231"/>
    <col min="3419" max="3419" width="10.7109375" style="231" customWidth="1"/>
    <col min="3420" max="3423" width="10.7109375" style="231"/>
    <col min="3424" max="3424" width="10.7109375" style="231" customWidth="1"/>
    <col min="3425" max="3425" width="10.7109375" style="231"/>
    <col min="3426" max="3426" width="10.7109375" style="231" customWidth="1"/>
    <col min="3427" max="3427" width="10.7109375" style="231"/>
    <col min="3428" max="3428" width="10.7109375" style="231" customWidth="1"/>
    <col min="3429" max="3431" width="10.7109375" style="231"/>
    <col min="3432" max="3432" width="10.7109375" style="231" customWidth="1"/>
    <col min="3433" max="3433" width="10.7109375" style="231"/>
    <col min="3434" max="3434" width="10.7109375" style="231" customWidth="1"/>
    <col min="3435" max="3439" width="10.7109375" style="231"/>
    <col min="3440" max="3440" width="10.7109375" style="231" customWidth="1"/>
    <col min="3441" max="3443" width="10.7109375" style="231"/>
    <col min="3444" max="3445" width="10.7109375" style="231" customWidth="1"/>
    <col min="3446" max="3447" width="10.7109375" style="231"/>
    <col min="3448" max="3449" width="10.7109375" style="231" customWidth="1"/>
    <col min="3450" max="3452" width="10.7109375" style="231"/>
    <col min="3453" max="3453" width="10.7109375" style="231" customWidth="1"/>
    <col min="3454" max="3454" width="10.7109375" style="231"/>
    <col min="3455" max="3460" width="10.7109375" style="231" customWidth="1"/>
    <col min="3461" max="3463" width="10.7109375" style="231"/>
    <col min="3464" max="3465" width="10.7109375" style="231" customWidth="1"/>
    <col min="3466" max="3466" width="10.7109375" style="231"/>
    <col min="3467" max="3468" width="10.7109375" style="231" customWidth="1"/>
    <col min="3469" max="3471" width="10.7109375" style="231"/>
    <col min="3472" max="3472" width="10.7109375" style="231" customWidth="1"/>
    <col min="3473" max="3473" width="10.7109375" style="231"/>
    <col min="3474" max="3475" width="10.7109375" style="231" customWidth="1"/>
    <col min="3476" max="3476" width="10.7109375" style="231"/>
    <col min="3477" max="3477" width="10.7109375" style="231" customWidth="1"/>
    <col min="3478" max="3479" width="10.7109375" style="231"/>
    <col min="3480" max="3481" width="10.7109375" style="231" customWidth="1"/>
    <col min="3482" max="3488" width="10.7109375" style="231"/>
    <col min="3489" max="3490" width="10.7109375" style="231" customWidth="1"/>
    <col min="3491" max="3495" width="10.7109375" style="231"/>
    <col min="3496" max="3497" width="10.7109375" style="231" customWidth="1"/>
    <col min="3498" max="3500" width="10.7109375" style="231"/>
    <col min="3501" max="3501" width="10.7109375" style="231" customWidth="1"/>
    <col min="3502" max="3502" width="10.7109375" style="231"/>
    <col min="3503" max="3506" width="10.7109375" style="231" customWidth="1"/>
    <col min="3507" max="3507" width="10.7109375" style="231"/>
    <col min="3508" max="3508" width="10.7109375" style="231" customWidth="1"/>
    <col min="3509" max="3511" width="10.7109375" style="231"/>
    <col min="3512" max="3512" width="10.7109375" style="231" customWidth="1"/>
    <col min="3513" max="3513" width="10.7109375" style="231"/>
    <col min="3514" max="3514" width="10.7109375" style="231" customWidth="1"/>
    <col min="3515" max="3516" width="10.7109375" style="231"/>
    <col min="3517" max="3517" width="10.7109375" style="231" customWidth="1"/>
    <col min="3518" max="3519" width="10.7109375" style="231"/>
    <col min="3520" max="3520" width="10.7109375" style="231" customWidth="1"/>
    <col min="3521" max="3527" width="10.7109375" style="231"/>
    <col min="3528" max="3528" width="10.7109375" style="231" customWidth="1"/>
    <col min="3529" max="3532" width="10.7109375" style="231"/>
    <col min="3533" max="3533" width="10.7109375" style="231" customWidth="1"/>
    <col min="3534" max="3535" width="10.7109375" style="231"/>
    <col min="3536" max="3536" width="10.7109375" style="231" customWidth="1"/>
    <col min="3537" max="3543" width="10.7109375" style="231"/>
    <col min="3544" max="3544" width="10.7109375" style="231" customWidth="1"/>
    <col min="3545" max="3551" width="10.7109375" style="231"/>
    <col min="3552" max="3552" width="10.7109375" style="231" customWidth="1"/>
    <col min="3553" max="3558" width="10.7109375" style="231"/>
    <col min="3559" max="3560" width="10.7109375" style="231" customWidth="1"/>
    <col min="3561" max="3563" width="10.7109375" style="231"/>
    <col min="3564" max="3564" width="10.7109375" style="231" customWidth="1"/>
    <col min="3565" max="3568" width="10.7109375" style="231"/>
    <col min="3569" max="3570" width="10.7109375" style="231" customWidth="1"/>
    <col min="3571" max="3571" width="10.7109375" style="231"/>
    <col min="3572" max="3572" width="10.7109375" style="231" customWidth="1"/>
    <col min="3573" max="3575" width="10.7109375" style="231"/>
    <col min="3576" max="3576" width="10.7109375" style="231" customWidth="1"/>
    <col min="3577" max="3577" width="10.7109375" style="231"/>
    <col min="3578" max="3578" width="10.7109375" style="231" customWidth="1"/>
    <col min="3579" max="3579" width="10.7109375" style="231"/>
    <col min="3580" max="3581" width="10.7109375" style="231" customWidth="1"/>
    <col min="3582" max="3583" width="10.7109375" style="231"/>
    <col min="3584" max="3584" width="10.7109375" style="231" customWidth="1"/>
    <col min="3585" max="3585" width="10.7109375" style="231"/>
    <col min="3586" max="3586" width="10.7109375" style="231" customWidth="1"/>
    <col min="3587" max="3591" width="10.7109375" style="231"/>
    <col min="3592" max="3592" width="10.7109375" style="231" customWidth="1"/>
    <col min="3593" max="3593" width="10.7109375" style="231"/>
    <col min="3594" max="3594" width="10.7109375" style="231" customWidth="1"/>
    <col min="3595" max="3595" width="10.7109375" style="231"/>
    <col min="3596" max="3597" width="10.7109375" style="231" customWidth="1"/>
    <col min="3598" max="3599" width="10.7109375" style="231"/>
    <col min="3600" max="3601" width="10.7109375" style="231" customWidth="1"/>
    <col min="3602" max="3603" width="10.7109375" style="231"/>
    <col min="3604" max="3606" width="10.7109375" style="231" customWidth="1"/>
    <col min="3607" max="3607" width="10.7109375" style="231"/>
    <col min="3608" max="3610" width="10.7109375" style="231" customWidth="1"/>
    <col min="3611" max="3617" width="10.7109375" style="231"/>
    <col min="3618" max="3618" width="10.7109375" style="231" customWidth="1"/>
    <col min="3619" max="3623" width="10.7109375" style="231"/>
    <col min="3624" max="3624" width="10.7109375" style="231" customWidth="1"/>
    <col min="3625" max="3627" width="10.7109375" style="231"/>
    <col min="3628" max="3629" width="10.7109375" style="231" customWidth="1"/>
    <col min="3630" max="3631" width="10.7109375" style="231"/>
    <col min="3632" max="3634" width="10.7109375" style="231" customWidth="1"/>
    <col min="3635" max="3638" width="10.7109375" style="231"/>
    <col min="3639" max="3640" width="10.7109375" style="231" customWidth="1"/>
    <col min="3641" max="3644" width="10.7109375" style="231"/>
    <col min="3645" max="3645" width="10.7109375" style="231" customWidth="1"/>
    <col min="3646" max="3646" width="10.7109375" style="231"/>
    <col min="3647" max="3647" width="10.7109375" style="231" customWidth="1"/>
    <col min="3648" max="3678" width="10.7109375" style="231"/>
    <col min="3679" max="3679" width="10.7109375" style="231" customWidth="1"/>
    <col min="3680" max="3682" width="10.7109375" style="231"/>
    <col min="3683" max="3683" width="10.7109375" style="231" customWidth="1"/>
    <col min="3684" max="3686" width="10.7109375" style="231"/>
    <col min="3687" max="3687" width="10.7109375" style="231" customWidth="1"/>
    <col min="3688" max="3689" width="10.7109375" style="231"/>
    <col min="3690" max="3690" width="10.7109375" style="231" customWidth="1"/>
    <col min="3691" max="3692" width="10.7109375" style="231"/>
    <col min="3693" max="3696" width="10.7109375" style="231" customWidth="1"/>
    <col min="3697" max="3698" width="10.7109375" style="231"/>
    <col min="3699" max="3699" width="10.7109375" style="231" customWidth="1"/>
    <col min="3700" max="3700" width="10.7109375" style="231"/>
    <col min="3701" max="3704" width="10.7109375" style="231" customWidth="1"/>
    <col min="3705" max="3705" width="10.7109375" style="231"/>
    <col min="3706" max="3707" width="10.7109375" style="231" customWidth="1"/>
    <col min="3708" max="3708" width="10.7109375" style="231"/>
    <col min="3709" max="3712" width="10.7109375" style="231" customWidth="1"/>
    <col min="3713" max="3713" width="10.7109375" style="231"/>
    <col min="3714" max="3715" width="10.7109375" style="231" customWidth="1"/>
    <col min="3716" max="3716" width="10.7109375" style="231"/>
    <col min="3717" max="3720" width="10.7109375" style="231" customWidth="1"/>
    <col min="3721" max="3721" width="10.7109375" style="231"/>
    <col min="3722" max="3723" width="10.7109375" style="231" customWidth="1"/>
    <col min="3724" max="3724" width="10.7109375" style="231"/>
    <col min="3725" max="3730" width="10.7109375" style="231" customWidth="1"/>
    <col min="3731" max="3734" width="10.7109375" style="231"/>
    <col min="3735" max="3736" width="10.7109375" style="231" customWidth="1"/>
    <col min="3737" max="3737" width="10.7109375" style="231"/>
    <col min="3738" max="3739" width="10.7109375" style="231" customWidth="1"/>
    <col min="3740" max="3744" width="10.7109375" style="231"/>
    <col min="3745" max="3745" width="10.7109375" style="231" customWidth="1"/>
    <col min="3746" max="3751" width="10.7109375" style="231"/>
    <col min="3752" max="3754" width="10.7109375" style="231" customWidth="1"/>
    <col min="3755" max="3755" width="10.7109375" style="231"/>
    <col min="3756" max="3756" width="10.7109375" style="231" customWidth="1"/>
    <col min="3757" max="3759" width="10.7109375" style="231"/>
    <col min="3760" max="3760" width="10.7109375" style="231" customWidth="1"/>
    <col min="3761" max="3761" width="10.7109375" style="231"/>
    <col min="3762" max="3762" width="10.7109375" style="231" customWidth="1"/>
    <col min="3763" max="3763" width="10.7109375" style="231"/>
    <col min="3764" max="3765" width="10.7109375" style="231" customWidth="1"/>
    <col min="3766" max="3767" width="10.7109375" style="231"/>
    <col min="3768" max="3768" width="10.7109375" style="231" customWidth="1"/>
    <col min="3769" max="3771" width="10.7109375" style="231"/>
    <col min="3772" max="3773" width="10.7109375" style="231" customWidth="1"/>
    <col min="3774" max="3775" width="10.7109375" style="231"/>
    <col min="3776" max="3776" width="10.7109375" style="231" customWidth="1"/>
    <col min="3777" max="3777" width="10.7109375" style="231"/>
    <col min="3778" max="3778" width="10.7109375" style="231" customWidth="1"/>
    <col min="3779" max="3783" width="10.7109375" style="231"/>
    <col min="3784" max="3785" width="10.7109375" style="231" customWidth="1"/>
    <col min="3786" max="3787" width="10.7109375" style="231"/>
    <col min="3788" max="3788" width="10.7109375" style="231" customWidth="1"/>
    <col min="3789" max="3791" width="10.7109375" style="231"/>
    <col min="3792" max="3793" width="10.7109375" style="231" customWidth="1"/>
    <col min="3794" max="3798" width="10.7109375" style="231"/>
    <col min="3799" max="3800" width="10.7109375" style="231" customWidth="1"/>
    <col min="3801" max="3801" width="10.7109375" style="231"/>
    <col min="3802" max="3802" width="10.7109375" style="231" customWidth="1"/>
    <col min="3803" max="3803" width="10.7109375" style="231"/>
    <col min="3804" max="3804" width="10.7109375" style="231" customWidth="1"/>
    <col min="3805" max="3806" width="10.7109375" style="231"/>
    <col min="3807" max="3808" width="10.7109375" style="231" customWidth="1"/>
    <col min="3809" max="3809" width="10.7109375" style="231"/>
    <col min="3810" max="3810" width="10.7109375" style="231" customWidth="1"/>
    <col min="3811" max="3814" width="10.7109375" style="231"/>
    <col min="3815" max="3816" width="10.7109375" style="231" customWidth="1"/>
    <col min="3817" max="3820" width="10.7109375" style="231"/>
    <col min="3821" max="3821" width="10.7109375" style="231" customWidth="1"/>
    <col min="3822" max="3822" width="10.7109375" style="231"/>
    <col min="3823" max="3824" width="10.7109375" style="231" customWidth="1"/>
    <col min="3825" max="3825" width="10.7109375" style="231"/>
    <col min="3826" max="3827" width="10.7109375" style="231" customWidth="1"/>
    <col min="3828" max="3828" width="10.7109375" style="231"/>
    <col min="3829" max="3829" width="10.7109375" style="231" customWidth="1"/>
    <col min="3830" max="3831" width="10.7109375" style="231"/>
    <col min="3832" max="3832" width="10.7109375" style="231" customWidth="1"/>
    <col min="3833" max="3836" width="10.7109375" style="231"/>
    <col min="3837" max="3837" width="10.7109375" style="231" customWidth="1"/>
    <col min="3838" max="3839" width="10.7109375" style="231"/>
    <col min="3840" max="3840" width="10.7109375" style="231" customWidth="1"/>
    <col min="3841" max="3841" width="10.7109375" style="231"/>
    <col min="3842" max="3842" width="10.7109375" style="231" customWidth="1"/>
    <col min="3843" max="3847" width="10.7109375" style="231"/>
    <col min="3848" max="3848" width="10.7109375" style="231" customWidth="1"/>
    <col min="3849" max="3849" width="10.7109375" style="231"/>
    <col min="3850" max="3850" width="10.7109375" style="231" customWidth="1"/>
    <col min="3851" max="3851" width="10.7109375" style="231"/>
    <col min="3852" max="3853" width="10.7109375" style="231" customWidth="1"/>
    <col min="3854" max="3855" width="10.7109375" style="231"/>
    <col min="3856" max="3856" width="10.7109375" style="231" customWidth="1"/>
    <col min="3857" max="3859" width="10.7109375" style="231"/>
    <col min="3860" max="3861" width="10.7109375" style="231" customWidth="1"/>
    <col min="3862" max="3863" width="10.7109375" style="231"/>
    <col min="3864" max="3864" width="10.7109375" style="231" customWidth="1"/>
    <col min="3865" max="3865" width="10.7109375" style="231"/>
    <col min="3866" max="3866" width="10.7109375" style="231" customWidth="1"/>
    <col min="3867" max="3867" width="10.7109375" style="231"/>
    <col min="3868" max="3868" width="10.7109375" style="231" customWidth="1"/>
    <col min="3869" max="3872" width="10.7109375" style="231"/>
    <col min="3873" max="3873" width="10.7109375" style="231" customWidth="1"/>
    <col min="3874" max="3879" width="10.7109375" style="231"/>
    <col min="3880" max="3881" width="10.7109375" style="231" customWidth="1"/>
    <col min="3882" max="3886" width="10.7109375" style="231"/>
    <col min="3887" max="3889" width="10.7109375" style="231" customWidth="1"/>
    <col min="3890" max="3890" width="10.7109375" style="231"/>
    <col min="3891" max="3891" width="10.7109375" style="231" customWidth="1"/>
    <col min="3892" max="3892" width="10.7109375" style="231"/>
    <col min="3893" max="3893" width="10.7109375" style="231" customWidth="1"/>
    <col min="3894" max="3894" width="10.7109375" style="231"/>
    <col min="3895" max="3896" width="10.7109375" style="231" customWidth="1"/>
    <col min="3897" max="3897" width="10.7109375" style="231"/>
    <col min="3898" max="3899" width="10.7109375" style="231" customWidth="1"/>
    <col min="3900" max="3900" width="10.7109375" style="231"/>
    <col min="3901" max="3901" width="10.7109375" style="231" customWidth="1"/>
    <col min="3902" max="3902" width="10.7109375" style="231"/>
    <col min="3903" max="3903" width="10.7109375" style="231" customWidth="1"/>
    <col min="3904" max="3918" width="10.7109375" style="231"/>
    <col min="3919" max="3919" width="10.7109375" style="231" customWidth="1"/>
    <col min="3920" max="3921" width="10.7109375" style="231"/>
    <col min="3922" max="3923" width="10.7109375" style="231" customWidth="1"/>
    <col min="3924" max="3924" width="10.7109375" style="231"/>
    <col min="3925" max="3927" width="10.7109375" style="231" customWidth="1"/>
    <col min="3928" max="3928" width="10.7109375" style="231"/>
    <col min="3929" max="3930" width="10.7109375" style="231" customWidth="1"/>
    <col min="3931" max="3935" width="10.7109375" style="231"/>
    <col min="3936" max="3936" width="10.7109375" style="231" customWidth="1"/>
    <col min="3937" max="3940" width="10.7109375" style="231"/>
    <col min="3941" max="3941" width="10.7109375" style="231" customWidth="1"/>
    <col min="3942" max="3942" width="10.7109375" style="231"/>
    <col min="3943" max="3945" width="10.7109375" style="231" customWidth="1"/>
    <col min="3946" max="3953" width="10.7109375" style="231"/>
    <col min="3954" max="3955" width="10.7109375" style="231" customWidth="1"/>
    <col min="3956" max="3956" width="10.7109375" style="231"/>
    <col min="3957" max="3957" width="10.7109375" style="231" customWidth="1"/>
    <col min="3958" max="3959" width="10.7109375" style="231"/>
    <col min="3960" max="3960" width="10.7109375" style="231" customWidth="1"/>
    <col min="3961" max="3963" width="10.7109375" style="231"/>
    <col min="3964" max="3965" width="10.7109375" style="231" customWidth="1"/>
    <col min="3966" max="3967" width="10.7109375" style="231"/>
    <col min="3968" max="3968" width="10.7109375" style="231" customWidth="1"/>
    <col min="3969" max="3969" width="10.7109375" style="231"/>
    <col min="3970" max="3970" width="10.7109375" style="231" customWidth="1"/>
    <col min="3971" max="3975" width="10.7109375" style="231"/>
    <col min="3976" max="3977" width="10.7109375" style="231" customWidth="1"/>
    <col min="3978" max="3982" width="10.7109375" style="231"/>
    <col min="3983" max="3984" width="10.7109375" style="231" customWidth="1"/>
    <col min="3985" max="3986" width="10.7109375" style="231"/>
    <col min="3987" max="3987" width="10.7109375" style="231" customWidth="1"/>
    <col min="3988" max="3988" width="10.7109375" style="231"/>
    <col min="3989" max="3992" width="10.7109375" style="231" customWidth="1"/>
    <col min="3993" max="3993" width="10.7109375" style="231"/>
    <col min="3994" max="3995" width="10.7109375" style="231" customWidth="1"/>
    <col min="3996" max="3996" width="10.7109375" style="231"/>
    <col min="3997" max="4000" width="10.7109375" style="231" customWidth="1"/>
    <col min="4001" max="4001" width="10.7109375" style="231"/>
    <col min="4002" max="4003" width="10.7109375" style="231" customWidth="1"/>
    <col min="4004" max="4004" width="10.7109375" style="231"/>
    <col min="4005" max="4008" width="10.7109375" style="231" customWidth="1"/>
    <col min="4009" max="4009" width="10.7109375" style="231"/>
    <col min="4010" max="4011" width="10.7109375" style="231" customWidth="1"/>
    <col min="4012" max="4012" width="10.7109375" style="231"/>
    <col min="4013" max="4018" width="10.7109375" style="231" customWidth="1"/>
    <col min="4019" max="4022" width="10.7109375" style="231"/>
    <col min="4023" max="4024" width="10.7109375" style="231" customWidth="1"/>
    <col min="4025" max="4028" width="10.7109375" style="231"/>
    <col min="4029" max="4029" width="10.7109375" style="231" customWidth="1"/>
    <col min="4030" max="4031" width="10.7109375" style="231"/>
    <col min="4032" max="4032" width="10.7109375" style="231" customWidth="1"/>
    <col min="4033" max="4033" width="10.7109375" style="231"/>
    <col min="4034" max="4035" width="10.7109375" style="231" customWidth="1"/>
    <col min="4036" max="4047" width="10.7109375" style="231"/>
    <col min="4048" max="4049" width="10.7109375" style="231" customWidth="1"/>
    <col min="4050" max="4050" width="10.7109375" style="231"/>
    <col min="4051" max="4052" width="10.7109375" style="231" customWidth="1"/>
    <col min="4053" max="4059" width="10.7109375" style="231"/>
    <col min="4060" max="4061" width="10.7109375" style="231" customWidth="1"/>
    <col min="4062" max="4063" width="10.7109375" style="231"/>
    <col min="4064" max="4064" width="10.7109375" style="231" customWidth="1"/>
    <col min="4065" max="4065" width="10.7109375" style="231"/>
    <col min="4066" max="4067" width="10.7109375" style="231" customWidth="1"/>
    <col min="4068" max="4071" width="10.7109375" style="231"/>
    <col min="4072" max="4072" width="10.7109375" style="231" customWidth="1"/>
    <col min="4073" max="4078" width="10.7109375" style="231"/>
    <col min="4079" max="4080" width="10.7109375" style="231" customWidth="1"/>
    <col min="4081" max="4086" width="10.7109375" style="231"/>
    <col min="4087" max="4087" width="10.7109375" style="231" customWidth="1"/>
    <col min="4088" max="4089" width="10.7109375" style="231"/>
    <col min="4090" max="4091" width="10.7109375" style="231" customWidth="1"/>
    <col min="4092" max="4092" width="10.7109375" style="231"/>
    <col min="4093" max="4096" width="10.7109375" style="231" customWidth="1"/>
    <col min="4097" max="4097" width="10.7109375" style="231"/>
    <col min="4098" max="4099" width="10.7109375" style="231" customWidth="1"/>
    <col min="4100" max="4100" width="10.7109375" style="231"/>
    <col min="4101" max="4106" width="10.7109375" style="231" customWidth="1"/>
    <col min="4107" max="4110" width="10.7109375" style="231"/>
    <col min="4111" max="4112" width="10.7109375" style="231" customWidth="1"/>
    <col min="4113" max="4116" width="10.7109375" style="231"/>
    <col min="4117" max="4117" width="10.7109375" style="231" customWidth="1"/>
    <col min="4118" max="4118" width="10.7109375" style="231"/>
    <col min="4119" max="4121" width="10.7109375" style="231" customWidth="1"/>
    <col min="4122" max="4123" width="10.7109375" style="231"/>
    <col min="4124" max="4125" width="10.7109375" style="231" customWidth="1"/>
    <col min="4126" max="4127" width="10.7109375" style="231"/>
    <col min="4128" max="4128" width="10.7109375" style="231" customWidth="1"/>
    <col min="4129" max="4129" width="10.7109375" style="231"/>
    <col min="4130" max="4131" width="10.7109375" style="231" customWidth="1"/>
    <col min="4132" max="4132" width="10.7109375" style="231"/>
    <col min="4133" max="4133" width="10.7109375" style="231" customWidth="1"/>
    <col min="4134" max="4135" width="10.7109375" style="231"/>
    <col min="4136" max="4136" width="10.7109375" style="231" customWidth="1"/>
    <col min="4137" max="4138" width="10.7109375" style="231"/>
    <col min="4139" max="4141" width="10.7109375" style="231" customWidth="1"/>
    <col min="4142" max="4143" width="10.7109375" style="231"/>
    <col min="4144" max="4145" width="10.7109375" style="231" customWidth="1"/>
    <col min="4146" max="4147" width="10.7109375" style="231"/>
    <col min="4148" max="4148" width="10.7109375" style="231" customWidth="1"/>
    <col min="4149" max="4152" width="10.7109375" style="231"/>
    <col min="4153" max="4153" width="10.7109375" style="231" customWidth="1"/>
    <col min="4154" max="4158" width="10.7109375" style="231"/>
    <col min="4159" max="4161" width="10.7109375" style="231" customWidth="1"/>
    <col min="4162" max="4162" width="10.7109375" style="231"/>
    <col min="4163" max="4163" width="10.7109375" style="231" customWidth="1"/>
    <col min="4164" max="4164" width="10.7109375" style="231"/>
    <col min="4165" max="4168" width="10.7109375" style="231" customWidth="1"/>
    <col min="4169" max="4169" width="10.7109375" style="231"/>
    <col min="4170" max="4171" width="10.7109375" style="231" customWidth="1"/>
    <col min="4172" max="4172" width="10.7109375" style="231"/>
    <col min="4173" max="4176" width="10.7109375" style="231" customWidth="1"/>
    <col min="4177" max="4177" width="10.7109375" style="231"/>
    <col min="4178" max="4179" width="10.7109375" style="231" customWidth="1"/>
    <col min="4180" max="4180" width="10.7109375" style="231"/>
    <col min="4181" max="4186" width="10.7109375" style="231" customWidth="1"/>
    <col min="4187" max="4190" width="10.7109375" style="231"/>
    <col min="4191" max="4192" width="10.7109375" style="231" customWidth="1"/>
    <col min="4193" max="4194" width="10.7109375" style="231"/>
    <col min="4195" max="4195" width="10.7109375" style="231" customWidth="1"/>
    <col min="4196" max="4199" width="10.7109375" style="231"/>
    <col min="4200" max="4200" width="10.7109375" style="231" customWidth="1"/>
    <col min="4201" max="4201" width="10.7109375" style="231"/>
    <col min="4202" max="4202" width="10.7109375" style="231" customWidth="1"/>
    <col min="4203" max="4203" width="10.7109375" style="231"/>
    <col min="4204" max="4204" width="10.7109375" style="231" customWidth="1"/>
    <col min="4205" max="4207" width="10.7109375" style="231"/>
    <col min="4208" max="4208" width="10.7109375" style="231" customWidth="1"/>
    <col min="4209" max="4209" width="10.7109375" style="231"/>
    <col min="4210" max="4211" width="10.7109375" style="231" customWidth="1"/>
    <col min="4212" max="4216" width="10.7109375" style="231"/>
    <col min="4217" max="4217" width="10.7109375" style="231" customWidth="1"/>
    <col min="4218" max="4222" width="10.7109375" style="231"/>
    <col min="4223" max="4223" width="10.7109375" style="231" customWidth="1"/>
    <col min="4224" max="4226" width="10.7109375" style="231"/>
    <col min="4227" max="4227" width="10.7109375" style="231" customWidth="1"/>
    <col min="4228" max="4231" width="10.7109375" style="231"/>
    <col min="4232" max="4232" width="10.7109375" style="231" customWidth="1"/>
    <col min="4233" max="4239" width="10.7109375" style="231"/>
    <col min="4240" max="4240" width="10.7109375" style="231" customWidth="1"/>
    <col min="4241" max="4241" width="10.7109375" style="231"/>
    <col min="4242" max="4242" width="10.7109375" style="231" customWidth="1"/>
    <col min="4243" max="4244" width="10.7109375" style="231"/>
    <col min="4245" max="4245" width="10.7109375" style="231" customWidth="1"/>
    <col min="4246" max="4248" width="10.7109375" style="231"/>
    <col min="4249" max="4249" width="10.7109375" style="231" customWidth="1"/>
    <col min="4250" max="4252" width="10.7109375" style="231"/>
    <col min="4253" max="4253" width="10.7109375" style="231" customWidth="1"/>
    <col min="4254" max="4263" width="10.7109375" style="231"/>
    <col min="4264" max="4264" width="10.7109375" style="231" customWidth="1"/>
    <col min="4265" max="4265" width="10.7109375" style="231"/>
    <col min="4266" max="4268" width="10.7109375" style="231" customWidth="1"/>
    <col min="4269" max="4271" width="10.7109375" style="231"/>
    <col min="4272" max="4276" width="10.7109375" style="231" customWidth="1"/>
    <col min="4277" max="4279" width="10.7109375" style="231"/>
    <col min="4280" max="4282" width="10.7109375" style="231" customWidth="1"/>
    <col min="4283" max="4284" width="10.7109375" style="231"/>
    <col min="4285" max="4285" width="10.7109375" style="231" customWidth="1"/>
    <col min="4286" max="4287" width="10.7109375" style="231"/>
    <col min="4288" max="4288" width="10.7109375" style="231" customWidth="1"/>
    <col min="4289" max="4289" width="10.7109375" style="231"/>
    <col min="4290" max="4290" width="10.7109375" style="231" customWidth="1"/>
    <col min="4291" max="4291" width="10.7109375" style="231"/>
    <col min="4292" max="4293" width="10.7109375" style="231" customWidth="1"/>
    <col min="4294" max="4295" width="10.7109375" style="231"/>
    <col min="4296" max="4297" width="10.7109375" style="231" customWidth="1"/>
    <col min="4298" max="4300" width="10.7109375" style="231"/>
    <col min="4301" max="4301" width="10.7109375" style="231" customWidth="1"/>
    <col min="4302" max="4302" width="10.7109375" style="231"/>
    <col min="4303" max="4308" width="10.7109375" style="231" customWidth="1"/>
    <col min="4309" max="4311" width="10.7109375" style="231"/>
    <col min="4312" max="4313" width="10.7109375" style="231" customWidth="1"/>
    <col min="4314" max="4315" width="10.7109375" style="231"/>
    <col min="4316" max="4316" width="10.7109375" style="231" customWidth="1"/>
    <col min="4317" max="4321" width="10.7109375" style="231"/>
    <col min="4322" max="4323" width="10.7109375" style="231" customWidth="1"/>
    <col min="4324" max="4327" width="10.7109375" style="231"/>
    <col min="4328" max="4328" width="10.7109375" style="231" customWidth="1"/>
    <col min="4329" max="4335" width="10.7109375" style="231"/>
    <col min="4336" max="4336" width="10.7109375" style="231" customWidth="1"/>
    <col min="4337" max="4339" width="10.7109375" style="231"/>
    <col min="4340" max="4340" width="10.7109375" style="231" customWidth="1"/>
    <col min="4341" max="4343" width="10.7109375" style="231"/>
    <col min="4344" max="4344" width="10.7109375" style="231" customWidth="1"/>
    <col min="4345" max="4348" width="10.7109375" style="231"/>
    <col min="4349" max="4349" width="10.7109375" style="231" customWidth="1"/>
    <col min="4350" max="4350" width="10.7109375" style="231"/>
    <col min="4351" max="4354" width="10.7109375" style="231" customWidth="1"/>
    <col min="4355" max="4355" width="10.7109375" style="231"/>
    <col min="4356" max="4356" width="10.7109375" style="231" customWidth="1"/>
    <col min="4357" max="4359" width="10.7109375" style="231"/>
    <col min="4360" max="4360" width="10.7109375" style="231" customWidth="1"/>
    <col min="4361" max="4361" width="10.7109375" style="231"/>
    <col min="4362" max="4363" width="10.7109375" style="231" customWidth="1"/>
    <col min="4364" max="4364" width="10.7109375" style="231"/>
    <col min="4365" max="4365" width="10.7109375" style="231" customWidth="1"/>
    <col min="4366" max="4367" width="10.7109375" style="231"/>
    <col min="4368" max="4368" width="10.7109375" style="231" customWidth="1"/>
    <col min="4369" max="4370" width="10.7109375" style="231"/>
    <col min="4371" max="4373" width="10.7109375" style="231" customWidth="1"/>
    <col min="4374" max="4375" width="10.7109375" style="231"/>
    <col min="4376" max="4376" width="10.7109375" style="231" customWidth="1"/>
    <col min="4377" max="4378" width="10.7109375" style="231"/>
    <col min="4379" max="4379" width="10.7109375" style="231" customWidth="1"/>
    <col min="4380" max="4380" width="10.7109375" style="231"/>
    <col min="4381" max="4381" width="10.7109375" style="231" customWidth="1"/>
    <col min="4382" max="4383" width="10.7109375" style="231"/>
    <col min="4384" max="4384" width="10.7109375" style="231" customWidth="1"/>
    <col min="4385" max="4385" width="10.7109375" style="231"/>
    <col min="4386" max="4386" width="10.7109375" style="231" customWidth="1"/>
    <col min="4387" max="4387" width="10.7109375" style="231"/>
    <col min="4388" max="4389" width="10.7109375" style="231" customWidth="1"/>
    <col min="4390" max="4391" width="10.7109375" style="231"/>
    <col min="4392" max="4394" width="10.7109375" style="231" customWidth="1"/>
    <col min="4395" max="4399" width="10.7109375" style="231"/>
    <col min="4400" max="4401" width="10.7109375" style="231" customWidth="1"/>
    <col min="4402" max="4407" width="10.7109375" style="231"/>
    <col min="4408" max="4408" width="10.7109375" style="231" customWidth="1"/>
    <col min="4409" max="4412" width="10.7109375" style="231"/>
    <col min="4413" max="4414" width="10.7109375" style="231" customWidth="1"/>
    <col min="4415" max="4415" width="10.7109375" style="231"/>
    <col min="4416" max="4420" width="10.7109375" style="231" customWidth="1"/>
    <col min="4421" max="4421" width="10.7109375" style="231"/>
    <col min="4422" max="4422" width="10.7109375" style="231" customWidth="1"/>
    <col min="4423" max="4423" width="10.7109375" style="231"/>
    <col min="4424" max="4424" width="10.7109375" style="231" customWidth="1"/>
    <col min="4425" max="4425" width="10.7109375" style="231"/>
    <col min="4426" max="4427" width="10.7109375" style="231" customWidth="1"/>
    <col min="4428" max="4428" width="10.7109375" style="231"/>
    <col min="4429" max="4430" width="10.7109375" style="231" customWidth="1"/>
    <col min="4431" max="4431" width="10.7109375" style="231"/>
    <col min="4432" max="4433" width="10.7109375" style="231" customWidth="1"/>
    <col min="4434" max="4435" width="10.7109375" style="231"/>
    <col min="4436" max="4436" width="10.7109375" style="231" customWidth="1"/>
    <col min="4437" max="4437" width="10.7109375" style="231"/>
    <col min="4438" max="4438" width="10.7109375" style="231" customWidth="1"/>
    <col min="4439" max="4439" width="10.7109375" style="231"/>
    <col min="4440" max="4440" width="10.7109375" style="231" customWidth="1"/>
    <col min="4441" max="4441" width="10.7109375" style="231"/>
    <col min="4442" max="4442" width="10.7109375" style="231" customWidth="1"/>
    <col min="4443" max="4443" width="10.7109375" style="231"/>
    <col min="4444" max="4445" width="10.7109375" style="231" customWidth="1"/>
    <col min="4446" max="4447" width="10.7109375" style="231"/>
    <col min="4448" max="4449" width="10.7109375" style="231" customWidth="1"/>
    <col min="4450" max="4450" width="10.7109375" style="231"/>
    <col min="4451" max="4452" width="10.7109375" style="231" customWidth="1"/>
    <col min="4453" max="4458" width="10.7109375" style="231"/>
    <col min="4459" max="4460" width="10.7109375" style="231" customWidth="1"/>
    <col min="4461" max="4463" width="10.7109375" style="231"/>
    <col min="4464" max="4464" width="10.7109375" style="231" customWidth="1"/>
    <col min="4465" max="4465" width="10.7109375" style="231"/>
    <col min="4466" max="4467" width="10.7109375" style="231" customWidth="1"/>
    <col min="4468" max="4479" width="10.7109375" style="231"/>
    <col min="4480" max="4480" width="10.7109375" style="231" customWidth="1"/>
    <col min="4481" max="4484" width="10.7109375" style="231"/>
    <col min="4485" max="4485" width="10.7109375" style="231" customWidth="1"/>
    <col min="4486" max="4489" width="10.7109375" style="231"/>
    <col min="4490" max="4490" width="10.7109375" style="231" customWidth="1"/>
    <col min="4491" max="4494" width="10.7109375" style="231"/>
    <col min="4495" max="4496" width="10.7109375" style="231" customWidth="1"/>
    <col min="4497" max="4500" width="10.7109375" style="231"/>
    <col min="4501" max="4501" width="10.7109375" style="231" customWidth="1"/>
    <col min="4502" max="4502" width="10.7109375" style="231"/>
    <col min="4503" max="4503" width="10.7109375" style="231" customWidth="1"/>
    <col min="4504" max="4506" width="10.7109375" style="231"/>
    <col min="4507" max="4507" width="10.7109375" style="231" customWidth="1"/>
    <col min="4508" max="4508" width="10.7109375" style="231"/>
    <col min="4509" max="4509" width="10.7109375" style="231" customWidth="1"/>
    <col min="4510" max="4516" width="10.7109375" style="231"/>
    <col min="4517" max="4517" width="10.7109375" style="231" customWidth="1"/>
    <col min="4518" max="4521" width="10.7109375" style="231"/>
    <col min="4522" max="4523" width="10.7109375" style="231" customWidth="1"/>
    <col min="4524" max="4527" width="10.7109375" style="231"/>
    <col min="4528" max="4529" width="10.7109375" style="231" customWidth="1"/>
    <col min="4530" max="4534" width="10.7109375" style="231"/>
    <col min="4535" max="4537" width="10.7109375" style="231" customWidth="1"/>
    <col min="4538" max="4538" width="10.7109375" style="231"/>
    <col min="4539" max="4539" width="10.7109375" style="231" customWidth="1"/>
    <col min="4540" max="4540" width="10.7109375" style="231"/>
    <col min="4541" max="4544" width="10.7109375" style="231" customWidth="1"/>
    <col min="4545" max="4545" width="10.7109375" style="231"/>
    <col min="4546" max="4547" width="10.7109375" style="231" customWidth="1"/>
    <col min="4548" max="4548" width="10.7109375" style="231"/>
    <col min="4549" max="4552" width="10.7109375" style="231" customWidth="1"/>
    <col min="4553" max="4553" width="10.7109375" style="231"/>
    <col min="4554" max="4555" width="10.7109375" style="231" customWidth="1"/>
    <col min="4556" max="4556" width="10.7109375" style="231"/>
    <col min="4557" max="4562" width="10.7109375" style="231" customWidth="1"/>
    <col min="4563" max="4566" width="10.7109375" style="231"/>
    <col min="4567" max="4567" width="10.7109375" style="231" customWidth="1"/>
    <col min="4568" max="4570" width="10.7109375" style="231"/>
    <col min="4571" max="4572" width="10.7109375" style="231" customWidth="1"/>
    <col min="4573" max="4575" width="10.7109375" style="231"/>
    <col min="4576" max="4576" width="10.7109375" style="231" customWidth="1"/>
    <col min="4577" max="4586" width="10.7109375" style="231"/>
    <col min="4587" max="4588" width="10.7109375" style="231" customWidth="1"/>
    <col min="4589" max="4591" width="10.7109375" style="231"/>
    <col min="4592" max="4592" width="10.7109375" style="231" customWidth="1"/>
    <col min="4593" max="4593" width="10.7109375" style="231"/>
    <col min="4594" max="4595" width="10.7109375" style="231" customWidth="1"/>
    <col min="4596" max="4599" width="10.7109375" style="231"/>
    <col min="4600" max="4601" width="10.7109375" style="231" customWidth="1"/>
    <col min="4602" max="4604" width="10.7109375" style="231"/>
    <col min="4605" max="4605" width="10.7109375" style="231" customWidth="1"/>
    <col min="4606" max="4607" width="10.7109375" style="231"/>
    <col min="4608" max="4608" width="10.7109375" style="231" customWidth="1"/>
    <col min="4609" max="4612" width="10.7109375" style="231"/>
    <col min="4613" max="4613" width="10.7109375" style="231" customWidth="1"/>
    <col min="4614" max="4615" width="10.7109375" style="231"/>
    <col min="4616" max="4617" width="10.7109375" style="231" customWidth="1"/>
    <col min="4618" max="4622" width="10.7109375" style="231"/>
    <col min="4623" max="4628" width="10.7109375" style="231" customWidth="1"/>
    <col min="4629" max="4630" width="10.7109375" style="231"/>
    <col min="4631" max="4631" width="10.7109375" style="231" customWidth="1"/>
    <col min="4632" max="4634" width="10.7109375" style="231"/>
    <col min="4635" max="4636" width="10.7109375" style="231" customWidth="1"/>
    <col min="4637" max="4639" width="10.7109375" style="231"/>
    <col min="4640" max="4640" width="10.7109375" style="231" customWidth="1"/>
    <col min="4641" max="4644" width="10.7109375" style="231"/>
    <col min="4645" max="4645" width="10.7109375" style="231" customWidth="1"/>
    <col min="4646" max="4650" width="10.7109375" style="231"/>
    <col min="4651" max="4652" width="10.7109375" style="231" customWidth="1"/>
    <col min="4653" max="4654" width="10.7109375" style="231"/>
    <col min="4655" max="4660" width="10.7109375" style="231" customWidth="1"/>
    <col min="4661" max="4662" width="10.7109375" style="231"/>
    <col min="4663" max="4666" width="10.7109375" style="231" customWidth="1"/>
    <col min="4667" max="4670" width="10.7109375" style="231"/>
    <col min="4671" max="4672" width="10.7109375" style="231" customWidth="1"/>
    <col min="4673" max="4676" width="10.7109375" style="231"/>
    <col min="4677" max="4677" width="10.7109375" style="231" customWidth="1"/>
    <col min="4678" max="4682" width="10.7109375" style="231"/>
    <col min="4683" max="4684" width="10.7109375" style="231" customWidth="1"/>
    <col min="4685" max="4687" width="10.7109375" style="231"/>
    <col min="4688" max="4690" width="10.7109375" style="231" customWidth="1"/>
    <col min="4691" max="4691" width="10.7109375" style="231"/>
    <col min="4692" max="4692" width="10.7109375" style="231" customWidth="1"/>
    <col min="4693" max="4698" width="10.7109375" style="231"/>
    <col min="4699" max="4700" width="10.7109375" style="231" customWidth="1"/>
    <col min="4701" max="4703" width="10.7109375" style="231"/>
    <col min="4704" max="4704" width="10.7109375" style="231" customWidth="1"/>
    <col min="4705" max="4708" width="10.7109375" style="231"/>
    <col min="4709" max="4709" width="10.7109375" style="231" customWidth="1"/>
    <col min="4710" max="4719" width="10.7109375" style="231"/>
    <col min="4720" max="4720" width="10.7109375" style="231" customWidth="1"/>
    <col min="4721" max="4723" width="10.7109375" style="231"/>
    <col min="4724" max="4725" width="10.7109375" style="231" customWidth="1"/>
    <col min="4726" max="4727" width="10.7109375" style="231"/>
    <col min="4728" max="4729" width="10.7109375" style="231" customWidth="1"/>
    <col min="4730" max="4734" width="10.7109375" style="231"/>
    <col min="4735" max="4737" width="10.7109375" style="231" customWidth="1"/>
    <col min="4738" max="4738" width="10.7109375" style="231"/>
    <col min="4739" max="4739" width="10.7109375" style="231" customWidth="1"/>
    <col min="4740" max="4740" width="10.7109375" style="231"/>
    <col min="4741" max="4744" width="10.7109375" style="231" customWidth="1"/>
    <col min="4745" max="4745" width="10.7109375" style="231"/>
    <col min="4746" max="4747" width="10.7109375" style="231" customWidth="1"/>
    <col min="4748" max="4748" width="10.7109375" style="231"/>
    <col min="4749" max="4752" width="10.7109375" style="231" customWidth="1"/>
    <col min="4753" max="4753" width="10.7109375" style="231"/>
    <col min="4754" max="4755" width="10.7109375" style="231" customWidth="1"/>
    <col min="4756" max="4756" width="10.7109375" style="231"/>
    <col min="4757" max="4762" width="10.7109375" style="231" customWidth="1"/>
    <col min="4763" max="4775" width="10.7109375" style="231"/>
    <col min="4776" max="4776" width="10.7109375" style="231" customWidth="1"/>
    <col min="4777" max="4777" width="10.7109375" style="231"/>
    <col min="4778" max="4778" width="10.7109375" style="231" customWidth="1"/>
    <col min="4779" max="4779" width="10.7109375" style="231"/>
    <col min="4780" max="4781" width="10.7109375" style="231" customWidth="1"/>
    <col min="4782" max="4783" width="10.7109375" style="231"/>
    <col min="4784" max="4784" width="10.7109375" style="231" customWidth="1"/>
    <col min="4785" max="4785" width="10.7109375" style="231"/>
    <col min="4786" max="4787" width="10.7109375" style="231" customWidth="1"/>
    <col min="4788" max="4791" width="10.7109375" style="231"/>
    <col min="4792" max="4792" width="10.7109375" style="231" customWidth="1"/>
    <col min="4793" max="4798" width="10.7109375" style="231"/>
    <col min="4799" max="4800" width="10.7109375" style="231" customWidth="1"/>
    <col min="4801" max="4807" width="10.7109375" style="231"/>
    <col min="4808" max="4808" width="10.7109375" style="231" customWidth="1"/>
    <col min="4809" max="4812" width="10.7109375" style="231"/>
    <col min="4813" max="4813" width="10.7109375" style="231" customWidth="1"/>
    <col min="4814" max="4815" width="10.7109375" style="231"/>
    <col min="4816" max="4816" width="10.7109375" style="231" customWidth="1"/>
    <col min="4817" max="4817" width="10.7109375" style="231"/>
    <col min="4818" max="4818" width="10.7109375" style="231" customWidth="1"/>
    <col min="4819" max="4820" width="10.7109375" style="231"/>
    <col min="4821" max="4821" width="10.7109375" style="231" customWidth="1"/>
    <col min="4822" max="4823" width="10.7109375" style="231"/>
    <col min="4824" max="4824" width="10.7109375" style="231" customWidth="1"/>
    <col min="4825" max="4828" width="10.7109375" style="231"/>
    <col min="4829" max="4829" width="10.7109375" style="231" customWidth="1"/>
    <col min="4830" max="4830" width="10.7109375" style="231"/>
    <col min="4831" max="4832" width="10.7109375" style="231" customWidth="1"/>
    <col min="4833" max="4833" width="10.7109375" style="231"/>
    <col min="4834" max="4834" width="10.7109375" style="231" customWidth="1"/>
    <col min="4835" max="4839" width="10.7109375" style="231"/>
    <col min="4840" max="4842" width="10.7109375" style="231" customWidth="1"/>
    <col min="4843" max="4843" width="10.7109375" style="231"/>
    <col min="4844" max="4844" width="10.7109375" style="231" customWidth="1"/>
    <col min="4845" max="4847" width="10.7109375" style="231"/>
    <col min="4848" max="4852" width="10.7109375" style="231" customWidth="1"/>
    <col min="4853" max="4855" width="10.7109375" style="231"/>
    <col min="4856" max="4856" width="10.7109375" style="231" customWidth="1"/>
    <col min="4857" max="4857" width="10.7109375" style="231"/>
    <col min="4858" max="4858" width="10.7109375" style="231" customWidth="1"/>
    <col min="4859" max="4860" width="10.7109375" style="231"/>
    <col min="4861" max="4861" width="10.7109375" style="231" customWidth="1"/>
    <col min="4862" max="4863" width="10.7109375" style="231"/>
    <col min="4864" max="4864" width="10.7109375" style="231" customWidth="1"/>
    <col min="4865" max="4865" width="10.7109375" style="231"/>
    <col min="4866" max="4866" width="10.7109375" style="231" customWidth="1"/>
    <col min="4867" max="4871" width="10.7109375" style="231"/>
    <col min="4872" max="4873" width="10.7109375" style="231" customWidth="1"/>
    <col min="4874" max="4876" width="10.7109375" style="231"/>
    <col min="4877" max="4877" width="10.7109375" style="231" customWidth="1"/>
    <col min="4878" max="4878" width="10.7109375" style="231"/>
    <col min="4879" max="4884" width="10.7109375" style="231" customWidth="1"/>
    <col min="4885" max="4887" width="10.7109375" style="231"/>
    <col min="4888" max="4889" width="10.7109375" style="231" customWidth="1"/>
    <col min="4890" max="4890" width="10.7109375" style="231"/>
    <col min="4891" max="4892" width="10.7109375" style="231" customWidth="1"/>
    <col min="4893" max="4897" width="10.7109375" style="231"/>
    <col min="4898" max="4898" width="10.7109375" style="231" customWidth="1"/>
    <col min="4899" max="4903" width="10.7109375" style="231"/>
    <col min="4904" max="4905" width="10.7109375" style="231" customWidth="1"/>
    <col min="4906" max="4908" width="10.7109375" style="231"/>
    <col min="4909" max="4909" width="10.7109375" style="231" customWidth="1"/>
    <col min="4910" max="4911" width="10.7109375" style="231"/>
    <col min="4912" max="4914" width="10.7109375" style="231" customWidth="1"/>
    <col min="4915" max="4924" width="10.7109375" style="231"/>
    <col min="4925" max="4925" width="10.7109375" style="231" customWidth="1"/>
    <col min="4926" max="4926" width="10.7109375" style="231"/>
    <col min="4927" max="4927" width="10.7109375" style="231" customWidth="1"/>
    <col min="4928" max="4946" width="10.7109375" style="231"/>
    <col min="4947" max="4949" width="10.7109375" style="231" customWidth="1"/>
    <col min="4950" max="4956" width="10.7109375" style="231"/>
    <col min="4957" max="4957" width="10.7109375" style="231" customWidth="1"/>
    <col min="4958" max="4959" width="10.7109375" style="231"/>
    <col min="4960" max="4960" width="10.7109375" style="231" customWidth="1"/>
    <col min="4961" max="4961" width="10.7109375" style="231"/>
    <col min="4962" max="4962" width="10.7109375" style="231" customWidth="1"/>
    <col min="4963" max="4967" width="10.7109375" style="231"/>
    <col min="4968" max="4968" width="10.7109375" style="231" customWidth="1"/>
    <col min="4969" max="4969" width="10.7109375" style="231"/>
    <col min="4970" max="4970" width="10.7109375" style="231" customWidth="1"/>
    <col min="4971" max="4971" width="10.7109375" style="231"/>
    <col min="4972" max="4972" width="10.7109375" style="231" customWidth="1"/>
    <col min="4973" max="4975" width="10.7109375" style="231"/>
    <col min="4976" max="4977" width="10.7109375" style="231" customWidth="1"/>
    <col min="4978" max="4980" width="10.7109375" style="231"/>
    <col min="4981" max="4981" width="10.7109375" style="231" customWidth="1"/>
    <col min="4982" max="4982" width="10.7109375" style="231"/>
    <col min="4983" max="4986" width="10.7109375" style="231" customWidth="1"/>
    <col min="4987" max="4987" width="10.7109375" style="231"/>
    <col min="4988" max="4988" width="10.7109375" style="231" customWidth="1"/>
    <col min="4989" max="4993" width="10.7109375" style="231"/>
    <col min="4994" max="4994" width="10.7109375" style="231" customWidth="1"/>
    <col min="4995" max="4999" width="10.7109375" style="231"/>
    <col min="5000" max="5002" width="10.7109375" style="231" customWidth="1"/>
    <col min="5003" max="5003" width="10.7109375" style="231"/>
    <col min="5004" max="5004" width="10.7109375" style="231" customWidth="1"/>
    <col min="5005" max="5007" width="10.7109375" style="231"/>
    <col min="5008" max="5008" width="10.7109375" style="231" customWidth="1"/>
    <col min="5009" max="5011" width="10.7109375" style="231"/>
    <col min="5012" max="5013" width="10.7109375" style="231" customWidth="1"/>
    <col min="5014" max="5015" width="10.7109375" style="231"/>
    <col min="5016" max="5018" width="10.7109375" style="231" customWidth="1"/>
    <col min="5019" max="5022" width="10.7109375" style="231"/>
    <col min="5023" max="5024" width="10.7109375" style="231" customWidth="1"/>
    <col min="5025" max="5030" width="10.7109375" style="231"/>
    <col min="5031" max="5032" width="10.7109375" style="231" customWidth="1"/>
    <col min="5033" max="5034" width="10.7109375" style="231"/>
    <col min="5035" max="5035" width="10.7109375" style="231" customWidth="1"/>
    <col min="5036" max="5036" width="10.7109375" style="231"/>
    <col min="5037" max="5037" width="10.7109375" style="231" customWidth="1"/>
    <col min="5038" max="5039" width="10.7109375" style="231"/>
    <col min="5040" max="5040" width="10.7109375" style="231" customWidth="1"/>
    <col min="5041" max="5043" width="10.7109375" style="231"/>
    <col min="5044" max="5045" width="10.7109375" style="231" customWidth="1"/>
    <col min="5046" max="5047" width="10.7109375" style="231"/>
    <col min="5048" max="5048" width="10.7109375" style="231" customWidth="1"/>
    <col min="5049" max="5049" width="10.7109375" style="231"/>
    <col min="5050" max="5051" width="10.7109375" style="231" customWidth="1"/>
    <col min="5052" max="5055" width="10.7109375" style="231"/>
    <col min="5056" max="5057" width="10.7109375" style="231" customWidth="1"/>
    <col min="5058" max="5062" width="10.7109375" style="231"/>
    <col min="5063" max="5065" width="10.7109375" style="231" customWidth="1"/>
    <col min="5066" max="5066" width="10.7109375" style="231"/>
    <col min="5067" max="5067" width="10.7109375" style="231" customWidth="1"/>
    <col min="5068" max="5068" width="10.7109375" style="231"/>
    <col min="5069" max="5072" width="10.7109375" style="231" customWidth="1"/>
    <col min="5073" max="5073" width="10.7109375" style="231"/>
    <col min="5074" max="5075" width="10.7109375" style="231" customWidth="1"/>
    <col min="5076" max="5076" width="10.7109375" style="231"/>
    <col min="5077" max="5080" width="10.7109375" style="231" customWidth="1"/>
    <col min="5081" max="5081" width="10.7109375" style="231"/>
    <col min="5082" max="5083" width="10.7109375" style="231" customWidth="1"/>
    <col min="5084" max="5085" width="10.7109375" style="231"/>
    <col min="5086" max="5086" width="10.7109375" style="231" customWidth="1"/>
    <col min="5087" max="5088" width="10.7109375" style="231"/>
    <col min="5089" max="5090" width="10.7109375" style="231" customWidth="1"/>
    <col min="5091" max="5094" width="10.7109375" style="231"/>
    <col min="5095" max="5096" width="10.7109375" style="231" customWidth="1"/>
    <col min="5097" max="5099" width="10.7109375" style="231"/>
    <col min="5100" max="5100" width="10.7109375" style="231" customWidth="1"/>
    <col min="5101" max="5103" width="10.7109375" style="231"/>
    <col min="5104" max="5106" width="10.7109375" style="231" customWidth="1"/>
    <col min="5107" max="5107" width="10.7109375" style="231"/>
    <col min="5108" max="5108" width="10.7109375" style="231" customWidth="1"/>
    <col min="5109" max="5111" width="10.7109375" style="231"/>
    <col min="5112" max="5113" width="10.7109375" style="231" customWidth="1"/>
    <col min="5114" max="5114" width="10.7109375" style="231"/>
    <col min="5115" max="5116" width="10.7109375" style="231" customWidth="1"/>
    <col min="5117" max="5119" width="10.7109375" style="231"/>
    <col min="5120" max="5120" width="10.7109375" style="231" customWidth="1"/>
    <col min="5121" max="5121" width="10.7109375" style="231"/>
    <col min="5122" max="5123" width="10.7109375" style="231" customWidth="1"/>
    <col min="5124" max="5124" width="10.7109375" style="231"/>
    <col min="5125" max="5125" width="10.7109375" style="231" customWidth="1"/>
    <col min="5126" max="5127" width="10.7109375" style="231"/>
    <col min="5128" max="5129" width="10.7109375" style="231" customWidth="1"/>
    <col min="5130" max="5132" width="10.7109375" style="231"/>
    <col min="5133" max="5133" width="10.7109375" style="231" customWidth="1"/>
    <col min="5134" max="5135" width="10.7109375" style="231"/>
    <col min="5136" max="5136" width="10.7109375" style="231" customWidth="1"/>
    <col min="5137" max="5139" width="10.7109375" style="231"/>
    <col min="5140" max="5141" width="10.7109375" style="231" customWidth="1"/>
    <col min="5142" max="5143" width="10.7109375" style="231"/>
    <col min="5144" max="5144" width="10.7109375" style="231" customWidth="1"/>
    <col min="5145" max="5150" width="10.7109375" style="231"/>
    <col min="5151" max="5152" width="10.7109375" style="231" customWidth="1"/>
    <col min="5153" max="5159" width="10.7109375" style="231"/>
    <col min="5160" max="5160" width="10.7109375" style="231" customWidth="1"/>
    <col min="5161" max="5164" width="10.7109375" style="231"/>
    <col min="5165" max="5165" width="10.7109375" style="231" customWidth="1"/>
    <col min="5166" max="5167" width="10.7109375" style="231"/>
    <col min="5168" max="5168" width="10.7109375" style="231" customWidth="1"/>
    <col min="5169" max="5169" width="10.7109375" style="231"/>
    <col min="5170" max="5170" width="10.7109375" style="231" customWidth="1"/>
    <col min="5171" max="5180" width="10.7109375" style="231"/>
    <col min="5181" max="5181" width="10.7109375" style="231" customWidth="1"/>
    <col min="5182" max="5182" width="10.7109375" style="231"/>
    <col min="5183" max="5183" width="10.7109375" style="231" customWidth="1"/>
    <col min="5184" max="5202" width="10.7109375" style="231"/>
    <col min="5203" max="5203" width="10.7109375" style="231" customWidth="1"/>
    <col min="5204" max="5212" width="10.7109375" style="231"/>
    <col min="5213" max="5213" width="10.7109375" style="231" customWidth="1"/>
    <col min="5214" max="5215" width="10.7109375" style="231"/>
    <col min="5216" max="5216" width="10.7109375" style="231" customWidth="1"/>
    <col min="5217" max="5219" width="10.7109375" style="231"/>
    <col min="5220" max="5221" width="10.7109375" style="231" customWidth="1"/>
    <col min="5222" max="5223" width="10.7109375" style="231"/>
    <col min="5224" max="5225" width="10.7109375" style="231" customWidth="1"/>
    <col min="5226" max="5230" width="10.7109375" style="231"/>
    <col min="5231" max="5231" width="10.7109375" style="231" customWidth="1"/>
    <col min="5232" max="5232" width="10.7109375" style="231"/>
    <col min="5233" max="5236" width="10.7109375" style="231" customWidth="1"/>
    <col min="5237" max="5239" width="10.7109375" style="231"/>
    <col min="5240" max="5240" width="10.7109375" style="231" customWidth="1"/>
    <col min="5241" max="5243" width="10.7109375" style="231"/>
    <col min="5244" max="5244" width="10.7109375" style="231" customWidth="1"/>
    <col min="5245" max="5247" width="10.7109375" style="231"/>
    <col min="5248" max="5248" width="10.7109375" style="231" customWidth="1"/>
    <col min="5249" max="5249" width="10.7109375" style="231"/>
    <col min="5250" max="5250" width="10.7109375" style="231" customWidth="1"/>
    <col min="5251" max="5255" width="10.7109375" style="231"/>
    <col min="5256" max="5257" width="10.7109375" style="231" customWidth="1"/>
    <col min="5258" max="5260" width="10.7109375" style="231"/>
    <col min="5261" max="5261" width="10.7109375" style="231" customWidth="1"/>
    <col min="5262" max="5263" width="10.7109375" style="231"/>
    <col min="5264" max="5266" width="10.7109375" style="231" customWidth="1"/>
    <col min="5267" max="5267" width="10.7109375" style="231"/>
    <col min="5268" max="5268" width="10.7109375" style="231" customWidth="1"/>
    <col min="5269" max="5276" width="10.7109375" style="231"/>
    <col min="5277" max="5277" width="10.7109375" style="231" customWidth="1"/>
    <col min="5278" max="5280" width="10.7109375" style="231"/>
    <col min="5281" max="5281" width="10.7109375" style="231" customWidth="1"/>
    <col min="5282" max="5287" width="10.7109375" style="231"/>
    <col min="5288" max="5288" width="10.7109375" style="231" customWidth="1"/>
    <col min="5289" max="5289" width="10.7109375" style="231"/>
    <col min="5290" max="5292" width="10.7109375" style="231" customWidth="1"/>
    <col min="5293" max="5295" width="10.7109375" style="231"/>
    <col min="5296" max="5299" width="10.7109375" style="231" customWidth="1"/>
    <col min="5300" max="5303" width="10.7109375" style="231"/>
    <col min="5304" max="5304" width="10.7109375" style="231" customWidth="1"/>
    <col min="5305" max="5305" width="10.7109375" style="231"/>
    <col min="5306" max="5306" width="10.7109375" style="231" customWidth="1"/>
    <col min="5307" max="5308" width="10.7109375" style="231"/>
    <col min="5309" max="5309" width="10.7109375" style="231" customWidth="1"/>
    <col min="5310" max="5328" width="10.7109375" style="231"/>
    <col min="5329" max="5329" width="10.7109375" style="231" customWidth="1"/>
    <col min="5330" max="5335" width="10.7109375" style="231"/>
    <col min="5336" max="5336" width="10.7109375" style="231" customWidth="1"/>
    <col min="5337" max="5339" width="10.7109375" style="231"/>
    <col min="5340" max="5340" width="10.7109375" style="231" customWidth="1"/>
    <col min="5341" max="5343" width="10.7109375" style="231"/>
    <col min="5344" max="5344" width="10.7109375" style="231" customWidth="1"/>
    <col min="5345" max="5351" width="10.7109375" style="231"/>
    <col min="5352" max="5352" width="10.7109375" style="231" customWidth="1"/>
    <col min="5353" max="5353" width="10.7109375" style="231"/>
    <col min="5354" max="5354" width="10.7109375" style="231" customWidth="1"/>
    <col min="5355" max="5355" width="10.7109375" style="231"/>
    <col min="5356" max="5356" width="10.7109375" style="231" customWidth="1"/>
    <col min="5357" max="5357" width="10.7109375" style="231"/>
    <col min="5358" max="5358" width="10.7109375" style="231" customWidth="1"/>
    <col min="5359" max="5359" width="10.7109375" style="231"/>
    <col min="5360" max="5360" width="10.7109375" style="231" customWidth="1"/>
    <col min="5361" max="5361" width="10.7109375" style="231"/>
    <col min="5362" max="5362" width="10.7109375" style="231" customWidth="1"/>
    <col min="5363" max="5364" width="10.7109375" style="231"/>
    <col min="5365" max="5365" width="10.7109375" style="231" customWidth="1"/>
    <col min="5366" max="5367" width="10.7109375" style="231"/>
    <col min="5368" max="5368" width="10.7109375" style="231" customWidth="1"/>
    <col min="5369" max="5370" width="10.7109375" style="231"/>
    <col min="5371" max="5373" width="10.7109375" style="231" customWidth="1"/>
    <col min="5374" max="5375" width="10.7109375" style="231"/>
    <col min="5376" max="5376" width="10.7109375" style="231" customWidth="1"/>
    <col min="5377" max="5378" width="10.7109375" style="231"/>
    <col min="5379" max="5379" width="10.7109375" style="231" customWidth="1"/>
    <col min="5380" max="5380" width="10.7109375" style="231"/>
    <col min="5381" max="5381" width="10.7109375" style="231" customWidth="1"/>
    <col min="5382" max="5383" width="10.7109375" style="231"/>
    <col min="5384" max="5384" width="10.7109375" style="231" customWidth="1"/>
    <col min="5385" max="5385" width="10.7109375" style="231"/>
    <col min="5386" max="5386" width="10.7109375" style="231" customWidth="1"/>
    <col min="5387" max="5387" width="10.7109375" style="231"/>
    <col min="5388" max="5389" width="10.7109375" style="231" customWidth="1"/>
    <col min="5390" max="5391" width="10.7109375" style="231"/>
    <col min="5392" max="5394" width="10.7109375" style="231" customWidth="1"/>
    <col min="5395" max="5395" width="10.7109375" style="231"/>
    <col min="5396" max="5396" width="10.7109375" style="231" customWidth="1"/>
    <col min="5397" max="5399" width="10.7109375" style="231"/>
    <col min="5400" max="5402" width="10.7109375" style="231" customWidth="1"/>
    <col min="5403" max="5414" width="10.7109375" style="231"/>
    <col min="5415" max="5416" width="10.7109375" style="231" customWidth="1"/>
    <col min="5417" max="5419" width="10.7109375" style="231"/>
    <col min="5420" max="5420" width="10.7109375" style="231" customWidth="1"/>
    <col min="5421" max="5423" width="10.7109375" style="231"/>
    <col min="5424" max="5426" width="10.7109375" style="231" customWidth="1"/>
    <col min="5427" max="5427" width="10.7109375" style="231"/>
    <col min="5428" max="5428" width="10.7109375" style="231" customWidth="1"/>
    <col min="5429" max="5431" width="10.7109375" style="231"/>
    <col min="5432" max="5432" width="10.7109375" style="231" customWidth="1"/>
    <col min="5433" max="5435" width="10.7109375" style="231"/>
    <col min="5436" max="5436" width="10.7109375" style="231" customWidth="1"/>
    <col min="5437" max="5439" width="10.7109375" style="231"/>
    <col min="5440" max="5440" width="10.7109375" style="231" customWidth="1"/>
    <col min="5441" max="5441" width="10.7109375" style="231"/>
    <col min="5442" max="5442" width="10.7109375" style="231" customWidth="1"/>
    <col min="5443" max="5447" width="10.7109375" style="231"/>
    <col min="5448" max="5449" width="10.7109375" style="231" customWidth="1"/>
    <col min="5450" max="5452" width="10.7109375" style="231"/>
    <col min="5453" max="5453" width="10.7109375" style="231" customWidth="1"/>
    <col min="5454" max="5455" width="10.7109375" style="231"/>
    <col min="5456" max="5456" width="10.7109375" style="231" customWidth="1"/>
    <col min="5457" max="5459" width="10.7109375" style="231"/>
    <col min="5460" max="5461" width="10.7109375" style="231" customWidth="1"/>
    <col min="5462" max="5463" width="10.7109375" style="231"/>
    <col min="5464" max="5464" width="10.7109375" style="231" customWidth="1"/>
    <col min="5465" max="5470" width="10.7109375" style="231"/>
    <col min="5471" max="5472" width="10.7109375" style="231" customWidth="1"/>
    <col min="5473" max="5477" width="10.7109375" style="231"/>
    <col min="5478" max="5480" width="10.7109375" style="231" customWidth="1"/>
    <col min="5481" max="5481" width="10.7109375" style="231"/>
    <col min="5482" max="5482" width="10.7109375" style="231" customWidth="1"/>
    <col min="5483" max="5484" width="10.7109375" style="231"/>
    <col min="5485" max="5490" width="10.7109375" style="231" customWidth="1"/>
    <col min="5491" max="5494" width="10.7109375" style="231"/>
    <col min="5495" max="5496" width="10.7109375" style="231" customWidth="1"/>
    <col min="5497" max="5500" width="10.7109375" style="231"/>
    <col min="5501" max="5501" width="10.7109375" style="231" customWidth="1"/>
    <col min="5502" max="5502" width="10.7109375" style="231"/>
    <col min="5503" max="5506" width="10.7109375" style="231" customWidth="1"/>
    <col min="5507" max="5507" width="10.7109375" style="231"/>
    <col min="5508" max="5509" width="10.7109375" style="231" customWidth="1"/>
    <col min="5510" max="5511" width="10.7109375" style="231"/>
    <col min="5512" max="5512" width="10.7109375" style="231" customWidth="1"/>
    <col min="5513" max="5513" width="10.7109375" style="231"/>
    <col min="5514" max="5515" width="10.7109375" style="231" customWidth="1"/>
    <col min="5516" max="5516" width="10.7109375" style="231"/>
    <col min="5517" max="5517" width="10.7109375" style="231" customWidth="1"/>
    <col min="5518" max="5519" width="10.7109375" style="231"/>
    <col min="5520" max="5520" width="10.7109375" style="231" customWidth="1"/>
    <col min="5521" max="5522" width="10.7109375" style="231"/>
    <col min="5523" max="5525" width="10.7109375" style="231" customWidth="1"/>
    <col min="5526" max="5527" width="10.7109375" style="231"/>
    <col min="5528" max="5530" width="10.7109375" style="231" customWidth="1"/>
    <col min="5531" max="5531" width="10.7109375" style="231"/>
    <col min="5532" max="5532" width="10.7109375" style="231" customWidth="1"/>
    <col min="5533" max="5536" width="10.7109375" style="231"/>
    <col min="5537" max="5537" width="10.7109375" style="231" customWidth="1"/>
    <col min="5538" max="5542" width="10.7109375" style="231"/>
    <col min="5543" max="5545" width="10.7109375" style="231" customWidth="1"/>
    <col min="5546" max="5548" width="10.7109375" style="231"/>
    <col min="5549" max="5552" width="10.7109375" style="231" customWidth="1"/>
    <col min="5553" max="5553" width="10.7109375" style="231"/>
    <col min="5554" max="5555" width="10.7109375" style="231" customWidth="1"/>
    <col min="5556" max="5561" width="10.7109375" style="231"/>
    <col min="5562" max="5562" width="10.7109375" style="231" customWidth="1"/>
    <col min="5563" max="5566" width="10.7109375" style="231"/>
    <col min="5567" max="5567" width="10.7109375" style="231" customWidth="1"/>
    <col min="5568" max="5585" width="10.7109375" style="231"/>
    <col min="5586" max="5587" width="10.7109375" style="231" customWidth="1"/>
    <col min="5588" max="5592" width="10.7109375" style="231"/>
    <col min="5593" max="5593" width="10.7109375" style="231" customWidth="1"/>
    <col min="5594" max="5599" width="10.7109375" style="231"/>
    <col min="5600" max="5600" width="10.7109375" style="231" customWidth="1"/>
    <col min="5601" max="5603" width="10.7109375" style="231"/>
    <col min="5604" max="5605" width="10.7109375" style="231" customWidth="1"/>
    <col min="5606" max="5607" width="10.7109375" style="231"/>
    <col min="5608" max="5608" width="10.7109375" style="231" customWidth="1"/>
    <col min="5609" max="5617" width="10.7109375" style="231"/>
    <col min="5618" max="5618" width="10.7109375" style="231" customWidth="1"/>
    <col min="5619" max="5620" width="10.7109375" style="231"/>
    <col min="5621" max="5621" width="10.7109375" style="231" customWidth="1"/>
    <col min="5622" max="5623" width="10.7109375" style="231"/>
    <col min="5624" max="5624" width="10.7109375" style="231" customWidth="1"/>
    <col min="5625" max="5628" width="10.7109375" style="231"/>
    <col min="5629" max="5629" width="10.7109375" style="231" customWidth="1"/>
    <col min="5630" max="5630" width="10.7109375" style="231"/>
    <col min="5631" max="5632" width="10.7109375" style="231" customWidth="1"/>
    <col min="5633" max="5633" width="10.7109375" style="231"/>
    <col min="5634" max="5634" width="10.7109375" style="231" customWidth="1"/>
    <col min="5635" max="5639" width="10.7109375" style="231"/>
    <col min="5640" max="5642" width="10.7109375" style="231" customWidth="1"/>
    <col min="5643" max="5643" width="10.7109375" style="231"/>
    <col min="5644" max="5644" width="10.7109375" style="231" customWidth="1"/>
    <col min="5645" max="5647" width="10.7109375" style="231"/>
    <col min="5648" max="5648" width="10.7109375" style="231" customWidth="1"/>
    <col min="5649" max="5649" width="10.7109375" style="231"/>
    <col min="5650" max="5650" width="10.7109375" style="231" customWidth="1"/>
    <col min="5651" max="5651" width="10.7109375" style="231"/>
    <col min="5652" max="5652" width="10.7109375" style="231" customWidth="1"/>
    <col min="5653" max="5655" width="10.7109375" style="231"/>
    <col min="5656" max="5658" width="10.7109375" style="231" customWidth="1"/>
    <col min="5659" max="5660" width="10.7109375" style="231"/>
    <col min="5661" max="5661" width="10.7109375" style="231" customWidth="1"/>
    <col min="5662" max="5663" width="10.7109375" style="231"/>
    <col min="5664" max="5664" width="10.7109375" style="231" customWidth="1"/>
    <col min="5665" max="5665" width="10.7109375" style="231"/>
    <col min="5666" max="5666" width="10.7109375" style="231" customWidth="1"/>
    <col min="5667" max="5667" width="10.7109375" style="231"/>
    <col min="5668" max="5669" width="10.7109375" style="231" customWidth="1"/>
    <col min="5670" max="5671" width="10.7109375" style="231"/>
    <col min="5672" max="5673" width="10.7109375" style="231" customWidth="1"/>
    <col min="5674" max="5676" width="10.7109375" style="231"/>
    <col min="5677" max="5677" width="10.7109375" style="231" customWidth="1"/>
    <col min="5678" max="5678" width="10.7109375" style="231"/>
    <col min="5679" max="5684" width="10.7109375" style="231" customWidth="1"/>
    <col min="5685" max="5687" width="10.7109375" style="231"/>
    <col min="5688" max="5688" width="10.7109375" style="231" customWidth="1"/>
    <col min="5689" max="5691" width="10.7109375" style="231"/>
    <col min="5692" max="5692" width="10.7109375" style="231" customWidth="1"/>
    <col min="5693" max="5695" width="10.7109375" style="231"/>
    <col min="5696" max="5696" width="10.7109375" style="231" customWidth="1"/>
    <col min="5697" max="5697" width="10.7109375" style="231"/>
    <col min="5698" max="5698" width="10.7109375" style="231" customWidth="1"/>
    <col min="5699" max="5703" width="10.7109375" style="231"/>
    <col min="5704" max="5705" width="10.7109375" style="231" customWidth="1"/>
    <col min="5706" max="5708" width="10.7109375" style="231"/>
    <col min="5709" max="5709" width="10.7109375" style="231" customWidth="1"/>
    <col min="5710" max="5711" width="10.7109375" style="231"/>
    <col min="5712" max="5714" width="10.7109375" style="231" customWidth="1"/>
    <col min="5715" max="5715" width="10.7109375" style="231"/>
    <col min="5716" max="5716" width="10.7109375" style="231" customWidth="1"/>
    <col min="5717" max="5719" width="10.7109375" style="231"/>
    <col min="5720" max="5721" width="10.7109375" style="231" customWidth="1"/>
    <col min="5722" max="5724" width="10.7109375" style="231"/>
    <col min="5725" max="5725" width="10.7109375" style="231" customWidth="1"/>
    <col min="5726" max="5726" width="10.7109375" style="231"/>
    <col min="5727" max="5730" width="10.7109375" style="231" customWidth="1"/>
    <col min="5731" max="5731" width="10.7109375" style="231"/>
    <col min="5732" max="5732" width="10.7109375" style="231" customWidth="1"/>
    <col min="5733" max="5735" width="10.7109375" style="231"/>
    <col min="5736" max="5736" width="10.7109375" style="231" customWidth="1"/>
    <col min="5737" max="5737" width="10.7109375" style="231"/>
    <col min="5738" max="5739" width="10.7109375" style="231" customWidth="1"/>
    <col min="5740" max="5740" width="10.7109375" style="231"/>
    <col min="5741" max="5741" width="10.7109375" style="231" customWidth="1"/>
    <col min="5742" max="5743" width="10.7109375" style="231"/>
    <col min="5744" max="5744" width="10.7109375" style="231" customWidth="1"/>
    <col min="5745" max="5746" width="10.7109375" style="231"/>
    <col min="5747" max="5749" width="10.7109375" style="231" customWidth="1"/>
    <col min="5750" max="5751" width="10.7109375" style="231"/>
    <col min="5752" max="5752" width="10.7109375" style="231" customWidth="1"/>
    <col min="5753" max="5754" width="10.7109375" style="231"/>
    <col min="5755" max="5755" width="10.7109375" style="231" customWidth="1"/>
    <col min="5756" max="5756" width="10.7109375" style="231"/>
    <col min="5757" max="5757" width="10.7109375" style="231" customWidth="1"/>
    <col min="5758" max="5759" width="10.7109375" style="231"/>
    <col min="5760" max="5760" width="10.7109375" style="231" customWidth="1"/>
    <col min="5761" max="5761" width="10.7109375" style="231"/>
    <col min="5762" max="5762" width="10.7109375" style="231" customWidth="1"/>
    <col min="5763" max="5763" width="10.7109375" style="231"/>
    <col min="5764" max="5765" width="10.7109375" style="231" customWidth="1"/>
    <col min="5766" max="5767" width="10.7109375" style="231"/>
    <col min="5768" max="5770" width="10.7109375" style="231" customWidth="1"/>
    <col min="5771" max="5771" width="10.7109375" style="231"/>
    <col min="5772" max="5772" width="10.7109375" style="231" customWidth="1"/>
    <col min="5773" max="5775" width="10.7109375" style="231"/>
    <col min="5776" max="5777" width="10.7109375" style="231" customWidth="1"/>
    <col min="5778" max="5780" width="10.7109375" style="231"/>
    <col min="5781" max="5781" width="10.7109375" style="231" customWidth="1"/>
    <col min="5782" max="5782" width="10.7109375" style="231"/>
    <col min="5783" max="5784" width="10.7109375" style="231" customWidth="1"/>
    <col min="5785" max="5785" width="10.7109375" style="231"/>
    <col min="5786" max="5786" width="10.7109375" style="231" customWidth="1"/>
    <col min="5787" max="5787" width="10.7109375" style="231"/>
    <col min="5788" max="5790" width="10.7109375" style="231" customWidth="1"/>
    <col min="5791" max="5791" width="10.7109375" style="231"/>
    <col min="5792" max="5792" width="10.7109375" style="231" customWidth="1"/>
    <col min="5793" max="5793" width="10.7109375" style="231"/>
    <col min="5794" max="5794" width="10.7109375" style="231" customWidth="1"/>
    <col min="5795" max="5797" width="10.7109375" style="231"/>
    <col min="5798" max="5798" width="10.7109375" style="231" customWidth="1"/>
    <col min="5799" max="5799" width="10.7109375" style="231"/>
    <col min="5800" max="5800" width="10.7109375" style="231" customWidth="1"/>
    <col min="5801" max="5801" width="10.7109375" style="231"/>
    <col min="5802" max="5802" width="10.7109375" style="231" customWidth="1"/>
    <col min="5803" max="5804" width="10.7109375" style="231"/>
    <col min="5805" max="5806" width="10.7109375" style="231" customWidth="1"/>
    <col min="5807" max="5807" width="10.7109375" style="231"/>
    <col min="5808" max="5808" width="10.7109375" style="231" customWidth="1"/>
    <col min="5809" max="5819" width="10.7109375" style="231"/>
    <col min="5820" max="5821" width="10.7109375" style="231" customWidth="1"/>
    <col min="5822" max="5823" width="10.7109375" style="231"/>
    <col min="5824" max="5824" width="10.7109375" style="231" customWidth="1"/>
    <col min="5825" max="5827" width="10.7109375" style="231"/>
    <col min="5828" max="5828" width="10.7109375" style="231" customWidth="1"/>
    <col min="5829" max="5831" width="10.7109375" style="231"/>
    <col min="5832" max="5832" width="10.7109375" style="231" customWidth="1"/>
    <col min="5833" max="5834" width="10.7109375" style="231"/>
    <col min="5835" max="5835" width="10.7109375" style="231" customWidth="1"/>
    <col min="5836" max="5841" width="10.7109375" style="231"/>
    <col min="5842" max="5843" width="10.7109375" style="231" customWidth="1"/>
    <col min="5844" max="5847" width="10.7109375" style="231"/>
    <col min="5848" max="5848" width="10.7109375" style="231" customWidth="1"/>
    <col min="5849" max="5852" width="10.7109375" style="231"/>
    <col min="5853" max="5853" width="10.7109375" style="231" customWidth="1"/>
    <col min="5854" max="5855" width="10.7109375" style="231"/>
    <col min="5856" max="5857" width="10.7109375" style="231" customWidth="1"/>
    <col min="5858" max="5860" width="10.7109375" style="231"/>
    <col min="5861" max="5861" width="10.7109375" style="231" customWidth="1"/>
    <col min="5862" max="5863" width="10.7109375" style="231"/>
    <col min="5864" max="5866" width="10.7109375" style="231" customWidth="1"/>
    <col min="5867" max="5870" width="10.7109375" style="231"/>
    <col min="5871" max="5872" width="10.7109375" style="231" customWidth="1"/>
    <col min="5873" max="5876" width="10.7109375" style="231"/>
    <col min="5877" max="5877" width="10.7109375" style="231" customWidth="1"/>
    <col min="5878" max="5878" width="10.7109375" style="231"/>
    <col min="5879" max="5880" width="10.7109375" style="231" customWidth="1"/>
    <col min="5881" max="5882" width="10.7109375" style="231"/>
    <col min="5883" max="5883" width="10.7109375" style="231" customWidth="1"/>
    <col min="5884" max="5884" width="10.7109375" style="231"/>
    <col min="5885" max="5885" width="10.7109375" style="231" customWidth="1"/>
    <col min="5886" max="5887" width="10.7109375" style="231"/>
    <col min="5888" max="5888" width="10.7109375" style="231" customWidth="1"/>
    <col min="5889" max="5889" width="10.7109375" style="231"/>
    <col min="5890" max="5890" width="10.7109375" style="231" customWidth="1"/>
    <col min="5891" max="5891" width="10.7109375" style="231"/>
    <col min="5892" max="5893" width="10.7109375" style="231" customWidth="1"/>
    <col min="5894" max="5895" width="10.7109375" style="231"/>
    <col min="5896" max="5896" width="10.7109375" style="231" customWidth="1"/>
    <col min="5897" max="5897" width="10.7109375" style="231"/>
    <col min="5898" max="5899" width="10.7109375" style="231" customWidth="1"/>
    <col min="5900" max="5903" width="10.7109375" style="231"/>
    <col min="5904" max="5905" width="10.7109375" style="231" customWidth="1"/>
    <col min="5906" max="5911" width="10.7109375" style="231"/>
    <col min="5912" max="5913" width="10.7109375" style="231" customWidth="1"/>
    <col min="5914" max="5914" width="10.7109375" style="231"/>
    <col min="5915" max="5915" width="10.7109375" style="231" customWidth="1"/>
    <col min="5916" max="5916" width="10.7109375" style="231"/>
    <col min="5917" max="5920" width="10.7109375" style="231" customWidth="1"/>
    <col min="5921" max="5921" width="10.7109375" style="231"/>
    <col min="5922" max="5923" width="10.7109375" style="231" customWidth="1"/>
    <col min="5924" max="5924" width="10.7109375" style="231"/>
    <col min="5925" max="5930" width="10.7109375" style="231" customWidth="1"/>
    <col min="5931" max="5934" width="10.7109375" style="231"/>
    <col min="5935" max="5936" width="10.7109375" style="231" customWidth="1"/>
    <col min="5937" max="5938" width="10.7109375" style="231"/>
    <col min="5939" max="5940" width="10.7109375" style="231" customWidth="1"/>
    <col min="5941" max="5943" width="10.7109375" style="231"/>
    <col min="5944" max="5944" width="10.7109375" style="231" customWidth="1"/>
    <col min="5945" max="5945" width="10.7109375" style="231"/>
    <col min="5946" max="5946" width="10.7109375" style="231" customWidth="1"/>
    <col min="5947" max="5947" width="10.7109375" style="231"/>
    <col min="5948" max="5948" width="10.7109375" style="231" customWidth="1"/>
    <col min="5949" max="5951" width="10.7109375" style="231"/>
    <col min="5952" max="5952" width="10.7109375" style="231" customWidth="1"/>
    <col min="5953" max="5959" width="10.7109375" style="231"/>
    <col min="5960" max="5960" width="10.7109375" style="231" customWidth="1"/>
    <col min="5961" max="5961" width="10.7109375" style="231"/>
    <col min="5962" max="5962" width="10.7109375" style="231" customWidth="1"/>
    <col min="5963" max="5964" width="10.7109375" style="231"/>
    <col min="5965" max="5965" width="10.7109375" style="231" customWidth="1"/>
    <col min="5966" max="5967" width="10.7109375" style="231"/>
    <col min="5968" max="5969" width="10.7109375" style="231" customWidth="1"/>
    <col min="5970" max="5972" width="10.7109375" style="231"/>
    <col min="5973" max="5973" width="10.7109375" style="231" customWidth="1"/>
    <col min="5974" max="5975" width="10.7109375" style="231"/>
    <col min="5976" max="5976" width="10.7109375" style="231" customWidth="1"/>
    <col min="5977" max="5979" width="10.7109375" style="231"/>
    <col min="5980" max="5980" width="10.7109375" style="231" customWidth="1"/>
    <col min="5981" max="5984" width="10.7109375" style="231"/>
    <col min="5985" max="5985" width="10.7109375" style="231" customWidth="1"/>
    <col min="5986" max="5990" width="10.7109375" style="231"/>
    <col min="5991" max="5994" width="10.7109375" style="231" customWidth="1"/>
    <col min="5995" max="5995" width="10.7109375" style="231"/>
    <col min="5996" max="5996" width="10.7109375" style="231" customWidth="1"/>
    <col min="5997" max="5998" width="10.7109375" style="231"/>
    <col min="5999" max="6004" width="10.7109375" style="231" customWidth="1"/>
    <col min="6005" max="6006" width="10.7109375" style="231"/>
    <col min="6007" max="6009" width="10.7109375" style="231" customWidth="1"/>
    <col min="6010" max="6016" width="10.7109375" style="231"/>
    <col min="6017" max="6017" width="10.7109375" style="231" customWidth="1"/>
    <col min="6018" max="6022" width="10.7109375" style="231"/>
    <col min="6023" max="6026" width="10.7109375" style="231" customWidth="1"/>
    <col min="6027" max="6027" width="10.7109375" style="231"/>
    <col min="6028" max="6028" width="10.7109375" style="231" customWidth="1"/>
    <col min="6029" max="6030" width="10.7109375" style="231"/>
    <col min="6031" max="6034" width="10.7109375" style="231" customWidth="1"/>
    <col min="6035" max="6038" width="10.7109375" style="231"/>
    <col min="6039" max="6040" width="10.7109375" style="231" customWidth="1"/>
    <col min="6041" max="6044" width="10.7109375" style="231"/>
    <col min="6045" max="6045" width="10.7109375" style="231" customWidth="1"/>
    <col min="6046" max="6046" width="10.7109375" style="231"/>
    <col min="6047" max="6048" width="10.7109375" style="231" customWidth="1"/>
    <col min="6049" max="6050" width="10.7109375" style="231"/>
    <col min="6051" max="6052" width="10.7109375" style="231" customWidth="1"/>
    <col min="6053" max="6055" width="10.7109375" style="231"/>
    <col min="6056" max="6058" width="10.7109375" style="231" customWidth="1"/>
    <col min="6059" max="6059" width="10.7109375" style="231"/>
    <col min="6060" max="6060" width="10.7109375" style="231" customWidth="1"/>
    <col min="6061" max="6063" width="10.7109375" style="231"/>
    <col min="6064" max="6065" width="10.7109375" style="231" customWidth="1"/>
    <col min="6066" max="6066" width="10.7109375" style="231"/>
    <col min="6067" max="6068" width="10.7109375" style="231" customWidth="1"/>
    <col min="6069" max="6071" width="10.7109375" style="231"/>
    <col min="6072" max="6072" width="10.7109375" style="231" customWidth="1"/>
    <col min="6073" max="6073" width="10.7109375" style="231"/>
    <col min="6074" max="6075" width="10.7109375" style="231" customWidth="1"/>
    <col min="6076" max="6080" width="10.7109375" style="231"/>
    <col min="6081" max="6081" width="10.7109375" style="231" customWidth="1"/>
    <col min="6082" max="6087" width="10.7109375" style="231"/>
    <col min="6088" max="6088" width="10.7109375" style="231" customWidth="1"/>
    <col min="6089" max="6092" width="10.7109375" style="231"/>
    <col min="6093" max="6093" width="10.7109375" style="231" customWidth="1"/>
    <col min="6094" max="6095" width="10.7109375" style="231"/>
    <col min="6096" max="6097" width="10.7109375" style="231" customWidth="1"/>
    <col min="6098" max="6102" width="10.7109375" style="231"/>
    <col min="6103" max="6105" width="10.7109375" style="231" customWidth="1"/>
    <col min="6106" max="6106" width="10.7109375" style="231"/>
    <col min="6107" max="6107" width="10.7109375" style="231" customWidth="1"/>
    <col min="6108" max="6109" width="10.7109375" style="231"/>
    <col min="6110" max="6110" width="10.7109375" style="231" customWidth="1"/>
    <col min="6111" max="6113" width="10.7109375" style="231"/>
    <col min="6114" max="6114" width="10.7109375" style="231" customWidth="1"/>
    <col min="6115" max="6117" width="10.7109375" style="231"/>
    <col min="6118" max="6118" width="10.7109375" style="231" customWidth="1"/>
    <col min="6119" max="6119" width="10.7109375" style="231"/>
    <col min="6120" max="6122" width="10.7109375" style="231" customWidth="1"/>
    <col min="6123" max="6126" width="10.7109375" style="231"/>
    <col min="6127" max="6127" width="10.7109375" style="231" customWidth="1"/>
    <col min="6128" max="6132" width="10.7109375" style="231"/>
    <col min="6133" max="6133" width="10.7109375" style="231" customWidth="1"/>
    <col min="6134" max="6135" width="10.7109375" style="231"/>
    <col min="6136" max="6136" width="10.7109375" style="231" customWidth="1"/>
    <col min="6137" max="6137" width="10.7109375" style="231"/>
    <col min="6138" max="6138" width="10.7109375" style="231" customWidth="1"/>
    <col min="6139" max="6139" width="10.7109375" style="231"/>
    <col min="6140" max="6141" width="10.7109375" style="231" customWidth="1"/>
    <col min="6142" max="6143" width="10.7109375" style="231"/>
    <col min="6144" max="6144" width="10.7109375" style="231" customWidth="1"/>
    <col min="6145" max="6145" width="10.7109375" style="231"/>
    <col min="6146" max="6147" width="10.7109375" style="231" customWidth="1"/>
    <col min="6148" max="6151" width="10.7109375" style="231"/>
    <col min="6152" max="6153" width="10.7109375" style="231" customWidth="1"/>
    <col min="6154" max="6158" width="10.7109375" style="231"/>
    <col min="6159" max="6160" width="10.7109375" style="231" customWidth="1"/>
    <col min="6161" max="6162" width="10.7109375" style="231"/>
    <col min="6163" max="6165" width="10.7109375" style="231" customWidth="1"/>
    <col min="6166" max="6167" width="10.7109375" style="231"/>
    <col min="6168" max="6168" width="10.7109375" style="231" customWidth="1"/>
    <col min="6169" max="6172" width="10.7109375" style="231"/>
    <col min="6173" max="6173" width="10.7109375" style="231" customWidth="1"/>
    <col min="6174" max="6175" width="10.7109375" style="231"/>
    <col min="6176" max="6176" width="10.7109375" style="231" customWidth="1"/>
    <col min="6177" max="6177" width="10.7109375" style="231"/>
    <col min="6178" max="6178" width="10.7109375" style="231" customWidth="1"/>
    <col min="6179" max="6180" width="10.7109375" style="231"/>
    <col min="6181" max="6181" width="10.7109375" style="231" customWidth="1"/>
    <col min="6182" max="6183" width="10.7109375" style="231"/>
    <col min="6184" max="6185" width="10.7109375" style="231" customWidth="1"/>
    <col min="6186" max="6188" width="10.7109375" style="231"/>
    <col min="6189" max="6189" width="10.7109375" style="231" customWidth="1"/>
    <col min="6190" max="6190" width="10.7109375" style="231"/>
    <col min="6191" max="6192" width="10.7109375" style="231" customWidth="1"/>
    <col min="6193" max="6193" width="10.7109375" style="231"/>
    <col min="6194" max="6195" width="10.7109375" style="231" customWidth="1"/>
    <col min="6196" max="6200" width="10.7109375" style="231"/>
    <col min="6201" max="6201" width="10.7109375" style="231" customWidth="1"/>
    <col min="6202" max="6202" width="10.7109375" style="231"/>
    <col min="6203" max="6203" width="10.7109375" style="231" customWidth="1"/>
    <col min="6204" max="6225" width="10.7109375" style="231"/>
    <col min="6226" max="6226" width="10.7109375" style="231" customWidth="1"/>
    <col min="6227" max="6227" width="10.7109375" style="231"/>
    <col min="6228" max="6228" width="10.7109375" style="231" customWidth="1"/>
    <col min="6229" max="6239" width="10.7109375" style="231"/>
    <col min="6240" max="6240" width="10.7109375" style="231" customWidth="1"/>
    <col min="6241" max="6241" width="10.7109375" style="231"/>
    <col min="6242" max="6243" width="10.7109375" style="231" customWidth="1"/>
    <col min="6244" max="6247" width="10.7109375" style="231"/>
    <col min="6248" max="6249" width="10.7109375" style="231" customWidth="1"/>
    <col min="6250" max="6251" width="10.7109375" style="231"/>
    <col min="6252" max="6252" width="10.7109375" style="231" customWidth="1"/>
    <col min="6253" max="6257" width="10.7109375" style="231"/>
    <col min="6258" max="6259" width="10.7109375" style="231" customWidth="1"/>
    <col min="6260" max="6260" width="10.7109375" style="231"/>
    <col min="6261" max="6261" width="10.7109375" style="231" customWidth="1"/>
    <col min="6262" max="6263" width="10.7109375" style="231"/>
    <col min="6264" max="6265" width="10.7109375" style="231" customWidth="1"/>
    <col min="6266" max="6279" width="10.7109375" style="231"/>
    <col min="6280" max="6281" width="10.7109375" style="231" customWidth="1"/>
    <col min="6282" max="6284" width="10.7109375" style="231"/>
    <col min="6285" max="6285" width="10.7109375" style="231" customWidth="1"/>
    <col min="6286" max="6286" width="10.7109375" style="231"/>
    <col min="6287" max="6289" width="10.7109375" style="231" customWidth="1"/>
    <col min="6290" max="6291" width="10.7109375" style="231"/>
    <col min="6292" max="6292" width="10.7109375" style="231" customWidth="1"/>
    <col min="6293" max="6295" width="10.7109375" style="231"/>
    <col min="6296" max="6296" width="10.7109375" style="231" customWidth="1"/>
    <col min="6297" max="6297" width="10.7109375" style="231"/>
    <col min="6298" max="6299" width="10.7109375" style="231" customWidth="1"/>
    <col min="6300" max="6300" width="10.7109375" style="231"/>
    <col min="6301" max="6301" width="10.7109375" style="231" customWidth="1"/>
    <col min="6302" max="6303" width="10.7109375" style="231"/>
    <col min="6304" max="6304" width="10.7109375" style="231" customWidth="1"/>
    <col min="6305" max="6306" width="10.7109375" style="231"/>
    <col min="6307" max="6309" width="10.7109375" style="231" customWidth="1"/>
    <col min="6310" max="6311" width="10.7109375" style="231"/>
    <col min="6312" max="6312" width="10.7109375" style="231" customWidth="1"/>
    <col min="6313" max="6314" width="10.7109375" style="231"/>
    <col min="6315" max="6315" width="10.7109375" style="231" customWidth="1"/>
    <col min="6316" max="6316" width="10.7109375" style="231"/>
    <col min="6317" max="6317" width="10.7109375" style="231" customWidth="1"/>
    <col min="6318" max="6319" width="10.7109375" style="231"/>
    <col min="6320" max="6320" width="10.7109375" style="231" customWidth="1"/>
    <col min="6321" max="6321" width="10.7109375" style="231"/>
    <col min="6322" max="6322" width="10.7109375" style="231" customWidth="1"/>
    <col min="6323" max="6323" width="10.7109375" style="231"/>
    <col min="6324" max="6324" width="10.7109375" style="231" customWidth="1"/>
    <col min="6325" max="6327" width="10.7109375" style="231"/>
    <col min="6328" max="6330" width="10.7109375" style="231" customWidth="1"/>
    <col min="6331" max="6331" width="10.7109375" style="231"/>
    <col min="6332" max="6332" width="10.7109375" style="231" customWidth="1"/>
    <col min="6333" max="6335" width="10.7109375" style="231"/>
    <col min="6336" max="6337" width="10.7109375" style="231" customWidth="1"/>
    <col min="6338" max="6340" width="10.7109375" style="231"/>
    <col min="6341" max="6341" width="10.7109375" style="231" customWidth="1"/>
    <col min="6342" max="6342" width="10.7109375" style="231"/>
    <col min="6343" max="6346" width="10.7109375" style="231" customWidth="1"/>
    <col min="6347" max="6347" width="10.7109375" style="231"/>
    <col min="6348" max="6348" width="10.7109375" style="231" customWidth="1"/>
    <col min="6349" max="6351" width="10.7109375" style="231"/>
    <col min="6352" max="6352" width="10.7109375" style="231" customWidth="1"/>
    <col min="6353" max="6353" width="10.7109375" style="231"/>
    <col min="6354" max="6355" width="10.7109375" style="231" customWidth="1"/>
    <col min="6356" max="6359" width="10.7109375" style="231"/>
    <col min="6360" max="6364" width="10.7109375" style="231" customWidth="1"/>
    <col min="6365" max="6367" width="10.7109375" style="231"/>
    <col min="6368" max="6368" width="10.7109375" style="231" customWidth="1"/>
    <col min="6369" max="6369" width="10.7109375" style="231"/>
    <col min="6370" max="6370" width="10.7109375" style="231" customWidth="1"/>
    <col min="6371" max="6371" width="10.7109375" style="231"/>
    <col min="6372" max="6373" width="10.7109375" style="231" customWidth="1"/>
    <col min="6374" max="6375" width="10.7109375" style="231"/>
    <col min="6376" max="6378" width="10.7109375" style="231" customWidth="1"/>
    <col min="6379" max="6382" width="10.7109375" style="231"/>
    <col min="6383" max="6384" width="10.7109375" style="231" customWidth="1"/>
    <col min="6385" max="6388" width="10.7109375" style="231"/>
    <col min="6389" max="6389" width="10.7109375" style="231" customWidth="1"/>
    <col min="6390" max="6390" width="10.7109375" style="231"/>
    <col min="6391" max="6392" width="10.7109375" style="231" customWidth="1"/>
    <col min="6393" max="6394" width="10.7109375" style="231"/>
    <col min="6395" max="6395" width="10.7109375" style="231" customWidth="1"/>
    <col min="6396" max="6396" width="10.7109375" style="231"/>
    <col min="6397" max="6397" width="10.7109375" style="231" customWidth="1"/>
    <col min="6398" max="6399" width="10.7109375" style="231"/>
    <col min="6400" max="6400" width="10.7109375" style="231" customWidth="1"/>
    <col min="6401" max="6401" width="10.7109375" style="231"/>
    <col min="6402" max="6402" width="10.7109375" style="231" customWidth="1"/>
    <col min="6403" max="6403" width="10.7109375" style="231"/>
    <col min="6404" max="6405" width="10.7109375" style="231" customWidth="1"/>
    <col min="6406" max="6407" width="10.7109375" style="231"/>
    <col min="6408" max="6408" width="10.7109375" style="231" customWidth="1"/>
    <col min="6409" max="6409" width="10.7109375" style="231"/>
    <col min="6410" max="6411" width="10.7109375" style="231" customWidth="1"/>
    <col min="6412" max="6415" width="10.7109375" style="231"/>
    <col min="6416" max="6417" width="10.7109375" style="231" customWidth="1"/>
    <col min="6418" max="6422" width="10.7109375" style="231"/>
    <col min="6423" max="6425" width="10.7109375" style="231" customWidth="1"/>
    <col min="6426" max="6426" width="10.7109375" style="231"/>
    <col min="6427" max="6427" width="10.7109375" style="231" customWidth="1"/>
    <col min="6428" max="6428" width="10.7109375" style="231"/>
    <col min="6429" max="6432" width="10.7109375" style="231" customWidth="1"/>
    <col min="6433" max="6433" width="10.7109375" style="231"/>
    <col min="6434" max="6435" width="10.7109375" style="231" customWidth="1"/>
    <col min="6436" max="6436" width="10.7109375" style="231"/>
    <col min="6437" max="6442" width="10.7109375" style="231" customWidth="1"/>
    <col min="6443" max="6446" width="10.7109375" style="231"/>
    <col min="6447" max="6448" width="10.7109375" style="231" customWidth="1"/>
    <col min="6449" max="6450" width="10.7109375" style="231"/>
    <col min="6451" max="6452" width="10.7109375" style="231" customWidth="1"/>
    <col min="6453" max="6455" width="10.7109375" style="231"/>
    <col min="6456" max="6458" width="10.7109375" style="231" customWidth="1"/>
    <col min="6459" max="6459" width="10.7109375" style="231"/>
    <col min="6460" max="6460" width="10.7109375" style="231" customWidth="1"/>
    <col min="6461" max="6463" width="10.7109375" style="231"/>
    <col min="6464" max="6465" width="10.7109375" style="231" customWidth="1"/>
    <col min="6466" max="6466" width="10.7109375" style="231"/>
    <col min="6467" max="6468" width="10.7109375" style="231" customWidth="1"/>
    <col min="6469" max="6471" width="10.7109375" style="231"/>
    <col min="6472" max="6472" width="10.7109375" style="231" customWidth="1"/>
    <col min="6473" max="6473" width="10.7109375" style="231"/>
    <col min="6474" max="6475" width="10.7109375" style="231" customWidth="1"/>
    <col min="6476" max="6476" width="10.7109375" style="231"/>
    <col min="6477" max="6477" width="10.7109375" style="231" customWidth="1"/>
    <col min="6478" max="6479" width="10.7109375" style="231"/>
    <col min="6480" max="6481" width="10.7109375" style="231" customWidth="1"/>
    <col min="6482" max="6484" width="10.7109375" style="231"/>
    <col min="6485" max="6485" width="10.7109375" style="231" customWidth="1"/>
    <col min="6486" max="6487" width="10.7109375" style="231"/>
    <col min="6488" max="6488" width="10.7109375" style="231" customWidth="1"/>
    <col min="6489" max="6491" width="10.7109375" style="231"/>
    <col min="6492" max="6493" width="10.7109375" style="231" customWidth="1"/>
    <col min="6494" max="6495" width="10.7109375" style="231"/>
    <col min="6496" max="6497" width="10.7109375" style="231" customWidth="1"/>
    <col min="6498" max="6502" width="10.7109375" style="231"/>
    <col min="6503" max="6504" width="10.7109375" style="231" customWidth="1"/>
    <col min="6505" max="6506" width="10.7109375" style="231"/>
    <col min="6507" max="6509" width="10.7109375" style="231" customWidth="1"/>
    <col min="6510" max="6511" width="10.7109375" style="231"/>
    <col min="6512" max="6512" width="10.7109375" style="231" customWidth="1"/>
    <col min="6513" max="6516" width="10.7109375" style="231"/>
    <col min="6517" max="6517" width="10.7109375" style="231" customWidth="1"/>
    <col min="6518" max="6521" width="10.7109375" style="231"/>
    <col min="6522" max="6522" width="10.7109375" style="231" customWidth="1"/>
    <col min="6523" max="6528" width="10.7109375" style="231"/>
    <col min="6529" max="6529" width="10.7109375" style="231" customWidth="1"/>
    <col min="6530" max="6534" width="10.7109375" style="231"/>
    <col min="6535" max="6536" width="10.7109375" style="231" customWidth="1"/>
    <col min="6537" max="6537" width="10.7109375" style="231"/>
    <col min="6538" max="6539" width="10.7109375" style="231" customWidth="1"/>
    <col min="6540" max="6540" width="10.7109375" style="231"/>
    <col min="6541" max="6541" width="10.7109375" style="231" customWidth="1"/>
    <col min="6542" max="6543" width="10.7109375" style="231"/>
    <col min="6544" max="6548" width="10.7109375" style="231" customWidth="1"/>
    <col min="6549" max="6551" width="10.7109375" style="231"/>
    <col min="6552" max="6553" width="10.7109375" style="231" customWidth="1"/>
    <col min="6554" max="6554" width="10.7109375" style="231"/>
    <col min="6555" max="6556" width="10.7109375" style="231" customWidth="1"/>
    <col min="6557" max="6560" width="10.7109375" style="231"/>
    <col min="6561" max="6562" width="10.7109375" style="231" customWidth="1"/>
    <col min="6563" max="6567" width="10.7109375" style="231"/>
    <col min="6568" max="6568" width="10.7109375" style="231" customWidth="1"/>
    <col min="6569" max="6569" width="10.7109375" style="231"/>
    <col min="6570" max="6570" width="10.7109375" style="231" customWidth="1"/>
    <col min="6571" max="6572" width="10.7109375" style="231"/>
    <col min="6573" max="6573" width="10.7109375" style="231" customWidth="1"/>
    <col min="6574" max="6575" width="10.7109375" style="231"/>
    <col min="6576" max="6576" width="10.7109375" style="231" customWidth="1"/>
    <col min="6577" max="6580" width="10.7109375" style="231"/>
    <col min="6581" max="6581" width="10.7109375" style="231" customWidth="1"/>
    <col min="6582" max="6582" width="10.7109375" style="231"/>
    <col min="6583" max="6588" width="10.7109375" style="231" customWidth="1"/>
    <col min="6589" max="6591" width="10.7109375" style="231"/>
    <col min="6592" max="6593" width="10.7109375" style="231" customWidth="1"/>
    <col min="6594" max="6594" width="10.7109375" style="231"/>
    <col min="6595" max="6596" width="10.7109375" style="231" customWidth="1"/>
    <col min="6597" max="6599" width="10.7109375" style="231"/>
    <col min="6600" max="6600" width="10.7109375" style="231" customWidth="1"/>
    <col min="6601" max="6601" width="10.7109375" style="231"/>
    <col min="6602" max="6603" width="10.7109375" style="231" customWidth="1"/>
    <col min="6604" max="6604" width="10.7109375" style="231"/>
    <col min="6605" max="6605" width="10.7109375" style="231" customWidth="1"/>
    <col min="6606" max="6607" width="10.7109375" style="231"/>
    <col min="6608" max="6609" width="10.7109375" style="231" customWidth="1"/>
    <col min="6610" max="6615" width="10.7109375" style="231"/>
    <col min="6616" max="6617" width="10.7109375" style="231" customWidth="1"/>
    <col min="6618" max="6619" width="10.7109375" style="231"/>
    <col min="6620" max="6620" width="10.7109375" style="231" customWidth="1"/>
    <col min="6621" max="6624" width="10.7109375" style="231"/>
    <col min="6625" max="6625" width="10.7109375" style="231" customWidth="1"/>
    <col min="6626" max="6630" width="10.7109375" style="231"/>
    <col min="6631" max="6635" width="10.7109375" style="231" customWidth="1"/>
    <col min="6636" max="6637" width="10.7109375" style="231"/>
    <col min="6638" max="6638" width="10.7109375" style="231" customWidth="1"/>
    <col min="6639" max="6639" width="10.7109375" style="231"/>
    <col min="6640" max="6640" width="10.7109375" style="231" customWidth="1"/>
    <col min="6641" max="6641" width="10.7109375" style="231"/>
    <col min="6642" max="6642" width="10.7109375" style="231" customWidth="1"/>
    <col min="6643" max="6643" width="10.7109375" style="231"/>
    <col min="6644" max="6645" width="10.7109375" style="231" customWidth="1"/>
    <col min="6646" max="6647" width="10.7109375" style="231"/>
    <col min="6648" max="6648" width="10.7109375" style="231" customWidth="1"/>
    <col min="6649" max="6655" width="10.7109375" style="231"/>
    <col min="6656" max="6656" width="10.7109375" style="231" customWidth="1"/>
    <col min="6657" max="6657" width="10.7109375" style="231"/>
    <col min="6658" max="6658" width="10.7109375" style="231" customWidth="1"/>
    <col min="6659" max="6663" width="10.7109375" style="231"/>
    <col min="6664" max="6665" width="10.7109375" style="231" customWidth="1"/>
    <col min="6666" max="6667" width="10.7109375" style="231"/>
    <col min="6668" max="6668" width="10.7109375" style="231" customWidth="1"/>
    <col min="6669" max="6669" width="10.7109375" style="231"/>
    <col min="6670" max="6670" width="10.7109375" style="231" customWidth="1"/>
    <col min="6671" max="6676" width="10.7109375" style="231"/>
    <col min="6677" max="6677" width="10.7109375" style="231" customWidth="1"/>
    <col min="6678" max="6679" width="10.7109375" style="231"/>
    <col min="6680" max="6681" width="10.7109375" style="231" customWidth="1"/>
    <col min="6682" max="6682" width="10.7109375" style="231"/>
    <col min="6683" max="6684" width="10.7109375" style="231" customWidth="1"/>
    <col min="6685" max="6687" width="10.7109375" style="231"/>
    <col min="6688" max="6688" width="10.7109375" style="231" customWidth="1"/>
    <col min="6689" max="6689" width="10.7109375" style="231"/>
    <col min="6690" max="6690" width="10.7109375" style="231" customWidth="1"/>
    <col min="6691" max="6692" width="10.7109375" style="231"/>
    <col min="6693" max="6693" width="10.7109375" style="231" customWidth="1"/>
    <col min="6694" max="6695" width="10.7109375" style="231"/>
    <col min="6696" max="6696" width="10.7109375" style="231" customWidth="1"/>
    <col min="6697" max="6697" width="10.7109375" style="231"/>
    <col min="6698" max="6701" width="10.7109375" style="231" customWidth="1"/>
    <col min="6702" max="6703" width="10.7109375" style="231"/>
    <col min="6704" max="6706" width="10.7109375" style="231" customWidth="1"/>
    <col min="6707" max="6711" width="10.7109375" style="231"/>
    <col min="6712" max="6714" width="10.7109375" style="231" customWidth="1"/>
    <col min="6715" max="6715" width="10.7109375" style="231"/>
    <col min="6716" max="6716" width="10.7109375" style="231" customWidth="1"/>
    <col min="6717" max="6717" width="10.7109375" style="231"/>
    <col min="6718" max="6718" width="10.7109375" style="231" customWidth="1"/>
    <col min="6719" max="6721" width="10.7109375" style="231"/>
    <col min="6722" max="6722" width="10.7109375" style="231" customWidth="1"/>
    <col min="6723" max="6727" width="10.7109375" style="231"/>
    <col min="6728" max="6728" width="10.7109375" style="231" customWidth="1"/>
    <col min="6729" max="6730" width="10.7109375" style="231"/>
    <col min="6731" max="6733" width="10.7109375" style="231" customWidth="1"/>
    <col min="6734" max="6738" width="10.7109375" style="231"/>
    <col min="6739" max="6739" width="10.7109375" style="231" customWidth="1"/>
    <col min="6740" max="6740" width="10.7109375" style="231"/>
    <col min="6741" max="6741" width="10.7109375" style="231" customWidth="1"/>
    <col min="6742" max="6745" width="10.7109375" style="231"/>
    <col min="6746" max="6746" width="10.7109375" style="231" customWidth="1"/>
    <col min="6747" max="6747" width="10.7109375" style="231"/>
    <col min="6748" max="6748" width="10.7109375" style="231" customWidth="1"/>
    <col min="6749" max="6752" width="10.7109375" style="231"/>
    <col min="6753" max="6754" width="10.7109375" style="231" customWidth="1"/>
    <col min="6755" max="6755" width="10.7109375" style="231"/>
    <col min="6756" max="6756" width="10.7109375" style="231" customWidth="1"/>
    <col min="6757" max="6759" width="10.7109375" style="231"/>
    <col min="6760" max="6762" width="10.7109375" style="231" customWidth="1"/>
    <col min="6763" max="6766" width="10.7109375" style="231"/>
    <col min="6767" max="6768" width="10.7109375" style="231" customWidth="1"/>
    <col min="6769" max="6775" width="10.7109375" style="231"/>
    <col min="6776" max="6776" width="10.7109375" style="231" customWidth="1"/>
    <col min="6777" max="6783" width="10.7109375" style="231"/>
    <col min="6784" max="6786" width="10.7109375" style="231" customWidth="1"/>
    <col min="6787" max="6787" width="10.7109375" style="231"/>
    <col min="6788" max="6788" width="10.7109375" style="231" customWidth="1"/>
    <col min="6789" max="6792" width="10.7109375" style="231"/>
    <col min="6793" max="6793" width="10.7109375" style="231" customWidth="1"/>
    <col min="6794" max="6794" width="10.7109375" style="231"/>
    <col min="6795" max="6796" width="10.7109375" style="231" customWidth="1"/>
    <col min="6797" max="6801" width="10.7109375" style="231"/>
    <col min="6802" max="6803" width="10.7109375" style="231" customWidth="1"/>
    <col min="6804" max="6804" width="10.7109375" style="231"/>
    <col min="6805" max="6805" width="10.7109375" style="231" customWidth="1"/>
    <col min="6806" max="6807" width="10.7109375" style="231"/>
    <col min="6808" max="6809" width="10.7109375" style="231" customWidth="1"/>
    <col min="6810" max="6812" width="10.7109375" style="231"/>
    <col min="6813" max="6813" width="10.7109375" style="231" customWidth="1"/>
    <col min="6814" max="6815" width="10.7109375" style="231"/>
    <col min="6816" max="6816" width="10.7109375" style="231" customWidth="1"/>
    <col min="6817" max="6819" width="10.7109375" style="231"/>
    <col min="6820" max="6821" width="10.7109375" style="231" customWidth="1"/>
    <col min="6822" max="6823" width="10.7109375" style="231"/>
    <col min="6824" max="6825" width="10.7109375" style="231" customWidth="1"/>
    <col min="6826" max="6830" width="10.7109375" style="231"/>
    <col min="6831" max="6833" width="10.7109375" style="231" customWidth="1"/>
    <col min="6834" max="6834" width="10.7109375" style="231"/>
    <col min="6835" max="6835" width="10.7109375" style="231" customWidth="1"/>
    <col min="6836" max="6837" width="10.7109375" style="231"/>
    <col min="6838" max="6839" width="10.7109375" style="231" customWidth="1"/>
    <col min="6840" max="6840" width="10.7109375" style="231"/>
    <col min="6841" max="6841" width="10.7109375" style="231" customWidth="1"/>
    <col min="6842" max="6846" width="10.7109375" style="231"/>
    <col min="6847" max="6847" width="10.7109375" style="231" customWidth="1"/>
    <col min="6848" max="6866" width="10.7109375" style="231"/>
    <col min="6867" max="6867" width="10.7109375" style="231" customWidth="1"/>
    <col min="6868" max="6868" width="10.7109375" style="231"/>
    <col min="6869" max="6869" width="10.7109375" style="231" customWidth="1"/>
    <col min="6870" max="6871" width="10.7109375" style="231"/>
    <col min="6872" max="6872" width="10.7109375" style="231" customWidth="1"/>
    <col min="6873" max="6875" width="10.7109375" style="231"/>
    <col min="6876" max="6876" width="10.7109375" style="231" customWidth="1"/>
    <col min="6877" max="6879" width="10.7109375" style="231"/>
    <col min="6880" max="6881" width="10.7109375" style="231" customWidth="1"/>
    <col min="6882" max="6883" width="10.7109375" style="231"/>
    <col min="6884" max="6884" width="10.7109375" style="231" customWidth="1"/>
    <col min="6885" max="6894" width="10.7109375" style="231"/>
    <col min="6895" max="6895" width="10.7109375" style="231" customWidth="1"/>
    <col min="6896" max="6896" width="10.7109375" style="231"/>
    <col min="6897" max="6897" width="10.7109375" style="231" customWidth="1"/>
    <col min="6898" max="6898" width="10.7109375" style="231"/>
    <col min="6899" max="6899" width="10.7109375" style="231" customWidth="1"/>
    <col min="6900" max="6900" width="10.7109375" style="231"/>
    <col min="6901" max="6903" width="10.7109375" style="231" customWidth="1"/>
    <col min="6904" max="6911" width="10.7109375" style="231"/>
    <col min="6912" max="6912" width="10.7109375" style="231" customWidth="1"/>
    <col min="6913" max="6919" width="10.7109375" style="231"/>
    <col min="6920" max="6922" width="10.7109375" style="231" customWidth="1"/>
    <col min="6923" max="6923" width="10.7109375" style="231"/>
    <col min="6924" max="6924" width="10.7109375" style="231" customWidth="1"/>
    <col min="6925" max="6927" width="10.7109375" style="231"/>
    <col min="6928" max="6930" width="10.7109375" style="231" customWidth="1"/>
    <col min="6931" max="6932" width="10.7109375" style="231"/>
    <col min="6933" max="6933" width="10.7109375" style="231" customWidth="1"/>
    <col min="6934" max="6935" width="10.7109375" style="231"/>
    <col min="6936" max="6936" width="10.7109375" style="231" customWidth="1"/>
    <col min="6937" max="6940" width="10.7109375" style="231"/>
    <col min="6941" max="6941" width="10.7109375" style="231" customWidth="1"/>
    <col min="6942" max="6943" width="10.7109375" style="231"/>
    <col min="6944" max="6944" width="10.7109375" style="231" customWidth="1"/>
    <col min="6945" max="6946" width="10.7109375" style="231"/>
    <col min="6947" max="6947" width="10.7109375" style="231" customWidth="1"/>
    <col min="6948" max="6953" width="10.7109375" style="231"/>
    <col min="6954" max="6954" width="10.7109375" style="231" customWidth="1"/>
    <col min="6955" max="6959" width="10.7109375" style="231"/>
    <col min="6960" max="6961" width="10.7109375" style="231" customWidth="1"/>
    <col min="6962" max="6966" width="10.7109375" style="231"/>
    <col min="6967" max="6968" width="10.7109375" style="231" customWidth="1"/>
    <col min="6969" max="6972" width="10.7109375" style="231"/>
    <col min="6973" max="6974" width="10.7109375" style="231" customWidth="1"/>
    <col min="6975" max="6975" width="10.7109375" style="231"/>
    <col min="6976" max="6976" width="10.7109375" style="231" customWidth="1"/>
    <col min="6977" max="6978" width="10.7109375" style="231"/>
    <col min="6979" max="6979" width="10.7109375" style="231" customWidth="1"/>
    <col min="6980" max="6985" width="10.7109375" style="231"/>
    <col min="6986" max="6986" width="10.7109375" style="231" customWidth="1"/>
    <col min="6987" max="6988" width="10.7109375" style="231"/>
    <col min="6989" max="6989" width="10.7109375" style="231" customWidth="1"/>
    <col min="6990" max="6991" width="10.7109375" style="231"/>
    <col min="6992" max="6994" width="10.7109375" style="231" customWidth="1"/>
    <col min="6995" max="6995" width="10.7109375" style="231"/>
    <col min="6996" max="6996" width="10.7109375" style="231" customWidth="1"/>
    <col min="6997" max="7007" width="10.7109375" style="231"/>
    <col min="7008" max="7008" width="10.7109375" style="231" customWidth="1"/>
    <col min="7009" max="7012" width="10.7109375" style="231"/>
    <col min="7013" max="7013" width="10.7109375" style="231" customWidth="1"/>
    <col min="7014" max="7014" width="10.7109375" style="231"/>
    <col min="7015" max="7015" width="10.7109375" style="231" customWidth="1"/>
    <col min="7016" max="7018" width="10.7109375" style="231"/>
    <col min="7019" max="7020" width="10.7109375" style="231" customWidth="1"/>
    <col min="7021" max="7027" width="10.7109375" style="231"/>
    <col min="7028" max="7028" width="10.7109375" style="231" customWidth="1"/>
    <col min="7029" max="7031" width="10.7109375" style="231"/>
    <col min="7032" max="7032" width="10.7109375" style="231" customWidth="1"/>
    <col min="7033" max="7039" width="10.7109375" style="231"/>
    <col min="7040" max="7040" width="10.7109375" style="231" customWidth="1"/>
    <col min="7041" max="7041" width="10.7109375" style="231"/>
    <col min="7042" max="7043" width="10.7109375" style="231" customWidth="1"/>
    <col min="7044" max="7052" width="10.7109375" style="231"/>
    <col min="7053" max="7053" width="10.7109375" style="231" customWidth="1"/>
    <col min="7054" max="7055" width="10.7109375" style="231"/>
    <col min="7056" max="7056" width="10.7109375" style="231" customWidth="1"/>
    <col min="7057" max="7059" width="10.7109375" style="231"/>
    <col min="7060" max="7061" width="10.7109375" style="231" customWidth="1"/>
    <col min="7062" max="7063" width="10.7109375" style="231"/>
    <col min="7064" max="7065" width="10.7109375" style="231" customWidth="1"/>
    <col min="7066" max="7071" width="10.7109375" style="231"/>
    <col min="7072" max="7072" width="10.7109375" style="231" customWidth="1"/>
    <col min="7073" max="7074" width="10.7109375" style="231"/>
    <col min="7075" max="7075" width="10.7109375" style="231" customWidth="1"/>
    <col min="7076" max="7077" width="10.7109375" style="231"/>
    <col min="7078" max="7079" width="10.7109375" style="231" customWidth="1"/>
    <col min="7080" max="7081" width="10.7109375" style="231"/>
    <col min="7082" max="7082" width="10.7109375" style="231" customWidth="1"/>
    <col min="7083" max="7084" width="10.7109375" style="231"/>
    <col min="7085" max="7088" width="10.7109375" style="231" customWidth="1"/>
    <col min="7089" max="7089" width="10.7109375" style="231"/>
    <col min="7090" max="7091" width="10.7109375" style="231" customWidth="1"/>
    <col min="7092" max="7092" width="10.7109375" style="231"/>
    <col min="7093" max="7096" width="10.7109375" style="231" customWidth="1"/>
    <col min="7097" max="7100" width="10.7109375" style="231"/>
    <col min="7101" max="7102" width="10.7109375" style="231" customWidth="1"/>
    <col min="7103" max="7103" width="10.7109375" style="231"/>
    <col min="7104" max="7104" width="10.7109375" style="231" customWidth="1"/>
    <col min="7105" max="7105" width="10.7109375" style="231"/>
    <col min="7106" max="7106" width="10.7109375" style="231" customWidth="1"/>
    <col min="7107" max="7110" width="10.7109375" style="231"/>
    <col min="7111" max="7111" width="10.7109375" style="231" customWidth="1"/>
    <col min="7112" max="7116" width="10.7109375" style="231"/>
    <col min="7117" max="7117" width="10.7109375" style="231" customWidth="1"/>
    <col min="7118" max="7119" width="10.7109375" style="231"/>
    <col min="7120" max="7120" width="10.7109375" style="231" customWidth="1"/>
    <col min="7121" max="7121" width="10.7109375" style="231"/>
    <col min="7122" max="7122" width="10.7109375" style="231" customWidth="1"/>
    <col min="7123" max="7123" width="10.7109375" style="231"/>
    <col min="7124" max="7125" width="10.7109375" style="231" customWidth="1"/>
    <col min="7126" max="7127" width="10.7109375" style="231"/>
    <col min="7128" max="7128" width="10.7109375" style="231" customWidth="1"/>
    <col min="7129" max="7135" width="10.7109375" style="231"/>
    <col min="7136" max="7136" width="10.7109375" style="231" customWidth="1"/>
    <col min="7137" max="7142" width="10.7109375" style="231"/>
    <col min="7143" max="7143" width="10.7109375" style="231" customWidth="1"/>
    <col min="7144" max="7148" width="10.7109375" style="231"/>
    <col min="7149" max="7149" width="10.7109375" style="231" customWidth="1"/>
    <col min="7150" max="7151" width="10.7109375" style="231"/>
    <col min="7152" max="7152" width="10.7109375" style="231" customWidth="1"/>
    <col min="7153" max="7156" width="10.7109375" style="231"/>
    <col min="7157" max="7157" width="10.7109375" style="231" customWidth="1"/>
    <col min="7158" max="7161" width="10.7109375" style="231"/>
    <col min="7162" max="7162" width="10.7109375" style="231" customWidth="1"/>
    <col min="7163" max="7174" width="10.7109375" style="231"/>
    <col min="7175" max="7176" width="10.7109375" style="231" customWidth="1"/>
    <col min="7177" max="7177" width="10.7109375" style="231"/>
    <col min="7178" max="7178" width="10.7109375" style="231" customWidth="1"/>
    <col min="7179" max="7179" width="10.7109375" style="231"/>
    <col min="7180" max="7181" width="10.7109375" style="231" customWidth="1"/>
    <col min="7182" max="7183" width="10.7109375" style="231"/>
    <col min="7184" max="7188" width="10.7109375" style="231" customWidth="1"/>
    <col min="7189" max="7191" width="10.7109375" style="231"/>
    <col min="7192" max="7192" width="10.7109375" style="231" customWidth="1"/>
    <col min="7193" max="7194" width="10.7109375" style="231"/>
    <col min="7195" max="7196" width="10.7109375" style="231" customWidth="1"/>
    <col min="7197" max="7201" width="10.7109375" style="231"/>
    <col min="7202" max="7202" width="10.7109375" style="231" customWidth="1"/>
    <col min="7203" max="7204" width="10.7109375" style="231"/>
    <col min="7205" max="7205" width="10.7109375" style="231" customWidth="1"/>
    <col min="7206" max="7211" width="10.7109375" style="231"/>
    <col min="7212" max="7213" width="10.7109375" style="231" customWidth="1"/>
    <col min="7214" max="7215" width="10.7109375" style="231"/>
    <col min="7216" max="7217" width="10.7109375" style="231" customWidth="1"/>
    <col min="7218" max="7220" width="10.7109375" style="231"/>
    <col min="7221" max="7221" width="10.7109375" style="231" customWidth="1"/>
    <col min="7222" max="7222" width="10.7109375" style="231"/>
    <col min="7223" max="7226" width="10.7109375" style="231" customWidth="1"/>
    <col min="7227" max="7227" width="10.7109375" style="231"/>
    <col min="7228" max="7228" width="10.7109375" style="231" customWidth="1"/>
    <col min="7229" max="7244" width="10.7109375" style="231"/>
    <col min="7245" max="7245" width="10.7109375" style="231" customWidth="1"/>
    <col min="7246" max="7247" width="10.7109375" style="231"/>
    <col min="7248" max="7249" width="10.7109375" style="231" customWidth="1"/>
    <col min="7250" max="7252" width="10.7109375" style="231"/>
    <col min="7253" max="7253" width="10.7109375" style="231" customWidth="1"/>
    <col min="7254" max="7255" width="10.7109375" style="231"/>
    <col min="7256" max="7257" width="10.7109375" style="231" customWidth="1"/>
    <col min="7258" max="7259" width="10.7109375" style="231"/>
    <col min="7260" max="7260" width="10.7109375" style="231" customWidth="1"/>
    <col min="7261" max="7264" width="10.7109375" style="231"/>
    <col min="7265" max="7265" width="10.7109375" style="231" customWidth="1"/>
    <col min="7266" max="7270" width="10.7109375" style="231"/>
    <col min="7271" max="7274" width="10.7109375" style="231" customWidth="1"/>
    <col min="7275" max="7279" width="10.7109375" style="231"/>
    <col min="7280" max="7280" width="10.7109375" style="231" customWidth="1"/>
    <col min="7281" max="7281" width="10.7109375" style="231"/>
    <col min="7282" max="7283" width="10.7109375" style="231" customWidth="1"/>
    <col min="7284" max="7284" width="10.7109375" style="231"/>
    <col min="7285" max="7285" width="10.7109375" style="231" customWidth="1"/>
    <col min="7286" max="7287" width="10.7109375" style="231"/>
    <col min="7288" max="7288" width="10.7109375" style="231" customWidth="1"/>
    <col min="7289" max="7290" width="10.7109375" style="231"/>
    <col min="7291" max="7293" width="10.7109375" style="231" customWidth="1"/>
    <col min="7294" max="7295" width="10.7109375" style="231"/>
    <col min="7296" max="7296" width="10.7109375" style="231" customWidth="1"/>
    <col min="7297" max="7303" width="10.7109375" style="231"/>
    <col min="7304" max="7304" width="10.7109375" style="231" customWidth="1"/>
    <col min="7305" max="7305" width="10.7109375" style="231"/>
    <col min="7306" max="7306" width="10.7109375" style="231" customWidth="1"/>
    <col min="7307" max="7307" width="10.7109375" style="231"/>
    <col min="7308" max="7309" width="10.7109375" style="231" customWidth="1"/>
    <col min="7310" max="7311" width="10.7109375" style="231"/>
    <col min="7312" max="7314" width="10.7109375" style="231" customWidth="1"/>
    <col min="7315" max="7315" width="10.7109375" style="231"/>
    <col min="7316" max="7316" width="10.7109375" style="231" customWidth="1"/>
    <col min="7317" max="7319" width="10.7109375" style="231"/>
    <col min="7320" max="7320" width="10.7109375" style="231" customWidth="1"/>
    <col min="7321" max="7324" width="10.7109375" style="231"/>
    <col min="7325" max="7325" width="10.7109375" style="231" customWidth="1"/>
    <col min="7326" max="7326" width="10.7109375" style="231"/>
    <col min="7327" max="7328" width="10.7109375" style="231" customWidth="1"/>
    <col min="7329" max="7329" width="10.7109375" style="231"/>
    <col min="7330" max="7330" width="10.7109375" style="231" customWidth="1"/>
    <col min="7331" max="7335" width="10.7109375" style="231"/>
    <col min="7336" max="7338" width="10.7109375" style="231" customWidth="1"/>
    <col min="7339" max="7339" width="10.7109375" style="231"/>
    <col min="7340" max="7340" width="10.7109375" style="231" customWidth="1"/>
    <col min="7341" max="7343" width="10.7109375" style="231"/>
    <col min="7344" max="7344" width="10.7109375" style="231" customWidth="1"/>
    <col min="7345" max="7345" width="10.7109375" style="231"/>
    <col min="7346" max="7346" width="10.7109375" style="231" customWidth="1"/>
    <col min="7347" max="7356" width="10.7109375" style="231"/>
    <col min="7357" max="7357" width="10.7109375" style="231" customWidth="1"/>
    <col min="7358" max="7379" width="10.7109375" style="231"/>
    <col min="7380" max="7380" width="10.7109375" style="231" customWidth="1"/>
    <col min="7381" max="7385" width="10.7109375" style="231"/>
    <col min="7386" max="7386" width="10.7109375" style="231" customWidth="1"/>
    <col min="7387" max="7387" width="10.7109375" style="231"/>
    <col min="7388" max="7388" width="10.7109375" style="231" customWidth="1"/>
    <col min="7389" max="7391" width="10.7109375" style="231"/>
    <col min="7392" max="7392" width="10.7109375" style="231" customWidth="1"/>
    <col min="7393" max="7399" width="10.7109375" style="231"/>
    <col min="7400" max="7401" width="10.7109375" style="231" customWidth="1"/>
    <col min="7402" max="7406" width="10.7109375" style="231"/>
    <col min="7407" max="7407" width="10.7109375" style="231" customWidth="1"/>
    <col min="7408" max="7412" width="10.7109375" style="231"/>
    <col min="7413" max="7413" width="10.7109375" style="231" customWidth="1"/>
    <col min="7414" max="7414" width="10.7109375" style="231"/>
    <col min="7415" max="7416" width="10.7109375" style="231" customWidth="1"/>
    <col min="7417" max="7418" width="10.7109375" style="231"/>
    <col min="7419" max="7419" width="10.7109375" style="231" customWidth="1"/>
    <col min="7420" max="7420" width="10.7109375" style="231"/>
    <col min="7421" max="7421" width="10.7109375" style="231" customWidth="1"/>
    <col min="7422" max="7423" width="10.7109375" style="231"/>
    <col min="7424" max="7424" width="10.7109375" style="231" customWidth="1"/>
    <col min="7425" max="7425" width="10.7109375" style="231"/>
    <col min="7426" max="7426" width="10.7109375" style="231" customWidth="1"/>
    <col min="7427" max="7427" width="10.7109375" style="231"/>
    <col min="7428" max="7429" width="10.7109375" style="231" customWidth="1"/>
    <col min="7430" max="7431" width="10.7109375" style="231"/>
    <col min="7432" max="7432" width="10.7109375" style="231" customWidth="1"/>
    <col min="7433" max="7433" width="10.7109375" style="231"/>
    <col min="7434" max="7435" width="10.7109375" style="231" customWidth="1"/>
    <col min="7436" max="7439" width="10.7109375" style="231"/>
    <col min="7440" max="7441" width="10.7109375" style="231" customWidth="1"/>
    <col min="7442" max="7446" width="10.7109375" style="231"/>
    <col min="7447" max="7449" width="10.7109375" style="231" customWidth="1"/>
    <col min="7450" max="7450" width="10.7109375" style="231"/>
    <col min="7451" max="7451" width="10.7109375" style="231" customWidth="1"/>
    <col min="7452" max="7453" width="10.7109375" style="231"/>
    <col min="7454" max="7454" width="10.7109375" style="231" customWidth="1"/>
    <col min="7455" max="7457" width="10.7109375" style="231"/>
    <col min="7458" max="7458" width="10.7109375" style="231" customWidth="1"/>
    <col min="7459" max="7461" width="10.7109375" style="231"/>
    <col min="7462" max="7464" width="10.7109375" style="231" customWidth="1"/>
    <col min="7465" max="7465" width="10.7109375" style="231"/>
    <col min="7466" max="7466" width="10.7109375" style="231" customWidth="1"/>
    <col min="7467" max="7468" width="10.7109375" style="231"/>
    <col min="7469" max="7472" width="10.7109375" style="231" customWidth="1"/>
    <col min="7473" max="7473" width="10.7109375" style="231"/>
    <col min="7474" max="7475" width="10.7109375" style="231" customWidth="1"/>
    <col min="7476" max="7476" width="10.7109375" style="231"/>
    <col min="7477" max="7480" width="10.7109375" style="231" customWidth="1"/>
    <col min="7481" max="7481" width="10.7109375" style="231"/>
    <col min="7482" max="7482" width="10.7109375" style="231" customWidth="1"/>
    <col min="7483" max="7486" width="10.7109375" style="231"/>
    <col min="7487" max="7488" width="10.7109375" style="231" customWidth="1"/>
    <col min="7489" max="7489" width="10.7109375" style="231"/>
    <col min="7490" max="7490" width="10.7109375" style="231" customWidth="1"/>
    <col min="7491" max="7495" width="10.7109375" style="231"/>
    <col min="7496" max="7497" width="10.7109375" style="231" customWidth="1"/>
    <col min="7498" max="7499" width="10.7109375" style="231"/>
    <col min="7500" max="7500" width="10.7109375" style="231" customWidth="1"/>
    <col min="7501" max="7503" width="10.7109375" style="231"/>
    <col min="7504" max="7505" width="10.7109375" style="231" customWidth="1"/>
    <col min="7506" max="7506" width="10.7109375" style="231"/>
    <col min="7507" max="7508" width="10.7109375" style="231" customWidth="1"/>
    <col min="7509" max="7511" width="10.7109375" style="231"/>
    <col min="7512" max="7512" width="10.7109375" style="231" customWidth="1"/>
    <col min="7513" max="7513" width="10.7109375" style="231"/>
    <col min="7514" max="7514" width="10.7109375" style="231" customWidth="1"/>
    <col min="7515" max="7516" width="10.7109375" style="231"/>
    <col min="7517" max="7517" width="10.7109375" style="231" customWidth="1"/>
    <col min="7518" max="7519" width="10.7109375" style="231"/>
    <col min="7520" max="7520" width="10.7109375" style="231" customWidth="1"/>
    <col min="7521" max="7522" width="10.7109375" style="231"/>
    <col min="7523" max="7523" width="10.7109375" style="231" customWidth="1"/>
    <col min="7524" max="7527" width="10.7109375" style="231"/>
    <col min="7528" max="7529" width="10.7109375" style="231" customWidth="1"/>
    <col min="7530" max="7534" width="10.7109375" style="231"/>
    <col min="7535" max="7537" width="10.7109375" style="231" customWidth="1"/>
    <col min="7538" max="7538" width="10.7109375" style="231"/>
    <col min="7539" max="7539" width="10.7109375" style="231" customWidth="1"/>
    <col min="7540" max="7540" width="10.7109375" style="231"/>
    <col min="7541" max="7544" width="10.7109375" style="231" customWidth="1"/>
    <col min="7545" max="7545" width="10.7109375" style="231"/>
    <col min="7546" max="7546" width="10.7109375" style="231" customWidth="1"/>
    <col min="7547" max="7548" width="10.7109375" style="231"/>
    <col min="7549" max="7552" width="10.7109375" style="231" customWidth="1"/>
    <col min="7553" max="7553" width="10.7109375" style="231"/>
    <col min="7554" max="7554" width="10.7109375" style="231" customWidth="1"/>
    <col min="7555" max="7557" width="10.7109375" style="231"/>
    <col min="7558" max="7560" width="10.7109375" style="231" customWidth="1"/>
    <col min="7561" max="7561" width="10.7109375" style="231"/>
    <col min="7562" max="7562" width="10.7109375" style="231" customWidth="1"/>
    <col min="7563" max="7564" width="10.7109375" style="231"/>
    <col min="7565" max="7568" width="10.7109375" style="231" customWidth="1"/>
    <col min="7569" max="7569" width="10.7109375" style="231"/>
    <col min="7570" max="7571" width="10.7109375" style="231" customWidth="1"/>
    <col min="7572" max="7573" width="10.7109375" style="231"/>
    <col min="7574" max="7578" width="10.7109375" style="231" customWidth="1"/>
    <col min="7579" max="7582" width="10.7109375" style="231"/>
    <col min="7583" max="7586" width="10.7109375" style="231" customWidth="1"/>
    <col min="7587" max="7587" width="10.7109375" style="231"/>
    <col min="7588" max="7589" width="10.7109375" style="231" customWidth="1"/>
    <col min="7590" max="7591" width="10.7109375" style="231"/>
    <col min="7592" max="7592" width="10.7109375" style="231" customWidth="1"/>
    <col min="7593" max="7593" width="10.7109375" style="231"/>
    <col min="7594" max="7595" width="10.7109375" style="231" customWidth="1"/>
    <col min="7596" max="7596" width="10.7109375" style="231"/>
    <col min="7597" max="7597" width="10.7109375" style="231" customWidth="1"/>
    <col min="7598" max="7599" width="10.7109375" style="231"/>
    <col min="7600" max="7600" width="10.7109375" style="231" customWidth="1"/>
    <col min="7601" max="7602" width="10.7109375" style="231"/>
    <col min="7603" max="7605" width="10.7109375" style="231" customWidth="1"/>
    <col min="7606" max="7607" width="10.7109375" style="231"/>
    <col min="7608" max="7608" width="10.7109375" style="231" customWidth="1"/>
    <col min="7609" max="7611" width="10.7109375" style="231"/>
    <col min="7612" max="7612" width="10.7109375" style="231" customWidth="1"/>
    <col min="7613" max="7615" width="10.7109375" style="231"/>
    <col min="7616" max="7617" width="10.7109375" style="231" customWidth="1"/>
    <col min="7618" max="7622" width="10.7109375" style="231"/>
    <col min="7623" max="7624" width="10.7109375" style="231" customWidth="1"/>
    <col min="7625" max="7629" width="10.7109375" style="231"/>
    <col min="7630" max="7632" width="10.7109375" style="231" customWidth="1"/>
    <col min="7633" max="7633" width="10.7109375" style="231"/>
    <col min="7634" max="7635" width="10.7109375" style="231" customWidth="1"/>
    <col min="7636" max="7637" width="10.7109375" style="231"/>
    <col min="7638" max="7638" width="10.7109375" style="231" customWidth="1"/>
    <col min="7639" max="7642" width="10.7109375" style="231"/>
    <col min="7643" max="7643" width="10.7109375" style="231" customWidth="1"/>
    <col min="7644" max="7644" width="10.7109375" style="231"/>
    <col min="7645" max="7645" width="10.7109375" style="231" customWidth="1"/>
    <col min="7646" max="7654" width="10.7109375" style="231"/>
    <col min="7655" max="7656" width="10.7109375" style="231" customWidth="1"/>
    <col min="7657" max="7657" width="10.7109375" style="231"/>
    <col min="7658" max="7659" width="10.7109375" style="231" customWidth="1"/>
    <col min="7660" max="7661" width="10.7109375" style="231"/>
    <col min="7662" max="7664" width="10.7109375" style="231" customWidth="1"/>
    <col min="7665" max="7665" width="10.7109375" style="231"/>
    <col min="7666" max="7667" width="10.7109375" style="231" customWidth="1"/>
    <col min="7668" max="7668" width="10.7109375" style="231"/>
    <col min="7669" max="7674" width="10.7109375" style="231" customWidth="1"/>
    <col min="7675" max="7687" width="10.7109375" style="231"/>
    <col min="7688" max="7688" width="10.7109375" style="231" customWidth="1"/>
    <col min="7689" max="7689" width="10.7109375" style="231"/>
    <col min="7690" max="7690" width="10.7109375" style="231" customWidth="1"/>
    <col min="7691" max="7691" width="10.7109375" style="231"/>
    <col min="7692" max="7693" width="10.7109375" style="231" customWidth="1"/>
    <col min="7694" max="7695" width="10.7109375" style="231"/>
    <col min="7696" max="7696" width="10.7109375" style="231" customWidth="1"/>
    <col min="7697" max="7703" width="10.7109375" style="231"/>
    <col min="7704" max="7705" width="10.7109375" style="231" customWidth="1"/>
    <col min="7706" max="7710" width="10.7109375" style="231"/>
    <col min="7711" max="7712" width="10.7109375" style="231" customWidth="1"/>
    <col min="7713" max="7714" width="10.7109375" style="231"/>
    <col min="7715" max="7717" width="10.7109375" style="231" customWidth="1"/>
    <col min="7718" max="7719" width="10.7109375" style="231"/>
    <col min="7720" max="7720" width="10.7109375" style="231" customWidth="1"/>
    <col min="7721" max="7724" width="10.7109375" style="231"/>
    <col min="7725" max="7725" width="10.7109375" style="231" customWidth="1"/>
    <col min="7726" max="7727" width="10.7109375" style="231"/>
    <col min="7728" max="7728" width="10.7109375" style="231" customWidth="1"/>
    <col min="7729" max="7732" width="10.7109375" style="231"/>
    <col min="7733" max="7733" width="10.7109375" style="231" customWidth="1"/>
    <col min="7734" max="7735" width="10.7109375" style="231"/>
    <col min="7736" max="7737" width="10.7109375" style="231" customWidth="1"/>
    <col min="7738" max="7740" width="10.7109375" style="231"/>
    <col min="7741" max="7741" width="10.7109375" style="231" customWidth="1"/>
    <col min="7742" max="7742" width="10.7109375" style="231"/>
    <col min="7743" max="7744" width="10.7109375" style="231" customWidth="1"/>
    <col min="7745" max="7745" width="10.7109375" style="231"/>
    <col min="7746" max="7749" width="10.7109375" style="231" customWidth="1"/>
    <col min="7750" max="7751" width="10.7109375" style="231"/>
    <col min="7752" max="7756" width="10.7109375" style="231" customWidth="1"/>
    <col min="7757" max="7759" width="10.7109375" style="231"/>
    <col min="7760" max="7764" width="10.7109375" style="231" customWidth="1"/>
    <col min="7765" max="7767" width="10.7109375" style="231"/>
    <col min="7768" max="7770" width="10.7109375" style="231" customWidth="1"/>
    <col min="7771" max="7777" width="10.7109375" style="231"/>
    <col min="7778" max="7778" width="10.7109375" style="231" customWidth="1"/>
    <col min="7779" max="7783" width="10.7109375" style="231"/>
    <col min="7784" max="7785" width="10.7109375" style="231" customWidth="1"/>
    <col min="7786" max="7788" width="10.7109375" style="231"/>
    <col min="7789" max="7789" width="10.7109375" style="231" customWidth="1"/>
    <col min="7790" max="7790" width="10.7109375" style="231"/>
    <col min="7791" max="7796" width="10.7109375" style="231" customWidth="1"/>
    <col min="7797" max="7799" width="10.7109375" style="231"/>
    <col min="7800" max="7801" width="10.7109375" style="231" customWidth="1"/>
    <col min="7802" max="7802" width="10.7109375" style="231"/>
    <col min="7803" max="7804" width="10.7109375" style="231" customWidth="1"/>
    <col min="7805" max="7807" width="10.7109375" style="231"/>
    <col min="7808" max="7808" width="10.7109375" style="231" customWidth="1"/>
    <col min="7809" max="7809" width="10.7109375" style="231"/>
    <col min="7810" max="7811" width="10.7109375" style="231" customWidth="1"/>
    <col min="7812" max="7812" width="10.7109375" style="231"/>
    <col min="7813" max="7813" width="10.7109375" style="231" customWidth="1"/>
    <col min="7814" max="7815" width="10.7109375" style="231"/>
    <col min="7816" max="7817" width="10.7109375" style="231" customWidth="1"/>
    <col min="7818" max="7820" width="10.7109375" style="231"/>
    <col min="7821" max="7821" width="10.7109375" style="231" customWidth="1"/>
    <col min="7822" max="7823" width="10.7109375" style="231"/>
    <col min="7824" max="7826" width="10.7109375" style="231" customWidth="1"/>
    <col min="7827" max="7827" width="10.7109375" style="231"/>
    <col min="7828" max="7828" width="10.7109375" style="231" customWidth="1"/>
    <col min="7829" max="7831" width="10.7109375" style="231"/>
    <col min="7832" max="7832" width="10.7109375" style="231" customWidth="1"/>
    <col min="7833" max="7836" width="10.7109375" style="231"/>
    <col min="7837" max="7837" width="10.7109375" style="231" customWidth="1"/>
    <col min="7838" max="7838" width="10.7109375" style="231"/>
    <col min="7839" max="7840" width="10.7109375" style="231" customWidth="1"/>
    <col min="7841" max="7841" width="10.7109375" style="231"/>
    <col min="7842" max="7842" width="10.7109375" style="231" customWidth="1"/>
    <col min="7843" max="7845" width="10.7109375" style="231"/>
    <col min="7846" max="7846" width="10.7109375" style="231" customWidth="1"/>
    <col min="7847" max="7847" width="10.7109375" style="231"/>
    <col min="7848" max="7848" width="10.7109375" style="231" customWidth="1"/>
    <col min="7849" max="7849" width="10.7109375" style="231"/>
    <col min="7850" max="7850" width="10.7109375" style="231" customWidth="1"/>
    <col min="7851" max="7851" width="10.7109375" style="231"/>
    <col min="7852" max="7853" width="10.7109375" style="231" customWidth="1"/>
    <col min="7854" max="7855" width="10.7109375" style="231"/>
    <col min="7856" max="7859" width="10.7109375" style="231" customWidth="1"/>
    <col min="7860" max="7863" width="10.7109375" style="231"/>
    <col min="7864" max="7864" width="10.7109375" style="231" customWidth="1"/>
    <col min="7865" max="7868" width="10.7109375" style="231"/>
    <col min="7869" max="7869" width="10.7109375" style="231" customWidth="1"/>
    <col min="7870" max="7892" width="10.7109375" style="231"/>
    <col min="7893" max="7893" width="10.7109375" style="231" customWidth="1"/>
    <col min="7894" max="7899" width="10.7109375" style="231"/>
    <col min="7900" max="7901" width="10.7109375" style="231" customWidth="1"/>
    <col min="7902" max="7903" width="10.7109375" style="231"/>
    <col min="7904" max="7904" width="10.7109375" style="231" customWidth="1"/>
    <col min="7905" max="7908" width="10.7109375" style="231"/>
    <col min="7909" max="7909" width="10.7109375" style="231" customWidth="1"/>
    <col min="7910" max="7911" width="10.7109375" style="231"/>
    <col min="7912" max="7913" width="10.7109375" style="231" customWidth="1"/>
    <col min="7914" max="7918" width="10.7109375" style="231"/>
    <col min="7919" max="7919" width="10.7109375" style="231" customWidth="1"/>
    <col min="7920" max="7920" width="10.7109375" style="231"/>
    <col min="7921" max="7924" width="10.7109375" style="231" customWidth="1"/>
    <col min="7925" max="7925" width="10.7109375" style="231"/>
    <col min="7926" max="7926" width="10.7109375" style="231" customWidth="1"/>
    <col min="7927" max="7927" width="10.7109375" style="231"/>
    <col min="7928" max="7928" width="10.7109375" style="231" customWidth="1"/>
    <col min="7929" max="7929" width="10.7109375" style="231"/>
    <col min="7930" max="7930" width="10.7109375" style="231" customWidth="1"/>
    <col min="7931" max="7932" width="10.7109375" style="231"/>
    <col min="7933" max="7934" width="10.7109375" style="231" customWidth="1"/>
    <col min="7935" max="7935" width="10.7109375" style="231"/>
    <col min="7936" max="7936" width="10.7109375" style="231" customWidth="1"/>
    <col min="7937" max="7937" width="10.7109375" style="231"/>
    <col min="7938" max="7938" width="10.7109375" style="231" customWidth="1"/>
    <col min="7939" max="7941" width="10.7109375" style="231"/>
    <col min="7942" max="7942" width="10.7109375" style="231" customWidth="1"/>
    <col min="7943" max="7943" width="10.7109375" style="231"/>
    <col min="7944" max="7944" width="10.7109375" style="231" customWidth="1"/>
    <col min="7945" max="7945" width="10.7109375" style="231"/>
    <col min="7946" max="7946" width="10.7109375" style="231" customWidth="1"/>
    <col min="7947" max="7947" width="10.7109375" style="231"/>
    <col min="7948" max="7949" width="10.7109375" style="231" customWidth="1"/>
    <col min="7950" max="7951" width="10.7109375" style="231"/>
    <col min="7952" max="7952" width="10.7109375" style="231" customWidth="1"/>
    <col min="7953" max="7955" width="10.7109375" style="231"/>
    <col min="7956" max="7956" width="10.7109375" style="231" customWidth="1"/>
    <col min="7957" max="7959" width="10.7109375" style="231"/>
    <col min="7960" max="7960" width="10.7109375" style="231" customWidth="1"/>
    <col min="7961" max="7961" width="10.7109375" style="231"/>
    <col min="7962" max="7962" width="10.7109375" style="231" customWidth="1"/>
    <col min="7963" max="7963" width="10.7109375" style="231"/>
    <col min="7964" max="7965" width="10.7109375" style="231" customWidth="1"/>
    <col min="7966" max="7967" width="10.7109375" style="231"/>
    <col min="7968" max="7969" width="10.7109375" style="231" customWidth="1"/>
    <col min="7970" max="7970" width="10.7109375" style="231"/>
    <col min="7971" max="7971" width="10.7109375" style="231" customWidth="1"/>
    <col min="7972" max="7981" width="10.7109375" style="231"/>
    <col min="7982" max="7982" width="10.7109375" style="231" customWidth="1"/>
    <col min="7983" max="7983" width="10.7109375" style="231"/>
    <col min="7984" max="7984" width="10.7109375" style="231" customWidth="1"/>
    <col min="7985" max="7987" width="10.7109375" style="231"/>
    <col min="7988" max="7989" width="10.7109375" style="231" customWidth="1"/>
    <col min="7990" max="7991" width="10.7109375" style="231"/>
    <col min="7992" max="7992" width="10.7109375" style="231" customWidth="1"/>
    <col min="7993" max="7993" width="10.7109375" style="231"/>
    <col min="7994" max="7994" width="10.7109375" style="231" customWidth="1"/>
    <col min="7995" max="7996" width="10.7109375" style="231"/>
    <col min="7997" max="7997" width="10.7109375" style="231" customWidth="1"/>
    <col min="7998" max="7999" width="10.7109375" style="231"/>
    <col min="8000" max="8000" width="10.7109375" style="231" customWidth="1"/>
    <col min="8001" max="8001" width="10.7109375" style="231"/>
    <col min="8002" max="8002" width="10.7109375" style="231" customWidth="1"/>
    <col min="8003" max="8003" width="10.7109375" style="231"/>
    <col min="8004" max="8005" width="10.7109375" style="231" customWidth="1"/>
    <col min="8006" max="8007" width="10.7109375" style="231"/>
    <col min="8008" max="8010" width="10.7109375" style="231" customWidth="1"/>
    <col min="8011" max="8014" width="10.7109375" style="231"/>
    <col min="8015" max="8016" width="10.7109375" style="231" customWidth="1"/>
    <col min="8017" max="8020" width="10.7109375" style="231"/>
    <col min="8021" max="8021" width="10.7109375" style="231" customWidth="1"/>
    <col min="8022" max="8022" width="10.7109375" style="231"/>
    <col min="8023" max="8024" width="10.7109375" style="231" customWidth="1"/>
    <col min="8025" max="8026" width="10.7109375" style="231"/>
    <col min="8027" max="8027" width="10.7109375" style="231" customWidth="1"/>
    <col min="8028" max="8033" width="10.7109375" style="231"/>
    <col min="8034" max="8034" width="10.7109375" style="231" customWidth="1"/>
    <col min="8035" max="8039" width="10.7109375" style="231"/>
    <col min="8040" max="8040" width="10.7109375" style="231" customWidth="1"/>
    <col min="8041" max="8041" width="10.7109375" style="231"/>
    <col min="8042" max="8042" width="10.7109375" style="231" customWidth="1"/>
    <col min="8043" max="8047" width="10.7109375" style="231"/>
    <col min="8048" max="8049" width="10.7109375" style="231" customWidth="1"/>
    <col min="8050" max="8054" width="10.7109375" style="231"/>
    <col min="8055" max="8057" width="10.7109375" style="231" customWidth="1"/>
    <col min="8058" max="8058" width="10.7109375" style="231"/>
    <col min="8059" max="8059" width="10.7109375" style="231" customWidth="1"/>
    <col min="8060" max="8060" width="10.7109375" style="231"/>
    <col min="8061" max="8064" width="10.7109375" style="231" customWidth="1"/>
    <col min="8065" max="8065" width="10.7109375" style="231"/>
    <col min="8066" max="8067" width="10.7109375" style="231" customWidth="1"/>
    <col min="8068" max="8068" width="10.7109375" style="231"/>
    <col min="8069" max="8072" width="10.7109375" style="231" customWidth="1"/>
    <col min="8073" max="8073" width="10.7109375" style="231"/>
    <col min="8074" max="8075" width="10.7109375" style="231" customWidth="1"/>
    <col min="8076" max="8076" width="10.7109375" style="231"/>
    <col min="8077" max="8080" width="10.7109375" style="231" customWidth="1"/>
    <col min="8081" max="8081" width="10.7109375" style="231"/>
    <col min="8082" max="8083" width="10.7109375" style="231" customWidth="1"/>
    <col min="8084" max="8084" width="10.7109375" style="231"/>
    <col min="8085" max="8088" width="10.7109375" style="231" customWidth="1"/>
    <col min="8089" max="8089" width="10.7109375" style="231"/>
    <col min="8090" max="8090" width="10.7109375" style="231" customWidth="1"/>
    <col min="8091" max="8092" width="10.7109375" style="231"/>
    <col min="8093" max="8096" width="10.7109375" style="231" customWidth="1"/>
    <col min="8097" max="8097" width="10.7109375" style="231"/>
    <col min="8098" max="8098" width="10.7109375" style="231" customWidth="1"/>
    <col min="8099" max="8101" width="10.7109375" style="231"/>
    <col min="8102" max="8106" width="10.7109375" style="231" customWidth="1"/>
    <col min="8107" max="8110" width="10.7109375" style="231"/>
    <col min="8111" max="8112" width="10.7109375" style="231" customWidth="1"/>
    <col min="8113" max="8114" width="10.7109375" style="231"/>
    <col min="8115" max="8115" width="10.7109375" style="231" customWidth="1"/>
    <col min="8116" max="8119" width="10.7109375" style="231"/>
    <col min="8120" max="8120" width="10.7109375" style="231" customWidth="1"/>
    <col min="8121" max="8148" width="10.7109375" style="231"/>
    <col min="8149" max="8149" width="10.7109375" style="231" customWidth="1"/>
    <col min="8150" max="8155" width="10.7109375" style="231"/>
    <col min="8156" max="8157" width="10.7109375" style="231" customWidth="1"/>
    <col min="8158" max="8159" width="10.7109375" style="231"/>
    <col min="8160" max="8160" width="10.7109375" style="231" customWidth="1"/>
    <col min="8161" max="8166" width="10.7109375" style="231"/>
    <col min="8167" max="8169" width="10.7109375" style="231" customWidth="1"/>
    <col min="8170" max="8177" width="10.7109375" style="231"/>
    <col min="8178" max="8181" width="10.7109375" style="231" customWidth="1"/>
    <col min="8182" max="8183" width="10.7109375" style="231"/>
    <col min="8184" max="8184" width="10.7109375" style="231" customWidth="1"/>
    <col min="8185" max="8185" width="10.7109375" style="231"/>
    <col min="8186" max="8186" width="10.7109375" style="231" customWidth="1"/>
    <col min="8187" max="8188" width="10.7109375" style="231"/>
    <col min="8189" max="8189" width="10.7109375" style="231" customWidth="1"/>
    <col min="8190" max="8190" width="10.7109375" style="231"/>
    <col min="8191" max="8192" width="10.7109375" style="231" customWidth="1"/>
    <col min="8193" max="8193" width="10.7109375" style="231"/>
    <col min="8194" max="8194" width="10.7109375" style="231" customWidth="1"/>
    <col min="8195" max="8199" width="10.7109375" style="231"/>
    <col min="8200" max="8200" width="10.7109375" style="231" customWidth="1"/>
    <col min="8201" max="8201" width="10.7109375" style="231"/>
    <col min="8202" max="8202" width="10.7109375" style="231" customWidth="1"/>
    <col min="8203" max="8203" width="10.7109375" style="231"/>
    <col min="8204" max="8205" width="10.7109375" style="231" customWidth="1"/>
    <col min="8206" max="8207" width="10.7109375" style="231"/>
    <col min="8208" max="8210" width="10.7109375" style="231" customWidth="1"/>
    <col min="8211" max="8211" width="10.7109375" style="231"/>
    <col min="8212" max="8212" width="10.7109375" style="231" customWidth="1"/>
    <col min="8213" max="8216" width="10.7109375" style="231"/>
    <col min="8217" max="8217" width="10.7109375" style="231" customWidth="1"/>
    <col min="8218" max="8240" width="10.7109375" style="231"/>
    <col min="8241" max="8242" width="10.7109375" style="231" customWidth="1"/>
    <col min="8243" max="8246" width="10.7109375" style="231"/>
    <col min="8247" max="8248" width="10.7109375" style="231" customWidth="1"/>
    <col min="8249" max="8252" width="10.7109375" style="231"/>
    <col min="8253" max="8253" width="10.7109375" style="231" customWidth="1"/>
    <col min="8254" max="8254" width="10.7109375" style="231"/>
    <col min="8255" max="8256" width="10.7109375" style="231" customWidth="1"/>
    <col min="8257" max="8258" width="10.7109375" style="231"/>
    <col min="8259" max="8260" width="10.7109375" style="231" customWidth="1"/>
    <col min="8261" max="8263" width="10.7109375" style="231"/>
    <col min="8264" max="8266" width="10.7109375" style="231" customWidth="1"/>
    <col min="8267" max="8267" width="10.7109375" style="231"/>
    <col min="8268" max="8268" width="10.7109375" style="231" customWidth="1"/>
    <col min="8269" max="8271" width="10.7109375" style="231"/>
    <col min="8272" max="8273" width="10.7109375" style="231" customWidth="1"/>
    <col min="8274" max="8274" width="10.7109375" style="231"/>
    <col min="8275" max="8275" width="10.7109375" style="231" customWidth="1"/>
    <col min="8276" max="8282" width="10.7109375" style="231"/>
    <col min="8283" max="8283" width="10.7109375" style="231" customWidth="1"/>
    <col min="8284" max="8284" width="10.7109375" style="231"/>
    <col min="8285" max="8285" width="10.7109375" style="231" customWidth="1"/>
    <col min="8286" max="8304" width="10.7109375" style="231"/>
    <col min="8305" max="8305" width="10.7109375" style="231" customWidth="1"/>
    <col min="8306" max="8312" width="10.7109375" style="231"/>
    <col min="8313" max="8313" width="10.7109375" style="231" customWidth="1"/>
    <col min="8314" max="8314" width="10.7109375" style="231"/>
    <col min="8315" max="8315" width="10.7109375" style="231" customWidth="1"/>
    <col min="8316" max="8316" width="10.7109375" style="231"/>
    <col min="8317" max="8317" width="10.7109375" style="231" customWidth="1"/>
    <col min="8318" max="8318" width="10.7109375" style="231"/>
    <col min="8319" max="8319" width="10.7109375" style="231" customWidth="1"/>
    <col min="8320" max="8334" width="10.7109375" style="231"/>
    <col min="8335" max="8335" width="10.7109375" style="231" customWidth="1"/>
    <col min="8336" max="8337" width="10.7109375" style="231"/>
    <col min="8338" max="8339" width="10.7109375" style="231" customWidth="1"/>
    <col min="8340" max="8340" width="10.7109375" style="231"/>
    <col min="8341" max="8344" width="10.7109375" style="231" customWidth="1"/>
    <col min="8345" max="8345" width="10.7109375" style="231"/>
    <col min="8346" max="8347" width="10.7109375" style="231" customWidth="1"/>
    <col min="8348" max="8348" width="10.7109375" style="231"/>
    <col min="8349" max="8352" width="10.7109375" style="231" customWidth="1"/>
    <col min="8353" max="8353" width="10.7109375" style="231"/>
    <col min="8354" max="8355" width="10.7109375" style="231" customWidth="1"/>
    <col min="8356" max="8356" width="10.7109375" style="231"/>
    <col min="8357" max="8362" width="10.7109375" style="231" customWidth="1"/>
    <col min="8363" max="8366" width="10.7109375" style="231"/>
    <col min="8367" max="8368" width="10.7109375" style="231" customWidth="1"/>
    <col min="8369" max="8370" width="10.7109375" style="231"/>
    <col min="8371" max="8371" width="10.7109375" style="231" customWidth="1"/>
    <col min="8372" max="8372" width="10.7109375" style="231"/>
    <col min="8373" max="8373" width="10.7109375" style="231" customWidth="1"/>
    <col min="8374" max="8375" width="10.7109375" style="231"/>
    <col min="8376" max="8376" width="10.7109375" style="231" customWidth="1"/>
    <col min="8377" max="8377" width="10.7109375" style="231"/>
    <col min="8378" max="8378" width="10.7109375" style="231" customWidth="1"/>
    <col min="8379" max="8379" width="10.7109375" style="231"/>
    <col min="8380" max="8381" width="10.7109375" style="231" customWidth="1"/>
    <col min="8382" max="8383" width="10.7109375" style="231"/>
    <col min="8384" max="8384" width="10.7109375" style="231" customWidth="1"/>
    <col min="8385" max="8385" width="10.7109375" style="231"/>
    <col min="8386" max="8386" width="10.7109375" style="231" customWidth="1"/>
    <col min="8387" max="8391" width="10.7109375" style="231"/>
    <col min="8392" max="8393" width="10.7109375" style="231" customWidth="1"/>
    <col min="8394" max="8398" width="10.7109375" style="231"/>
    <col min="8399" max="8400" width="10.7109375" style="231" customWidth="1"/>
    <col min="8401" max="8402" width="10.7109375" style="231"/>
    <col min="8403" max="8405" width="10.7109375" style="231" customWidth="1"/>
    <col min="8406" max="8407" width="10.7109375" style="231"/>
    <col min="8408" max="8408" width="10.7109375" style="231" customWidth="1"/>
    <col min="8409" max="8412" width="10.7109375" style="231"/>
    <col min="8413" max="8413" width="10.7109375" style="231" customWidth="1"/>
    <col min="8414" max="8415" width="10.7109375" style="231"/>
    <col min="8416" max="8416" width="10.7109375" style="231" customWidth="1"/>
    <col min="8417" max="8417" width="10.7109375" style="231"/>
    <col min="8418" max="8418" width="10.7109375" style="231" customWidth="1"/>
    <col min="8419" max="8420" width="10.7109375" style="231"/>
    <col min="8421" max="8421" width="10.7109375" style="231" customWidth="1"/>
    <col min="8422" max="8423" width="10.7109375" style="231"/>
    <col min="8424" max="8425" width="10.7109375" style="231" customWidth="1"/>
    <col min="8426" max="8428" width="10.7109375" style="231"/>
    <col min="8429" max="8429" width="10.7109375" style="231" customWidth="1"/>
    <col min="8430" max="8430" width="10.7109375" style="231"/>
    <col min="8431" max="8432" width="10.7109375" style="231" customWidth="1"/>
    <col min="8433" max="8433" width="10.7109375" style="231"/>
    <col min="8434" max="8435" width="10.7109375" style="231" customWidth="1"/>
    <col min="8436" max="8439" width="10.7109375" style="231"/>
    <col min="8440" max="8444" width="10.7109375" style="231" customWidth="1"/>
    <col min="8445" max="8450" width="10.7109375" style="231"/>
    <col min="8451" max="8451" width="10.7109375" style="231" customWidth="1"/>
    <col min="8452" max="8455" width="10.7109375" style="231"/>
    <col min="8456" max="8458" width="10.7109375" style="231" customWidth="1"/>
    <col min="8459" max="8460" width="10.7109375" style="231"/>
    <col min="8461" max="8461" width="10.7109375" style="231" customWidth="1"/>
    <col min="8462" max="8463" width="10.7109375" style="231"/>
    <col min="8464" max="8464" width="10.7109375" style="231" customWidth="1"/>
    <col min="8465" max="8465" width="10.7109375" style="231"/>
    <col min="8466" max="8466" width="10.7109375" style="231" customWidth="1"/>
    <col min="8467" max="8467" width="10.7109375" style="231"/>
    <col min="8468" max="8469" width="10.7109375" style="231" customWidth="1"/>
    <col min="8470" max="8471" width="10.7109375" style="231"/>
    <col min="8472" max="8473" width="10.7109375" style="231" customWidth="1"/>
    <col min="8474" max="8476" width="10.7109375" style="231"/>
    <col min="8477" max="8477" width="10.7109375" style="231" customWidth="1"/>
    <col min="8478" max="8478" width="10.7109375" style="231"/>
    <col min="8479" max="8484" width="10.7109375" style="231" customWidth="1"/>
    <col min="8485" max="8487" width="10.7109375" style="231"/>
    <col min="8488" max="8489" width="10.7109375" style="231" customWidth="1"/>
    <col min="8490" max="8490" width="10.7109375" style="231"/>
    <col min="8491" max="8492" width="10.7109375" style="231" customWidth="1"/>
    <col min="8493" max="8495" width="10.7109375" style="231"/>
    <col min="8496" max="8496" width="10.7109375" style="231" customWidth="1"/>
    <col min="8497" max="8497" width="10.7109375" style="231"/>
    <col min="8498" max="8499" width="10.7109375" style="231" customWidth="1"/>
    <col min="8500" max="8508" width="10.7109375" style="231"/>
    <col min="8509" max="8509" width="10.7109375" style="231" customWidth="1"/>
    <col min="8510" max="8511" width="10.7109375" style="231"/>
    <col min="8512" max="8512" width="10.7109375" style="231" customWidth="1"/>
    <col min="8513" max="8515" width="10.7109375" style="231"/>
    <col min="8516" max="8516" width="10.7109375" style="231" customWidth="1"/>
    <col min="8517" max="8519" width="10.7109375" style="231"/>
    <col min="8520" max="8521" width="10.7109375" style="231" customWidth="1"/>
    <col min="8522" max="8526" width="10.7109375" style="231"/>
    <col min="8527" max="8527" width="10.7109375" style="231" customWidth="1"/>
    <col min="8528" max="8528" width="10.7109375" style="231"/>
    <col min="8529" max="8529" width="10.7109375" style="231" customWidth="1"/>
    <col min="8530" max="8531" width="10.7109375" style="231"/>
    <col min="8532" max="8532" width="10.7109375" style="231" customWidth="1"/>
    <col min="8533" max="8535" width="10.7109375" style="231"/>
    <col min="8536" max="8536" width="10.7109375" style="231" customWidth="1"/>
    <col min="8537" max="8537" width="10.7109375" style="231"/>
    <col min="8538" max="8538" width="10.7109375" style="231" customWidth="1"/>
    <col min="8539" max="8540" width="10.7109375" style="231"/>
    <col min="8541" max="8541" width="10.7109375" style="231" customWidth="1"/>
    <col min="8542" max="8543" width="10.7109375" style="231"/>
    <col min="8544" max="8544" width="10.7109375" style="231" customWidth="1"/>
    <col min="8545" max="8546" width="10.7109375" style="231"/>
    <col min="8547" max="8547" width="10.7109375" style="231" customWidth="1"/>
    <col min="8548" max="8551" width="10.7109375" style="231"/>
    <col min="8552" max="8552" width="10.7109375" style="231" customWidth="1"/>
    <col min="8553" max="8561" width="10.7109375" style="231"/>
    <col min="8562" max="8562" width="10.7109375" style="231" customWidth="1"/>
    <col min="8563" max="8563" width="10.7109375" style="231"/>
    <col min="8564" max="8565" width="10.7109375" style="231" customWidth="1"/>
    <col min="8566" max="8567" width="10.7109375" style="231"/>
    <col min="8568" max="8570" width="10.7109375" style="231" customWidth="1"/>
    <col min="8571" max="8571" width="10.7109375" style="231"/>
    <col min="8572" max="8572" width="10.7109375" style="231" customWidth="1"/>
    <col min="8573" max="8575" width="10.7109375" style="231"/>
    <col min="8576" max="8577" width="10.7109375" style="231" customWidth="1"/>
    <col min="8578" max="8580" width="10.7109375" style="231"/>
    <col min="8581" max="8581" width="10.7109375" style="231" customWidth="1"/>
    <col min="8582" max="8582" width="10.7109375" style="231"/>
    <col min="8583" max="8584" width="10.7109375" style="231" customWidth="1"/>
    <col min="8585" max="8586" width="10.7109375" style="231"/>
    <col min="8587" max="8588" width="10.7109375" style="231" customWidth="1"/>
    <col min="8589" max="8591" width="10.7109375" style="231"/>
    <col min="8592" max="8594" width="10.7109375" style="231" customWidth="1"/>
    <col min="8595" max="8595" width="10.7109375" style="231"/>
    <col min="8596" max="8596" width="10.7109375" style="231" customWidth="1"/>
    <col min="8597" max="8601" width="10.7109375" style="231"/>
    <col min="8602" max="8605" width="10.7109375" style="231" customWidth="1"/>
    <col min="8606" max="8607" width="10.7109375" style="231"/>
    <col min="8608" max="8610" width="10.7109375" style="231" customWidth="1"/>
    <col min="8611" max="8611" width="10.7109375" style="231"/>
    <col min="8612" max="8612" width="10.7109375" style="231" customWidth="1"/>
    <col min="8613" max="8615" width="10.7109375" style="231"/>
    <col min="8616" max="8616" width="10.7109375" style="231" customWidth="1"/>
    <col min="8617" max="8617" width="10.7109375" style="231"/>
    <col min="8618" max="8618" width="10.7109375" style="231" customWidth="1"/>
    <col min="8619" max="8619" width="10.7109375" style="231"/>
    <col min="8620" max="8621" width="10.7109375" style="231" customWidth="1"/>
    <col min="8622" max="8623" width="10.7109375" style="231"/>
    <col min="8624" max="8625" width="10.7109375" style="231" customWidth="1"/>
    <col min="8626" max="8627" width="10.7109375" style="231"/>
    <col min="8628" max="8630" width="10.7109375" style="231" customWidth="1"/>
    <col min="8631" max="8631" width="10.7109375" style="231"/>
    <col min="8632" max="8632" width="10.7109375" style="231" customWidth="1"/>
    <col min="8633" max="8633" width="10.7109375" style="231"/>
    <col min="8634" max="8634" width="10.7109375" style="231" customWidth="1"/>
    <col min="8635" max="8636" width="10.7109375" style="231"/>
    <col min="8637" max="8637" width="10.7109375" style="231" customWidth="1"/>
    <col min="8638" max="8639" width="10.7109375" style="231"/>
    <col min="8640" max="8640" width="10.7109375" style="231" customWidth="1"/>
    <col min="8641" max="8641" width="10.7109375" style="231"/>
    <col min="8642" max="8642" width="10.7109375" style="231" customWidth="1"/>
    <col min="8643" max="8647" width="10.7109375" style="231"/>
    <col min="8648" max="8648" width="10.7109375" style="231" customWidth="1"/>
    <col min="8649" max="8651" width="10.7109375" style="231"/>
    <col min="8652" max="8653" width="10.7109375" style="231" customWidth="1"/>
    <col min="8654" max="8655" width="10.7109375" style="231"/>
    <col min="8656" max="8658" width="10.7109375" style="231" customWidth="1"/>
    <col min="8659" max="8662" width="10.7109375" style="231"/>
    <col min="8663" max="8664" width="10.7109375" style="231" customWidth="1"/>
    <col min="8665" max="8679" width="10.7109375" style="231"/>
    <col min="8680" max="8680" width="10.7109375" style="231" customWidth="1"/>
    <col min="8681" max="8681" width="10.7109375" style="231"/>
    <col min="8682" max="8682" width="10.7109375" style="231" customWidth="1"/>
    <col min="8683" max="8683" width="10.7109375" style="231"/>
    <col min="8684" max="8685" width="10.7109375" style="231" customWidth="1"/>
    <col min="8686" max="8687" width="10.7109375" style="231"/>
    <col min="8688" max="8688" width="10.7109375" style="231" customWidth="1"/>
    <col min="8689" max="8689" width="10.7109375" style="231"/>
    <col min="8690" max="8691" width="10.7109375" style="231" customWidth="1"/>
    <col min="8692" max="8695" width="10.7109375" style="231"/>
    <col min="8696" max="8696" width="10.7109375" style="231" customWidth="1"/>
    <col min="8697" max="8702" width="10.7109375" style="231"/>
    <col min="8703" max="8703" width="10.7109375" style="231" customWidth="1"/>
    <col min="8704" max="8718" width="10.7109375" style="231"/>
    <col min="8719" max="8719" width="10.7109375" style="231" customWidth="1"/>
    <col min="8720" max="8721" width="10.7109375" style="231"/>
    <col min="8722" max="8723" width="10.7109375" style="231" customWidth="1"/>
    <col min="8724" max="8724" width="10.7109375" style="231"/>
    <col min="8725" max="8728" width="10.7109375" style="231" customWidth="1"/>
    <col min="8729" max="8729" width="10.7109375" style="231"/>
    <col min="8730" max="8731" width="10.7109375" style="231" customWidth="1"/>
    <col min="8732" max="8732" width="10.7109375" style="231"/>
    <col min="8733" max="8736" width="10.7109375" style="231" customWidth="1"/>
    <col min="8737" max="8737" width="10.7109375" style="231"/>
    <col min="8738" max="8739" width="10.7109375" style="231" customWidth="1"/>
    <col min="8740" max="8740" width="10.7109375" style="231"/>
    <col min="8741" max="8744" width="10.7109375" style="231" customWidth="1"/>
    <col min="8745" max="8745" width="10.7109375" style="231"/>
    <col min="8746" max="8747" width="10.7109375" style="231" customWidth="1"/>
    <col min="8748" max="8748" width="10.7109375" style="231"/>
    <col min="8749" max="8754" width="10.7109375" style="231" customWidth="1"/>
    <col min="8755" max="8758" width="10.7109375" style="231"/>
    <col min="8759" max="8760" width="10.7109375" style="231" customWidth="1"/>
    <col min="8761" max="8761" width="10.7109375" style="231"/>
    <col min="8762" max="8762" width="10.7109375" style="231" customWidth="1"/>
    <col min="8763" max="8764" width="10.7109375" style="231"/>
    <col min="8765" max="8765" width="10.7109375" style="231" customWidth="1"/>
    <col min="8766" max="8767" width="10.7109375" style="231"/>
    <col min="8768" max="8768" width="10.7109375" style="231" customWidth="1"/>
    <col min="8769" max="8775" width="10.7109375" style="231"/>
    <col min="8776" max="8778" width="10.7109375" style="231" customWidth="1"/>
    <col min="8779" max="8779" width="10.7109375" style="231"/>
    <col min="8780" max="8780" width="10.7109375" style="231" customWidth="1"/>
    <col min="8781" max="8783" width="10.7109375" style="231"/>
    <col min="8784" max="8784" width="10.7109375" style="231" customWidth="1"/>
    <col min="8785" max="8785" width="10.7109375" style="231"/>
    <col min="8786" max="8786" width="10.7109375" style="231" customWidth="1"/>
    <col min="8787" max="8787" width="10.7109375" style="231"/>
    <col min="8788" max="8789" width="10.7109375" style="231" customWidth="1"/>
    <col min="8790" max="8791" width="10.7109375" style="231"/>
    <col min="8792" max="8792" width="10.7109375" style="231" customWidth="1"/>
    <col min="8793" max="8795" width="10.7109375" style="231"/>
    <col min="8796" max="8797" width="10.7109375" style="231" customWidth="1"/>
    <col min="8798" max="8799" width="10.7109375" style="231"/>
    <col min="8800" max="8800" width="10.7109375" style="231" customWidth="1"/>
    <col min="8801" max="8803" width="10.7109375" style="231"/>
    <col min="8804" max="8804" width="10.7109375" style="231" customWidth="1"/>
    <col min="8805" max="8808" width="10.7109375" style="231"/>
    <col min="8809" max="8809" width="10.7109375" style="231" customWidth="1"/>
    <col min="8810" max="8810" width="10.7109375" style="231"/>
    <col min="8811" max="8812" width="10.7109375" style="231" customWidth="1"/>
    <col min="8813" max="8816" width="10.7109375" style="231"/>
    <col min="8817" max="8817" width="10.7109375" style="231" customWidth="1"/>
    <col min="8818" max="8822" width="10.7109375" style="231"/>
    <col min="8823" max="8828" width="10.7109375" style="231" customWidth="1"/>
    <col min="8829" max="8830" width="10.7109375" style="231"/>
    <col min="8831" max="8834" width="10.7109375" style="231" customWidth="1"/>
    <col min="8835" max="8838" width="10.7109375" style="231"/>
    <col min="8839" max="8840" width="10.7109375" style="231" customWidth="1"/>
    <col min="8841" max="8844" width="10.7109375" style="231"/>
    <col min="8845" max="8845" width="10.7109375" style="231" customWidth="1"/>
    <col min="8846" max="8846" width="10.7109375" style="231"/>
    <col min="8847" max="8848" width="10.7109375" style="231" customWidth="1"/>
    <col min="8849" max="8849" width="10.7109375" style="231"/>
    <col min="8850" max="8851" width="10.7109375" style="231" customWidth="1"/>
    <col min="8852" max="8852" width="10.7109375" style="231"/>
    <col min="8853" max="8853" width="10.7109375" style="231" customWidth="1"/>
    <col min="8854" max="8856" width="10.7109375" style="231"/>
    <col min="8857" max="8857" width="10.7109375" style="231" customWidth="1"/>
    <col min="8858" max="8860" width="10.7109375" style="231"/>
    <col min="8861" max="8861" width="10.7109375" style="231" customWidth="1"/>
    <col min="8862" max="8863" width="10.7109375" style="231"/>
    <col min="8864" max="8866" width="10.7109375" style="231" customWidth="1"/>
    <col min="8867" max="8867" width="10.7109375" style="231"/>
    <col min="8868" max="8868" width="10.7109375" style="231" customWidth="1"/>
    <col min="8869" max="8871" width="10.7109375" style="231"/>
    <col min="8872" max="8872" width="10.7109375" style="231" customWidth="1"/>
    <col min="8873" max="8873" width="10.7109375" style="231"/>
    <col min="8874" max="8874" width="10.7109375" style="231" customWidth="1"/>
    <col min="8875" max="8875" width="10.7109375" style="231"/>
    <col min="8876" max="8877" width="10.7109375" style="231" customWidth="1"/>
    <col min="8878" max="8879" width="10.7109375" style="231"/>
    <col min="8880" max="8880" width="10.7109375" style="231" customWidth="1"/>
    <col min="8881" max="8883" width="10.7109375" style="231"/>
    <col min="8884" max="8885" width="10.7109375" style="231" customWidth="1"/>
    <col min="8886" max="8887" width="10.7109375" style="231"/>
    <col min="8888" max="8888" width="10.7109375" style="231" customWidth="1"/>
    <col min="8889" max="8889" width="10.7109375" style="231"/>
    <col min="8890" max="8890" width="10.7109375" style="231" customWidth="1"/>
    <col min="8891" max="8891" width="10.7109375" style="231"/>
    <col min="8892" max="8893" width="10.7109375" style="231" customWidth="1"/>
    <col min="8894" max="8895" width="10.7109375" style="231"/>
    <col min="8896" max="8896" width="10.7109375" style="231" customWidth="1"/>
    <col min="8897" max="8903" width="10.7109375" style="231"/>
    <col min="8904" max="8905" width="10.7109375" style="231" customWidth="1"/>
    <col min="8906" max="8910" width="10.7109375" style="231"/>
    <col min="8911" max="8913" width="10.7109375" style="231" customWidth="1"/>
    <col min="8914" max="8914" width="10.7109375" style="231"/>
    <col min="8915" max="8915" width="10.7109375" style="231" customWidth="1"/>
    <col min="8916" max="8916" width="10.7109375" style="231"/>
    <col min="8917" max="8920" width="10.7109375" style="231" customWidth="1"/>
    <col min="8921" max="8921" width="10.7109375" style="231"/>
    <col min="8922" max="8923" width="10.7109375" style="231" customWidth="1"/>
    <col min="8924" max="8925" width="10.7109375" style="231"/>
    <col min="8926" max="8926" width="10.7109375" style="231" customWidth="1"/>
    <col min="8927" max="8929" width="10.7109375" style="231"/>
    <col min="8930" max="8930" width="10.7109375" style="231" customWidth="1"/>
    <col min="8931" max="8933" width="10.7109375" style="231"/>
    <col min="8934" max="8936" width="10.7109375" style="231" customWidth="1"/>
    <col min="8937" max="8937" width="10.7109375" style="231"/>
    <col min="8938" max="8938" width="10.7109375" style="231" customWidth="1"/>
    <col min="8939" max="8940" width="10.7109375" style="231"/>
    <col min="8941" max="8944" width="10.7109375" style="231" customWidth="1"/>
    <col min="8945" max="8948" width="10.7109375" style="231"/>
    <col min="8949" max="8950" width="10.7109375" style="231" customWidth="1"/>
    <col min="8951" max="8951" width="10.7109375" style="231"/>
    <col min="8952" max="8952" width="10.7109375" style="231" customWidth="1"/>
    <col min="8953" max="8959" width="10.7109375" style="231"/>
    <col min="8960" max="8960" width="10.7109375" style="231" customWidth="1"/>
    <col min="8961" max="8964" width="10.7109375" style="231"/>
    <col min="8965" max="8965" width="10.7109375" style="231" customWidth="1"/>
    <col min="8966" max="8966" width="10.7109375" style="231"/>
    <col min="8967" max="8969" width="10.7109375" style="231" customWidth="1"/>
    <col min="8970" max="8977" width="10.7109375" style="231"/>
    <col min="8978" max="8979" width="10.7109375" style="231" customWidth="1"/>
    <col min="8980" max="8980" width="10.7109375" style="231"/>
    <col min="8981" max="8981" width="10.7109375" style="231" customWidth="1"/>
    <col min="8982" max="8986" width="10.7109375" style="231"/>
    <col min="8987" max="8989" width="10.7109375" style="231" customWidth="1"/>
    <col min="8990" max="8991" width="10.7109375" style="231"/>
    <col min="8992" max="8994" width="10.7109375" style="231" customWidth="1"/>
    <col min="8995" max="8995" width="10.7109375" style="231"/>
    <col min="8996" max="8996" width="10.7109375" style="231" customWidth="1"/>
    <col min="8997" max="8999" width="10.7109375" style="231"/>
    <col min="9000" max="9001" width="10.7109375" style="231" customWidth="1"/>
    <col min="9002" max="9006" width="10.7109375" style="231"/>
    <col min="9007" max="9009" width="10.7109375" style="231" customWidth="1"/>
    <col min="9010" max="9010" width="10.7109375" style="231"/>
    <col min="9011" max="9011" width="10.7109375" style="231" customWidth="1"/>
    <col min="9012" max="9014" width="10.7109375" style="231"/>
    <col min="9015" max="9016" width="10.7109375" style="231" customWidth="1"/>
    <col min="9017" max="9018" width="10.7109375" style="231"/>
    <col min="9019" max="9019" width="10.7109375" style="231" customWidth="1"/>
    <col min="9020" max="9020" width="10.7109375" style="231"/>
    <col min="9021" max="9021" width="10.7109375" style="231" customWidth="1"/>
    <col min="9022" max="9022" width="10.7109375" style="231"/>
    <col min="9023" max="9023" width="10.7109375" style="231" customWidth="1"/>
    <col min="9024" max="9038" width="10.7109375" style="231"/>
    <col min="9039" max="9039" width="10.7109375" style="231" customWidth="1"/>
    <col min="9040" max="9041" width="10.7109375" style="231"/>
    <col min="9042" max="9042" width="10.7109375" style="231" customWidth="1"/>
    <col min="9043" max="9052" width="10.7109375" style="231"/>
    <col min="9053" max="9053" width="10.7109375" style="231" customWidth="1"/>
    <col min="9054" max="9055" width="10.7109375" style="231"/>
    <col min="9056" max="9056" width="10.7109375" style="231" customWidth="1"/>
    <col min="9057" max="9059" width="10.7109375" style="231"/>
    <col min="9060" max="9061" width="10.7109375" style="231" customWidth="1"/>
    <col min="9062" max="9063" width="10.7109375" style="231"/>
    <col min="9064" max="9065" width="10.7109375" style="231" customWidth="1"/>
    <col min="9066" max="9066" width="10.7109375" style="231"/>
    <col min="9067" max="9067" width="10.7109375" style="231" customWidth="1"/>
    <col min="9068" max="9072" width="10.7109375" style="231"/>
    <col min="9073" max="9073" width="10.7109375" style="231" customWidth="1"/>
    <col min="9074" max="9074" width="10.7109375" style="231"/>
    <col min="9075" max="9076" width="10.7109375" style="231" customWidth="1"/>
    <col min="9077" max="9079" width="10.7109375" style="231"/>
    <col min="9080" max="9080" width="10.7109375" style="231" customWidth="1"/>
    <col min="9081" max="9081" width="10.7109375" style="231"/>
    <col min="9082" max="9085" width="10.7109375" style="231" customWidth="1"/>
    <col min="9086" max="9087" width="10.7109375" style="231"/>
    <col min="9088" max="9088" width="10.7109375" style="231" customWidth="1"/>
    <col min="9089" max="9089" width="10.7109375" style="231"/>
    <col min="9090" max="9091" width="10.7109375" style="231" customWidth="1"/>
    <col min="9092" max="9095" width="10.7109375" style="231"/>
    <col min="9096" max="9097" width="10.7109375" style="231" customWidth="1"/>
    <col min="9098" max="9102" width="10.7109375" style="231"/>
    <col min="9103" max="9104" width="10.7109375" style="231" customWidth="1"/>
    <col min="9105" max="9140" width="10.7109375" style="231"/>
    <col min="9141" max="9141" width="10.7109375" style="231" customWidth="1"/>
    <col min="9142" max="9143" width="10.7109375" style="231"/>
    <col min="9144" max="9144" width="10.7109375" style="231" customWidth="1"/>
    <col min="9145" max="9148" width="10.7109375" style="231"/>
    <col min="9149" max="9149" width="10.7109375" style="231" customWidth="1"/>
    <col min="9150" max="9168" width="10.7109375" style="231"/>
    <col min="9169" max="9170" width="10.7109375" style="231" customWidth="1"/>
    <col min="9171" max="9183" width="10.7109375" style="231"/>
    <col min="9184" max="9184" width="10.7109375" style="231" customWidth="1"/>
    <col min="9185" max="9188" width="10.7109375" style="231"/>
    <col min="9189" max="9189" width="10.7109375" style="231" customWidth="1"/>
    <col min="9190" max="9190" width="10.7109375" style="231"/>
    <col min="9191" max="9192" width="10.7109375" style="231" customWidth="1"/>
    <col min="9193" max="9194" width="10.7109375" style="231"/>
    <col min="9195" max="9195" width="10.7109375" style="231" customWidth="1"/>
    <col min="9196" max="9197" width="10.7109375" style="231"/>
    <col min="9198" max="9199" width="10.7109375" style="231" customWidth="1"/>
    <col min="9200" max="9201" width="10.7109375" style="231"/>
    <col min="9202" max="9203" width="10.7109375" style="231" customWidth="1"/>
    <col min="9204" max="9204" width="10.7109375" style="231"/>
    <col min="9205" max="9210" width="10.7109375" style="231" customWidth="1"/>
    <col min="9211" max="9223" width="10.7109375" style="231"/>
    <col min="9224" max="9224" width="10.7109375" style="231" customWidth="1"/>
    <col min="9225" max="9225" width="10.7109375" style="231"/>
    <col min="9226" max="9226" width="10.7109375" style="231" customWidth="1"/>
    <col min="9227" max="9227" width="10.7109375" style="231"/>
    <col min="9228" max="9229" width="10.7109375" style="231" customWidth="1"/>
    <col min="9230" max="9231" width="10.7109375" style="231"/>
    <col min="9232" max="9232" width="10.7109375" style="231" customWidth="1"/>
    <col min="9233" max="9233" width="10.7109375" style="231"/>
    <col min="9234" max="9235" width="10.7109375" style="231" customWidth="1"/>
    <col min="9236" max="9240" width="10.7109375" style="231"/>
    <col min="9241" max="9241" width="10.7109375" style="231" customWidth="1"/>
    <col min="9242" max="9246" width="10.7109375" style="231"/>
    <col min="9247" max="9248" width="10.7109375" style="231" customWidth="1"/>
    <col min="9249" max="9250" width="10.7109375" style="231"/>
    <col min="9251" max="9253" width="10.7109375" style="231" customWidth="1"/>
    <col min="9254" max="9255" width="10.7109375" style="231"/>
    <col min="9256" max="9256" width="10.7109375" style="231" customWidth="1"/>
    <col min="9257" max="9260" width="10.7109375" style="231"/>
    <col min="9261" max="9261" width="10.7109375" style="231" customWidth="1"/>
    <col min="9262" max="9263" width="10.7109375" style="231"/>
    <col min="9264" max="9264" width="10.7109375" style="231" customWidth="1"/>
    <col min="9265" max="9278" width="10.7109375" style="231"/>
    <col min="9279" max="9279" width="10.7109375" style="231" customWidth="1"/>
    <col min="9280" max="9282" width="10.7109375" style="231"/>
    <col min="9283" max="9283" width="10.7109375" style="231" customWidth="1"/>
    <col min="9284" max="9288" width="10.7109375" style="231"/>
    <col min="9289" max="9292" width="10.7109375" style="231" customWidth="1"/>
    <col min="9293" max="9297" width="10.7109375" style="231"/>
    <col min="9298" max="9300" width="10.7109375" style="231" customWidth="1"/>
    <col min="9301" max="9308" width="10.7109375" style="231"/>
    <col min="9309" max="9309" width="10.7109375" style="231" customWidth="1"/>
    <col min="9310" max="9311" width="10.7109375" style="231"/>
    <col min="9312" max="9312" width="10.7109375" style="231" customWidth="1"/>
    <col min="9313" max="9315" width="10.7109375" style="231"/>
    <col min="9316" max="9317" width="10.7109375" style="231" customWidth="1"/>
    <col min="9318" max="9319" width="10.7109375" style="231"/>
    <col min="9320" max="9321" width="10.7109375" style="231" customWidth="1"/>
    <col min="9322" max="9326" width="10.7109375" style="231"/>
    <col min="9327" max="9327" width="10.7109375" style="231" customWidth="1"/>
    <col min="9328" max="9328" width="10.7109375" style="231"/>
    <col min="9329" max="9332" width="10.7109375" style="231" customWidth="1"/>
    <col min="9333" max="9335" width="10.7109375" style="231"/>
    <col min="9336" max="9337" width="10.7109375" style="231" customWidth="1"/>
    <col min="9338" max="9338" width="10.7109375" style="231"/>
    <col min="9339" max="9340" width="10.7109375" style="231" customWidth="1"/>
    <col min="9341" max="9343" width="10.7109375" style="231"/>
    <col min="9344" max="9344" width="10.7109375" style="231" customWidth="1"/>
    <col min="9345" max="9345" width="10.7109375" style="231"/>
    <col min="9346" max="9347" width="10.7109375" style="231" customWidth="1"/>
    <col min="9348" max="9348" width="10.7109375" style="231"/>
    <col min="9349" max="9349" width="10.7109375" style="231" customWidth="1"/>
    <col min="9350" max="9351" width="10.7109375" style="231"/>
    <col min="9352" max="9353" width="10.7109375" style="231" customWidth="1"/>
    <col min="9354" max="9356" width="10.7109375" style="231"/>
    <col min="9357" max="9357" width="10.7109375" style="231" customWidth="1"/>
    <col min="9358" max="9359" width="10.7109375" style="231"/>
    <col min="9360" max="9360" width="10.7109375" style="231" customWidth="1"/>
    <col min="9361" max="9361" width="10.7109375" style="231"/>
    <col min="9362" max="9362" width="10.7109375" style="231" customWidth="1"/>
    <col min="9363" max="9392" width="10.7109375" style="231"/>
    <col min="9393" max="9395" width="10.7109375" style="231" customWidth="1"/>
    <col min="9396" max="9404" width="10.7109375" style="231"/>
    <col min="9405" max="9405" width="10.7109375" style="231" customWidth="1"/>
    <col min="9406" max="9424" width="10.7109375" style="231"/>
    <col min="9425" max="9425" width="10.7109375" style="231" customWidth="1"/>
    <col min="9426" max="9428" width="10.7109375" style="231"/>
    <col min="9429" max="9429" width="10.7109375" style="231" customWidth="1"/>
    <col min="9430" max="9432" width="10.7109375" style="231"/>
    <col min="9433" max="9433" width="10.7109375" style="231" customWidth="1"/>
    <col min="9434" max="9435" width="10.7109375" style="231"/>
    <col min="9436" max="9437" width="10.7109375" style="231" customWidth="1"/>
    <col min="9438" max="9439" width="10.7109375" style="231"/>
    <col min="9440" max="9440" width="10.7109375" style="231" customWidth="1"/>
    <col min="9441" max="9444" width="10.7109375" style="231"/>
    <col min="9445" max="9445" width="10.7109375" style="231" customWidth="1"/>
    <col min="9446" max="9447" width="10.7109375" style="231"/>
    <col min="9448" max="9449" width="10.7109375" style="231" customWidth="1"/>
    <col min="9450" max="9452" width="10.7109375" style="231"/>
    <col min="9453" max="9453" width="10.7109375" style="231" customWidth="1"/>
    <col min="9454" max="9454" width="10.7109375" style="231"/>
    <col min="9455" max="9457" width="10.7109375" style="231" customWidth="1"/>
    <col min="9458" max="9461" width="10.7109375" style="231"/>
    <col min="9462" max="9462" width="10.7109375" style="231" customWidth="1"/>
    <col min="9463" max="9468" width="10.7109375" style="231"/>
    <col min="9469" max="9470" width="10.7109375" style="231" customWidth="1"/>
    <col min="9471" max="9473" width="10.7109375" style="231"/>
    <col min="9474" max="9474" width="10.7109375" style="231" customWidth="1"/>
    <col min="9475" max="9475" width="10.7109375" style="231"/>
    <col min="9476" max="9476" width="10.7109375" style="231" customWidth="1"/>
    <col min="9477" max="9477" width="10.7109375" style="231"/>
    <col min="9478" max="9478" width="10.7109375" style="231" customWidth="1"/>
    <col min="9479" max="9490" width="10.7109375" style="231"/>
    <col min="9491" max="9493" width="10.7109375" style="231" customWidth="1"/>
    <col min="9494" max="9495" width="10.7109375" style="231"/>
    <col min="9496" max="9498" width="10.7109375" style="231" customWidth="1"/>
    <col min="9499" max="9499" width="10.7109375" style="231"/>
    <col min="9500" max="9501" width="10.7109375" style="231" customWidth="1"/>
    <col min="9502" max="9503" width="10.7109375" style="231"/>
    <col min="9504" max="9505" width="10.7109375" style="231" customWidth="1"/>
    <col min="9506" max="9506" width="10.7109375" style="231"/>
    <col min="9507" max="9507" width="10.7109375" style="231" customWidth="1"/>
    <col min="9508" max="9508" width="10.7109375" style="231"/>
    <col min="9509" max="9509" width="10.7109375" style="231" customWidth="1"/>
    <col min="9510" max="9511" width="10.7109375" style="231"/>
    <col min="9512" max="9512" width="10.7109375" style="231" customWidth="1"/>
    <col min="9513" max="9513" width="10.7109375" style="231"/>
    <col min="9514" max="9514" width="10.7109375" style="231" customWidth="1"/>
    <col min="9515" max="9515" width="10.7109375" style="231"/>
    <col min="9516" max="9516" width="10.7109375" style="231" customWidth="1"/>
    <col min="9517" max="9519" width="10.7109375" style="231"/>
    <col min="9520" max="9520" width="10.7109375" style="231" customWidth="1"/>
    <col min="9521" max="9522" width="10.7109375" style="231"/>
    <col min="9523" max="9523" width="10.7109375" style="231" customWidth="1"/>
    <col min="9524" max="9527" width="10.7109375" style="231"/>
    <col min="9528" max="9528" width="10.7109375" style="231" customWidth="1"/>
    <col min="9529" max="9552" width="10.7109375" style="231"/>
    <col min="9553" max="9555" width="10.7109375" style="231" customWidth="1"/>
    <col min="9556" max="9559" width="10.7109375" style="231"/>
    <col min="9560" max="9560" width="10.7109375" style="231" customWidth="1"/>
    <col min="9561" max="9564" width="10.7109375" style="231"/>
    <col min="9565" max="9565" width="10.7109375" style="231" customWidth="1"/>
    <col min="9566" max="9571" width="10.7109375" style="231"/>
    <col min="9572" max="9573" width="10.7109375" style="231" customWidth="1"/>
    <col min="9574" max="9584" width="10.7109375" style="231"/>
    <col min="9585" max="9585" width="10.7109375" style="231" customWidth="1"/>
    <col min="9586" max="9586" width="10.7109375" style="231"/>
    <col min="9587" max="9588" width="10.7109375" style="231" customWidth="1"/>
    <col min="9589" max="9589" width="10.7109375" style="231"/>
    <col min="9590" max="9590" width="10.7109375" style="231" customWidth="1"/>
    <col min="9591" max="9591" width="10.7109375" style="231"/>
    <col min="9592" max="9592" width="10.7109375" style="231" customWidth="1"/>
    <col min="9593" max="9593" width="10.7109375" style="231"/>
    <col min="9594" max="9594" width="10.7109375" style="231" customWidth="1"/>
    <col min="9595" max="9595" width="10.7109375" style="231"/>
    <col min="9596" max="9596" width="10.7109375" style="231" customWidth="1"/>
    <col min="9597" max="9607" width="10.7109375" style="231"/>
    <col min="9608" max="9610" width="10.7109375" style="231" customWidth="1"/>
    <col min="9611" max="9611" width="10.7109375" style="231"/>
    <col min="9612" max="9612" width="10.7109375" style="231" customWidth="1"/>
    <col min="9613" max="9615" width="10.7109375" style="231"/>
    <col min="9616" max="9618" width="10.7109375" style="231" customWidth="1"/>
    <col min="9619" max="9622" width="10.7109375" style="231"/>
    <col min="9623" max="9623" width="10.7109375" style="231" customWidth="1"/>
    <col min="9624" max="9628" width="10.7109375" style="231"/>
    <col min="9629" max="9629" width="10.7109375" style="231" customWidth="1"/>
    <col min="9630" max="9630" width="10.7109375" style="231"/>
    <col min="9631" max="9632" width="10.7109375" style="231" customWidth="1"/>
    <col min="9633" max="9634" width="10.7109375" style="231"/>
    <col min="9635" max="9635" width="10.7109375" style="231" customWidth="1"/>
    <col min="9636" max="9636" width="10.7109375" style="231"/>
    <col min="9637" max="9637" width="10.7109375" style="231" customWidth="1"/>
    <col min="9638" max="9639" width="10.7109375" style="231"/>
    <col min="9640" max="9640" width="10.7109375" style="231" customWidth="1"/>
    <col min="9641" max="9641" width="10.7109375" style="231"/>
    <col min="9642" max="9642" width="10.7109375" style="231" customWidth="1"/>
    <col min="9643" max="9643" width="10.7109375" style="231"/>
    <col min="9644" max="9645" width="10.7109375" style="231" customWidth="1"/>
    <col min="9646" max="9647" width="10.7109375" style="231"/>
    <col min="9648" max="9648" width="10.7109375" style="231" customWidth="1"/>
    <col min="9649" max="9649" width="10.7109375" style="231"/>
    <col min="9650" max="9651" width="10.7109375" style="231" customWidth="1"/>
    <col min="9652" max="9662" width="10.7109375" style="231"/>
    <col min="9663" max="9663" width="10.7109375" style="231" customWidth="1"/>
    <col min="9664" max="9678" width="10.7109375" style="231"/>
    <col min="9679" max="9679" width="10.7109375" style="231" customWidth="1"/>
    <col min="9680" max="9685" width="10.7109375" style="231"/>
    <col min="9686" max="9688" width="10.7109375" style="231" customWidth="1"/>
    <col min="9689" max="9694" width="10.7109375" style="231"/>
    <col min="9695" max="9695" width="10.7109375" style="231" customWidth="1"/>
    <col min="9696" max="9696" width="10.7109375" style="231"/>
    <col min="9697" max="9698" width="10.7109375" style="231" customWidth="1"/>
    <col min="9699" max="9699" width="10.7109375" style="231"/>
    <col min="9700" max="9701" width="10.7109375" style="231" customWidth="1"/>
    <col min="9702" max="9706" width="10.7109375" style="231"/>
    <col min="9707" max="9707" width="10.7109375" style="231" customWidth="1"/>
    <col min="9708" max="9714" width="10.7109375" style="231"/>
    <col min="9715" max="9717" width="10.7109375" style="231" customWidth="1"/>
    <col min="9718" max="9720" width="10.7109375" style="231"/>
    <col min="9721" max="9722" width="10.7109375" style="231" customWidth="1"/>
    <col min="9723" max="9723" width="10.7109375" style="231"/>
    <col min="9724" max="9724" width="10.7109375" style="231" customWidth="1"/>
    <col min="9725" max="9727" width="10.7109375" style="231"/>
    <col min="9728" max="9729" width="10.7109375" style="231" customWidth="1"/>
    <col min="9730" max="9734" width="10.7109375" style="231"/>
    <col min="9735" max="9737" width="10.7109375" style="231" customWidth="1"/>
    <col min="9738" max="9738" width="10.7109375" style="231"/>
    <col min="9739" max="9739" width="10.7109375" style="231" customWidth="1"/>
    <col min="9740" max="9740" width="10.7109375" style="231"/>
    <col min="9741" max="9744" width="10.7109375" style="231" customWidth="1"/>
    <col min="9745" max="9745" width="10.7109375" style="231"/>
    <col min="9746" max="9747" width="10.7109375" style="231" customWidth="1"/>
    <col min="9748" max="9748" width="10.7109375" style="231"/>
    <col min="9749" max="9752" width="10.7109375" style="231" customWidth="1"/>
    <col min="9753" max="9753" width="10.7109375" style="231"/>
    <col min="9754" max="9755" width="10.7109375" style="231" customWidth="1"/>
    <col min="9756" max="9756" width="10.7109375" style="231"/>
    <col min="9757" max="9760" width="10.7109375" style="231" customWidth="1"/>
    <col min="9761" max="9761" width="10.7109375" style="231"/>
    <col min="9762" max="9763" width="10.7109375" style="231" customWidth="1"/>
    <col min="9764" max="9764" width="10.7109375" style="231"/>
    <col min="9765" max="9770" width="10.7109375" style="231" customWidth="1"/>
    <col min="9771" max="9774" width="10.7109375" style="231"/>
    <col min="9775" max="9776" width="10.7109375" style="231" customWidth="1"/>
    <col min="9777" max="9778" width="10.7109375" style="231"/>
    <col min="9779" max="9779" width="10.7109375" style="231" customWidth="1"/>
    <col min="9780" max="9780" width="10.7109375" style="231"/>
    <col min="9781" max="9781" width="10.7109375" style="231" customWidth="1"/>
    <col min="9782" max="9783" width="10.7109375" style="231"/>
    <col min="9784" max="9784" width="10.7109375" style="231" customWidth="1"/>
    <col min="9785" max="9785" width="10.7109375" style="231"/>
    <col min="9786" max="9786" width="10.7109375" style="231" customWidth="1"/>
    <col min="9787" max="9787" width="10.7109375" style="231"/>
    <col min="9788" max="9788" width="10.7109375" style="231" customWidth="1"/>
    <col min="9789" max="9793" width="10.7109375" style="231"/>
    <col min="9794" max="9794" width="10.7109375" style="231" customWidth="1"/>
    <col min="9795" max="9799" width="10.7109375" style="231"/>
    <col min="9800" max="9801" width="10.7109375" style="231" customWidth="1"/>
    <col min="9802" max="9806" width="10.7109375" style="231"/>
    <col min="9807" max="9808" width="10.7109375" style="231" customWidth="1"/>
    <col min="9809" max="9812" width="10.7109375" style="231"/>
    <col min="9813" max="9813" width="10.7109375" style="231" customWidth="1"/>
    <col min="9814" max="9815" width="10.7109375" style="231"/>
    <col min="9816" max="9816" width="10.7109375" style="231" customWidth="1"/>
    <col min="9817" max="9820" width="10.7109375" style="231"/>
    <col min="9821" max="9821" width="10.7109375" style="231" customWidth="1"/>
    <col min="9822" max="9828" width="10.7109375" style="231"/>
    <col min="9829" max="9829" width="10.7109375" style="231" customWidth="1"/>
    <col min="9830" max="9831" width="10.7109375" style="231"/>
    <col min="9832" max="9833" width="10.7109375" style="231" customWidth="1"/>
    <col min="9834" max="9838" width="10.7109375" style="231"/>
    <col min="9839" max="9839" width="10.7109375" style="231" customWidth="1"/>
    <col min="9840" max="9841" width="10.7109375" style="231"/>
    <col min="9842" max="9845" width="10.7109375" style="231" customWidth="1"/>
    <col min="9846" max="9847" width="10.7109375" style="231"/>
    <col min="9848" max="9852" width="10.7109375" style="231" customWidth="1"/>
    <col min="9853" max="9856" width="10.7109375" style="231"/>
    <col min="9857" max="9858" width="10.7109375" style="231" customWidth="1"/>
    <col min="9859" max="9863" width="10.7109375" style="231"/>
    <col min="9864" max="9866" width="10.7109375" style="231" customWidth="1"/>
    <col min="9867" max="9868" width="10.7109375" style="231"/>
    <col min="9869" max="9869" width="10.7109375" style="231" customWidth="1"/>
    <col min="9870" max="9871" width="10.7109375" style="231"/>
    <col min="9872" max="9872" width="10.7109375" style="231" customWidth="1"/>
    <col min="9873" max="9873" width="10.7109375" style="231"/>
    <col min="9874" max="9874" width="10.7109375" style="231" customWidth="1"/>
    <col min="9875" max="9879" width="10.7109375" style="231"/>
    <col min="9880" max="9881" width="10.7109375" style="231" customWidth="1"/>
    <col min="9882" max="9884" width="10.7109375" style="231"/>
    <col min="9885" max="9885" width="10.7109375" style="231" customWidth="1"/>
    <col min="9886" max="9886" width="10.7109375" style="231"/>
    <col min="9887" max="9892" width="10.7109375" style="231" customWidth="1"/>
    <col min="9893" max="9895" width="10.7109375" style="231"/>
    <col min="9896" max="9897" width="10.7109375" style="231" customWidth="1"/>
    <col min="9898" max="9898" width="10.7109375" style="231"/>
    <col min="9899" max="9900" width="10.7109375" style="231" customWidth="1"/>
    <col min="9901" max="9903" width="10.7109375" style="231"/>
    <col min="9904" max="9904" width="10.7109375" style="231" customWidth="1"/>
    <col min="9905" max="9905" width="10.7109375" style="231"/>
    <col min="9906" max="9906" width="10.7109375" style="231" customWidth="1"/>
    <col min="9907" max="9908" width="10.7109375" style="231"/>
    <col min="9909" max="9909" width="10.7109375" style="231" customWidth="1"/>
    <col min="9910" max="9912" width="10.7109375" style="231"/>
    <col min="9913" max="9913" width="10.7109375" style="231" customWidth="1"/>
    <col min="9914" max="9934" width="10.7109375" style="231"/>
    <col min="9935" max="9935" width="10.7109375" style="231" customWidth="1"/>
    <col min="9936" max="9936" width="10.7109375" style="231"/>
    <col min="9937" max="9938" width="10.7109375" style="231" customWidth="1"/>
    <col min="9939" max="9939" width="10.7109375" style="231"/>
    <col min="9940" max="9940" width="10.7109375" style="231" customWidth="1"/>
    <col min="9941" max="9945" width="10.7109375" style="231"/>
    <col min="9946" max="9947" width="10.7109375" style="231" customWidth="1"/>
    <col min="9948" max="9948" width="10.7109375" style="231"/>
    <col min="9949" max="9949" width="10.7109375" style="231" customWidth="1"/>
    <col min="9950" max="9951" width="10.7109375" style="231"/>
    <col min="9952" max="9952" width="10.7109375" style="231" customWidth="1"/>
    <col min="9953" max="9954" width="10.7109375" style="231"/>
    <col min="9955" max="9957" width="10.7109375" style="231" customWidth="1"/>
    <col min="9958" max="9959" width="10.7109375" style="231"/>
    <col min="9960" max="9960" width="10.7109375" style="231" customWidth="1"/>
    <col min="9961" max="9962" width="10.7109375" style="231"/>
    <col min="9963" max="9963" width="10.7109375" style="231" customWidth="1"/>
    <col min="9964" max="9964" width="10.7109375" style="231"/>
    <col min="9965" max="9965" width="10.7109375" style="231" customWidth="1"/>
    <col min="9966" max="9967" width="10.7109375" style="231"/>
    <col min="9968" max="9968" width="10.7109375" style="231" customWidth="1"/>
    <col min="9969" max="9971" width="10.7109375" style="231"/>
    <col min="9972" max="9972" width="10.7109375" style="231" customWidth="1"/>
    <col min="9973" max="9976" width="10.7109375" style="231"/>
    <col min="9977" max="9977" width="10.7109375" style="231" customWidth="1"/>
    <col min="9978" max="9983" width="10.7109375" style="231"/>
    <col min="9984" max="9984" width="10.7109375" style="231" customWidth="1"/>
    <col min="9985" max="9988" width="10.7109375" style="231"/>
    <col min="9989" max="9989" width="10.7109375" style="231" customWidth="1"/>
    <col min="9990" max="9994" width="10.7109375" style="231"/>
    <col min="9995" max="9995" width="10.7109375" style="231" customWidth="1"/>
    <col min="9996" max="10000" width="10.7109375" style="231"/>
    <col min="10001" max="10001" width="10.7109375" style="231" customWidth="1"/>
    <col min="10002" max="10002" width="10.7109375" style="231"/>
    <col min="10003" max="10004" width="10.7109375" style="231" customWidth="1"/>
    <col min="10005" max="10009" width="10.7109375" style="231"/>
    <col min="10010" max="10010" width="10.7109375" style="231" customWidth="1"/>
    <col min="10011" max="10011" width="10.7109375" style="231"/>
    <col min="10012" max="10013" width="10.7109375" style="231" customWidth="1"/>
    <col min="10014" max="10015" width="10.7109375" style="231"/>
    <col min="10016" max="10016" width="10.7109375" style="231" customWidth="1"/>
    <col min="10017" max="10017" width="10.7109375" style="231"/>
    <col min="10018" max="10021" width="10.7109375" style="231" customWidth="1"/>
    <col min="10022" max="10023" width="10.7109375" style="231"/>
    <col min="10024" max="10026" width="10.7109375" style="231" customWidth="1"/>
    <col min="10027" max="10027" width="10.7109375" style="231"/>
    <col min="10028" max="10028" width="10.7109375" style="231" customWidth="1"/>
    <col min="10029" max="10031" width="10.7109375" style="231"/>
    <col min="10032" max="10032" width="10.7109375" style="231" customWidth="1"/>
    <col min="10033" max="10036" width="10.7109375" style="231"/>
    <col min="10037" max="10037" width="10.7109375" style="231" customWidth="1"/>
    <col min="10038" max="10040" width="10.7109375" style="231"/>
    <col min="10041" max="10041" width="10.7109375" style="231" customWidth="1"/>
    <col min="10042" max="10062" width="10.7109375" style="231"/>
    <col min="10063" max="10063" width="10.7109375" style="231" customWidth="1"/>
    <col min="10064" max="10079" width="10.7109375" style="231"/>
    <col min="10080" max="10080" width="10.7109375" style="231" customWidth="1"/>
    <col min="10081" max="10081" width="10.7109375" style="231"/>
    <col min="10082" max="10083" width="10.7109375" style="231" customWidth="1"/>
    <col min="10084" max="10094" width="10.7109375" style="231"/>
    <col min="10095" max="10095" width="10.7109375" style="231" customWidth="1"/>
    <col min="10096" max="10096" width="10.7109375" style="231"/>
    <col min="10097" max="10097" width="10.7109375" style="231" customWidth="1"/>
    <col min="10098" max="10098" width="10.7109375" style="231"/>
    <col min="10099" max="10099" width="10.7109375" style="231" customWidth="1"/>
    <col min="10100" max="10100" width="10.7109375" style="231"/>
    <col min="10101" max="10102" width="10.7109375" style="231" customWidth="1"/>
    <col min="10103" max="10105" width="10.7109375" style="231"/>
    <col min="10106" max="10106" width="10.7109375" style="231" customWidth="1"/>
    <col min="10107" max="10109" width="10.7109375" style="231"/>
    <col min="10110" max="10110" width="10.7109375" style="231" customWidth="1"/>
    <col min="10111" max="10111" width="10.7109375" style="231"/>
    <col min="10112" max="10112" width="10.7109375" style="231" customWidth="1"/>
    <col min="10113" max="10117" width="10.7109375" style="231"/>
    <col min="10118" max="10120" width="10.7109375" style="231" customWidth="1"/>
    <col min="10121" max="10121" width="10.7109375" style="231"/>
    <col min="10122" max="10123" width="10.7109375" style="231" customWidth="1"/>
    <col min="10124" max="10124" width="10.7109375" style="231"/>
    <col min="10125" max="10125" width="10.7109375" style="231" customWidth="1"/>
    <col min="10126" max="10126" width="10.7109375" style="231"/>
    <col min="10127" max="10127" width="10.7109375" style="231" customWidth="1"/>
    <col min="10128" max="10128" width="10.7109375" style="231"/>
    <col min="10129" max="10130" width="10.7109375" style="231" customWidth="1"/>
    <col min="10131" max="10134" width="10.7109375" style="231"/>
    <col min="10135" max="10135" width="10.7109375" style="231" customWidth="1"/>
    <col min="10136" max="10138" width="10.7109375" style="231"/>
    <col min="10139" max="10140" width="10.7109375" style="231" customWidth="1"/>
    <col min="10141" max="10143" width="10.7109375" style="231"/>
    <col min="10144" max="10146" width="10.7109375" style="231" customWidth="1"/>
    <col min="10147" max="10147" width="10.7109375" style="231"/>
    <col min="10148" max="10148" width="10.7109375" style="231" customWidth="1"/>
    <col min="10149" max="10151" width="10.7109375" style="231"/>
    <col min="10152" max="10153" width="10.7109375" style="231" customWidth="1"/>
    <col min="10154" max="10154" width="10.7109375" style="231"/>
    <col min="10155" max="10156" width="10.7109375" style="231" customWidth="1"/>
    <col min="10157" max="10159" width="10.7109375" style="231"/>
    <col min="10160" max="10160" width="10.7109375" style="231" customWidth="1"/>
    <col min="10161" max="10161" width="10.7109375" style="231"/>
    <col min="10162" max="10163" width="10.7109375" style="231" customWidth="1"/>
    <col min="10164" max="10164" width="10.7109375" style="231"/>
    <col min="10165" max="10165" width="10.7109375" style="231" customWidth="1"/>
    <col min="10166" max="10167" width="10.7109375" style="231"/>
    <col min="10168" max="10169" width="10.7109375" style="231" customWidth="1"/>
    <col min="10170" max="10172" width="10.7109375" style="231"/>
    <col min="10173" max="10173" width="10.7109375" style="231" customWidth="1"/>
    <col min="10174" max="10175" width="10.7109375" style="231"/>
    <col min="10176" max="10176" width="10.7109375" style="231" customWidth="1"/>
    <col min="10177" max="10179" width="10.7109375" style="231"/>
    <col min="10180" max="10181" width="10.7109375" style="231" customWidth="1"/>
    <col min="10182" max="10183" width="10.7109375" style="231"/>
    <col min="10184" max="10185" width="10.7109375" style="231" customWidth="1"/>
    <col min="10186" max="10190" width="10.7109375" style="231"/>
    <col min="10191" max="10192" width="10.7109375" style="231" customWidth="1"/>
    <col min="10193" max="10216" width="10.7109375" style="231"/>
    <col min="10217" max="10217" width="10.7109375" style="231" customWidth="1"/>
    <col min="10218" max="10222" width="10.7109375" style="231"/>
    <col min="10223" max="10223" width="10.7109375" style="231" customWidth="1"/>
    <col min="10224" max="10233" width="10.7109375" style="231"/>
    <col min="10234" max="10234" width="10.7109375" style="231" customWidth="1"/>
    <col min="10235" max="10240" width="10.7109375" style="231"/>
    <col min="10241" max="10241" width="10.7109375" style="231" customWidth="1"/>
    <col min="10242" max="10242" width="10.7109375" style="231"/>
    <col min="10243" max="10243" width="10.7109375" style="231" customWidth="1"/>
    <col min="10244" max="10248" width="10.7109375" style="231"/>
    <col min="10249" max="10250" width="10.7109375" style="231" customWidth="1"/>
    <col min="10251" max="10288" width="10.7109375" style="231"/>
    <col min="10289" max="10289" width="10.7109375" style="231" customWidth="1"/>
    <col min="10290" max="10292" width="10.7109375" style="231"/>
    <col min="10293" max="10293" width="10.7109375" style="231" customWidth="1"/>
    <col min="10294" max="10297" width="10.7109375" style="231"/>
    <col min="10298" max="10298" width="10.7109375" style="231" customWidth="1"/>
    <col min="10299" max="10306" width="10.7109375" style="231"/>
    <col min="10307" max="10307" width="10.7109375" style="231" customWidth="1"/>
    <col min="10308" max="10314" width="10.7109375" style="231"/>
    <col min="10315" max="10316" width="10.7109375" style="231" customWidth="1"/>
    <col min="10317" max="10356" width="10.7109375" style="231"/>
    <col min="10357" max="10357" width="10.7109375" style="231" customWidth="1"/>
    <col min="10358" max="10358" width="10.7109375" style="231"/>
    <col min="10359" max="10360" width="10.7109375" style="231" customWidth="1"/>
    <col min="10361" max="10362" width="10.7109375" style="231"/>
    <col min="10363" max="10364" width="10.7109375" style="231" customWidth="1"/>
    <col min="10365" max="10367" width="10.7109375" style="231"/>
    <col min="10368" max="10370" width="10.7109375" style="231" customWidth="1"/>
    <col min="10371" max="10371" width="10.7109375" style="231"/>
    <col min="10372" max="10372" width="10.7109375" style="231" customWidth="1"/>
    <col min="10373" max="10375" width="10.7109375" style="231"/>
    <col min="10376" max="10377" width="10.7109375" style="231" customWidth="1"/>
    <col min="10378" max="10378" width="10.7109375" style="231"/>
    <col min="10379" max="10380" width="10.7109375" style="231" customWidth="1"/>
    <col min="10381" max="10383" width="10.7109375" style="231"/>
    <col min="10384" max="10384" width="10.7109375" style="231" customWidth="1"/>
    <col min="10385" max="10392" width="10.7109375" style="231"/>
    <col min="10393" max="10393" width="10.7109375" style="231" customWidth="1"/>
    <col min="10394" max="10396" width="10.7109375" style="231"/>
    <col min="10397" max="10397" width="10.7109375" style="231" customWidth="1"/>
    <col min="10398" max="10403" width="10.7109375" style="231"/>
    <col min="10404" max="10404" width="10.7109375" style="231" customWidth="1"/>
    <col min="10405" max="10408" width="10.7109375" style="231"/>
    <col min="10409" max="10409" width="10.7109375" style="231" customWidth="1"/>
    <col min="10410" max="10414" width="10.7109375" style="231"/>
    <col min="10415" max="10415" width="10.7109375" style="231" customWidth="1"/>
    <col min="10416" max="10416" width="10.7109375" style="231"/>
    <col min="10417" max="10417" width="10.7109375" style="231" customWidth="1"/>
    <col min="10418" max="10420" width="10.7109375" style="231"/>
    <col min="10421" max="10421" width="10.7109375" style="231" customWidth="1"/>
    <col min="10422" max="10425" width="10.7109375" style="231"/>
    <col min="10426" max="10426" width="10.7109375" style="231" customWidth="1"/>
    <col min="10427" max="10430" width="10.7109375" style="231"/>
    <col min="10431" max="10431" width="10.7109375" style="231" customWidth="1"/>
    <col min="10432" max="10446" width="10.7109375" style="231"/>
    <col min="10447" max="10447" width="10.7109375" style="231" customWidth="1"/>
    <col min="10448" max="10448" width="10.7109375" style="231"/>
    <col min="10449" max="10450" width="10.7109375" style="231" customWidth="1"/>
    <col min="10451" max="10454" width="10.7109375" style="231"/>
    <col min="10455" max="10456" width="10.7109375" style="231" customWidth="1"/>
    <col min="10457" max="10458" width="10.7109375" style="231"/>
    <col min="10459" max="10459" width="10.7109375" style="231" customWidth="1"/>
    <col min="10460" max="10460" width="10.7109375" style="231"/>
    <col min="10461" max="10461" width="10.7109375" style="231" customWidth="1"/>
    <col min="10462" max="10463" width="10.7109375" style="231"/>
    <col min="10464" max="10464" width="10.7109375" style="231" customWidth="1"/>
    <col min="10465" max="10465" width="10.7109375" style="231"/>
    <col min="10466" max="10466" width="10.7109375" style="231" customWidth="1"/>
    <col min="10467" max="10467" width="10.7109375" style="231"/>
    <col min="10468" max="10469" width="10.7109375" style="231" customWidth="1"/>
    <col min="10470" max="10471" width="10.7109375" style="231"/>
    <col min="10472" max="10472" width="10.7109375" style="231" customWidth="1"/>
    <col min="10473" max="10473" width="10.7109375" style="231"/>
    <col min="10474" max="10475" width="10.7109375" style="231" customWidth="1"/>
    <col min="10476" max="10479" width="10.7109375" style="231"/>
    <col min="10480" max="10481" width="10.7109375" style="231" customWidth="1"/>
    <col min="10482" max="10486" width="10.7109375" style="231"/>
    <col min="10487" max="10488" width="10.7109375" style="231" customWidth="1"/>
    <col min="10489" max="10490" width="10.7109375" style="231"/>
    <col min="10491" max="10493" width="10.7109375" style="231" customWidth="1"/>
    <col min="10494" max="10495" width="10.7109375" style="231"/>
    <col min="10496" max="10496" width="10.7109375" style="231" customWidth="1"/>
    <col min="10497" max="10500" width="10.7109375" style="231"/>
    <col min="10501" max="10501" width="10.7109375" style="231" customWidth="1"/>
    <col min="10502" max="10503" width="10.7109375" style="231"/>
    <col min="10504" max="10504" width="10.7109375" style="231" customWidth="1"/>
    <col min="10505" max="10505" width="10.7109375" style="231"/>
    <col min="10506" max="10506" width="10.7109375" style="231" customWidth="1"/>
    <col min="10507" max="10508" width="10.7109375" style="231"/>
    <col min="10509" max="10509" width="10.7109375" style="231" customWidth="1"/>
    <col min="10510" max="10511" width="10.7109375" style="231"/>
    <col min="10512" max="10512" width="10.7109375" style="231" customWidth="1"/>
    <col min="10513" max="10544" width="10.7109375" style="231"/>
    <col min="10545" max="10546" width="10.7109375" style="231" customWidth="1"/>
    <col min="10547" max="10555" width="10.7109375" style="231"/>
    <col min="10556" max="10557" width="10.7109375" style="231" customWidth="1"/>
    <col min="10558" max="10560" width="10.7109375" style="231"/>
    <col min="10561" max="10561" width="10.7109375" style="231" customWidth="1"/>
    <col min="10562" max="10566" width="10.7109375" style="231"/>
    <col min="10567" max="10568" width="10.7109375" style="231" customWidth="1"/>
    <col min="10569" max="10569" width="10.7109375" style="231"/>
    <col min="10570" max="10572" width="10.7109375" style="231" customWidth="1"/>
    <col min="10573" max="10575" width="10.7109375" style="231"/>
    <col min="10576" max="10576" width="10.7109375" style="231" customWidth="1"/>
    <col min="10577" max="10600" width="10.7109375" style="231"/>
    <col min="10601" max="10602" width="10.7109375" style="231" customWidth="1"/>
    <col min="10603" max="10603" width="10.7109375" style="231"/>
    <col min="10604" max="10604" width="10.7109375" style="231" customWidth="1"/>
    <col min="10605" max="10607" width="10.7109375" style="231"/>
    <col min="10608" max="10609" width="10.7109375" style="231" customWidth="1"/>
    <col min="10610" max="10612" width="10.7109375" style="231"/>
    <col min="10613" max="10613" width="10.7109375" style="231" customWidth="1"/>
    <col min="10614" max="10616" width="10.7109375" style="231"/>
    <col min="10617" max="10618" width="10.7109375" style="231" customWidth="1"/>
    <col min="10619" max="10619" width="10.7109375" style="231"/>
    <col min="10620" max="10620" width="10.7109375" style="231" customWidth="1"/>
    <col min="10621" max="10642" width="10.7109375" style="231"/>
    <col min="10643" max="10643" width="10.7109375" style="231" customWidth="1"/>
    <col min="10644" max="10644" width="10.7109375" style="231"/>
    <col min="10645" max="10645" width="10.7109375" style="231" customWidth="1"/>
    <col min="10646" max="10647" width="10.7109375" style="231"/>
    <col min="10648" max="10648" width="10.7109375" style="231" customWidth="1"/>
    <col min="10649" max="10656" width="10.7109375" style="231"/>
    <col min="10657" max="10657" width="10.7109375" style="231" customWidth="1"/>
    <col min="10658" max="10663" width="10.7109375" style="231"/>
    <col min="10664" max="10664" width="10.7109375" style="231" customWidth="1"/>
    <col min="10665" max="10670" width="10.7109375" style="231"/>
    <col min="10671" max="10672" width="10.7109375" style="231" customWidth="1"/>
    <col min="10673" max="10676" width="10.7109375" style="231"/>
    <col min="10677" max="10677" width="10.7109375" style="231" customWidth="1"/>
    <col min="10678" max="10679" width="10.7109375" style="231"/>
    <col min="10680" max="10680" width="10.7109375" style="231" customWidth="1"/>
    <col min="10681" max="10681" width="10.7109375" style="231"/>
    <col min="10682" max="10682" width="10.7109375" style="231" customWidth="1"/>
    <col min="10683" max="10683" width="10.7109375" style="231"/>
    <col min="10684" max="10684" width="10.7109375" style="231" customWidth="1"/>
    <col min="10685" max="10705" width="10.7109375" style="231"/>
    <col min="10706" max="10707" width="10.7109375" style="231" customWidth="1"/>
    <col min="10708" max="10708" width="10.7109375" style="231"/>
    <col min="10709" max="10710" width="10.7109375" style="231" customWidth="1"/>
    <col min="10711" max="10712" width="10.7109375" style="231"/>
    <col min="10713" max="10713" width="10.7109375" style="231" customWidth="1"/>
    <col min="10714" max="10714" width="10.7109375" style="231"/>
    <col min="10715" max="10716" width="10.7109375" style="231" customWidth="1"/>
    <col min="10717" max="10720" width="10.7109375" style="231"/>
    <col min="10721" max="10721" width="10.7109375" style="231" customWidth="1"/>
    <col min="10722" max="10723" width="10.7109375" style="231"/>
    <col min="10724" max="10724" width="10.7109375" style="231" customWidth="1"/>
    <col min="10725" max="10727" width="10.7109375" style="231"/>
    <col min="10728" max="10728" width="10.7109375" style="231" customWidth="1"/>
    <col min="10729" max="10729" width="10.7109375" style="231"/>
    <col min="10730" max="10733" width="10.7109375" style="231" customWidth="1"/>
    <col min="10734" max="10737" width="10.7109375" style="231"/>
    <col min="10738" max="10739" width="10.7109375" style="231" customWidth="1"/>
    <col min="10740" max="10743" width="10.7109375" style="231"/>
    <col min="10744" max="10745" width="10.7109375" style="231" customWidth="1"/>
    <col min="10746" max="10751" width="10.7109375" style="231"/>
    <col min="10752" max="10752" width="10.7109375" style="231" customWidth="1"/>
    <col min="10753" max="10756" width="10.7109375" style="231"/>
    <col min="10757" max="10757" width="10.7109375" style="231" customWidth="1"/>
    <col min="10758" max="10762" width="10.7109375" style="231"/>
    <col min="10763" max="10763" width="10.7109375" style="231" customWidth="1"/>
    <col min="10764" max="10771" width="10.7109375" style="231"/>
    <col min="10772" max="10773" width="10.7109375" style="231" customWidth="1"/>
    <col min="10774" max="10775" width="10.7109375" style="231"/>
    <col min="10776" max="10776" width="10.7109375" style="231" customWidth="1"/>
    <col min="10777" max="10777" width="10.7109375" style="231"/>
    <col min="10778" max="10779" width="10.7109375" style="231" customWidth="1"/>
    <col min="10780" max="10783" width="10.7109375" style="231"/>
    <col min="10784" max="10785" width="10.7109375" style="231" customWidth="1"/>
    <col min="10786" max="10790" width="10.7109375" style="231"/>
    <col min="10791" max="10793" width="10.7109375" style="231" customWidth="1"/>
    <col min="10794" max="10794" width="10.7109375" style="231"/>
    <col min="10795" max="10795" width="10.7109375" style="231" customWidth="1"/>
    <col min="10796" max="10796" width="10.7109375" style="231"/>
    <col min="10797" max="10800" width="10.7109375" style="231" customWidth="1"/>
    <col min="10801" max="10801" width="10.7109375" style="231"/>
    <col min="10802" max="10803" width="10.7109375" style="231" customWidth="1"/>
    <col min="10804" max="10804" width="10.7109375" style="231"/>
    <col min="10805" max="10808" width="10.7109375" style="231" customWidth="1"/>
    <col min="10809" max="10809" width="10.7109375" style="231"/>
    <col min="10810" max="10811" width="10.7109375" style="231" customWidth="1"/>
    <col min="10812" max="10812" width="10.7109375" style="231"/>
    <col min="10813" max="10816" width="10.7109375" style="231" customWidth="1"/>
    <col min="10817" max="10817" width="10.7109375" style="231"/>
    <col min="10818" max="10819" width="10.7109375" style="231" customWidth="1"/>
    <col min="10820" max="10820" width="10.7109375" style="231"/>
    <col min="10821" max="10826" width="10.7109375" style="231" customWidth="1"/>
    <col min="10827" max="10830" width="10.7109375" style="231"/>
    <col min="10831" max="10832" width="10.7109375" style="231" customWidth="1"/>
    <col min="10833" max="10833" width="10.7109375" style="231"/>
    <col min="10834" max="10834" width="10.7109375" style="231" customWidth="1"/>
    <col min="10835" max="10835" width="10.7109375" style="231"/>
    <col min="10836" max="10837" width="10.7109375" style="231" customWidth="1"/>
    <col min="10838" max="10839" width="10.7109375" style="231"/>
    <col min="10840" max="10841" width="10.7109375" style="231" customWidth="1"/>
    <col min="10842" max="10842" width="10.7109375" style="231"/>
    <col min="10843" max="10844" width="10.7109375" style="231" customWidth="1"/>
    <col min="10845" max="10847" width="10.7109375" style="231"/>
    <col min="10848" max="10849" width="10.7109375" style="231" customWidth="1"/>
    <col min="10850" max="10850" width="10.7109375" style="231"/>
    <col min="10851" max="10852" width="10.7109375" style="231" customWidth="1"/>
    <col min="10853" max="10855" width="10.7109375" style="231"/>
    <col min="10856" max="10856" width="10.7109375" style="231" customWidth="1"/>
    <col min="10857" max="10857" width="10.7109375" style="231"/>
    <col min="10858" max="10861" width="10.7109375" style="231" customWidth="1"/>
    <col min="10862" max="10863" width="10.7109375" style="231"/>
    <col min="10864" max="10864" width="10.7109375" style="231" customWidth="1"/>
    <col min="10865" max="10865" width="10.7109375" style="231"/>
    <col min="10866" max="10866" width="10.7109375" style="231" customWidth="1"/>
    <col min="10867" max="10871" width="10.7109375" style="231"/>
    <col min="10872" max="10873" width="10.7109375" style="231" customWidth="1"/>
    <col min="10874" max="10878" width="10.7109375" style="231"/>
    <col min="10879" max="10881" width="10.7109375" style="231" customWidth="1"/>
    <col min="10882" max="10882" width="10.7109375" style="231"/>
    <col min="10883" max="10883" width="10.7109375" style="231" customWidth="1"/>
    <col min="10884" max="10884" width="10.7109375" style="231"/>
    <col min="10885" max="10888" width="10.7109375" style="231" customWidth="1"/>
    <col min="10889" max="10889" width="10.7109375" style="231"/>
    <col min="10890" max="10891" width="10.7109375" style="231" customWidth="1"/>
    <col min="10892" max="10892" width="10.7109375" style="231"/>
    <col min="10893" max="10896" width="10.7109375" style="231" customWidth="1"/>
    <col min="10897" max="10897" width="10.7109375" style="231"/>
    <col min="10898" max="10899" width="10.7109375" style="231" customWidth="1"/>
    <col min="10900" max="10902" width="10.7109375" style="231"/>
    <col min="10903" max="10904" width="10.7109375" style="231" customWidth="1"/>
    <col min="10905" max="10905" width="10.7109375" style="231"/>
    <col min="10906" max="10907" width="10.7109375" style="231" customWidth="1"/>
    <col min="10908" max="10909" width="10.7109375" style="231"/>
    <col min="10910" max="10910" width="10.7109375" style="231" customWidth="1"/>
    <col min="10911" max="10913" width="10.7109375" style="231"/>
    <col min="10914" max="10914" width="10.7109375" style="231" customWidth="1"/>
    <col min="10915" max="10917" width="10.7109375" style="231"/>
    <col min="10918" max="10918" width="10.7109375" style="231" customWidth="1"/>
    <col min="10919" max="10919" width="10.7109375" style="231"/>
    <col min="10920" max="10922" width="10.7109375" style="231" customWidth="1"/>
    <col min="10923" max="10926" width="10.7109375" style="231"/>
    <col min="10927" max="10927" width="10.7109375" style="231" customWidth="1"/>
    <col min="10928" max="10928" width="10.7109375" style="231"/>
    <col min="10929" max="10930" width="10.7109375" style="231" customWidth="1"/>
    <col min="10931" max="10931" width="10.7109375" style="231"/>
    <col min="10932" max="10933" width="10.7109375" style="231" customWidth="1"/>
    <col min="10934" max="10935" width="10.7109375" style="231"/>
    <col min="10936" max="10936" width="10.7109375" style="231" customWidth="1"/>
    <col min="10937" max="10937" width="10.7109375" style="231"/>
    <col min="10938" max="10939" width="10.7109375" style="231" customWidth="1"/>
    <col min="10940" max="10940" width="10.7109375" style="231"/>
    <col min="10941" max="10941" width="10.7109375" style="231" customWidth="1"/>
    <col min="10942" max="10943" width="10.7109375" style="231"/>
    <col min="10944" max="10944" width="10.7109375" style="231" customWidth="1"/>
    <col min="10945" max="10946" width="10.7109375" style="231"/>
    <col min="10947" max="10949" width="10.7109375" style="231" customWidth="1"/>
    <col min="10950" max="10951" width="10.7109375" style="231"/>
    <col min="10952" max="10954" width="10.7109375" style="231" customWidth="1"/>
    <col min="10955" max="10955" width="10.7109375" style="231"/>
    <col min="10956" max="10956" width="10.7109375" style="231" customWidth="1"/>
    <col min="10957" max="10959" width="10.7109375" style="231"/>
    <col min="10960" max="10960" width="10.7109375" style="231" customWidth="1"/>
    <col min="10961" max="10966" width="10.7109375" style="231"/>
    <col min="10967" max="10969" width="10.7109375" style="231" customWidth="1"/>
    <col min="10970" max="10970" width="10.7109375" style="231"/>
    <col min="10971" max="10971" width="10.7109375" style="231" customWidth="1"/>
    <col min="10972" max="10972" width="10.7109375" style="231"/>
    <col min="10973" max="10976" width="10.7109375" style="231" customWidth="1"/>
    <col min="10977" max="10977" width="10.7109375" style="231"/>
    <col min="10978" max="10979" width="10.7109375" style="231" customWidth="1"/>
    <col min="10980" max="10980" width="10.7109375" style="231"/>
    <col min="10981" max="10984" width="10.7109375" style="231" customWidth="1"/>
    <col min="10985" max="10985" width="10.7109375" style="231"/>
    <col min="10986" max="10987" width="10.7109375" style="231" customWidth="1"/>
    <col min="10988" max="10988" width="10.7109375" style="231"/>
    <col min="10989" max="10992" width="10.7109375" style="231" customWidth="1"/>
    <col min="10993" max="10993" width="10.7109375" style="231"/>
    <col min="10994" max="10995" width="10.7109375" style="231" customWidth="1"/>
    <col min="10996" max="10996" width="10.7109375" style="231"/>
    <col min="10997" max="10999" width="10.7109375" style="231" customWidth="1"/>
    <col min="11000" max="11001" width="10.7109375" style="231"/>
    <col min="11002" max="11003" width="10.7109375" style="231" customWidth="1"/>
    <col min="11004" max="11004" width="10.7109375" style="231"/>
    <col min="11005" max="11008" width="10.7109375" style="231" customWidth="1"/>
    <col min="11009" max="11009" width="10.7109375" style="231"/>
    <col min="11010" max="11011" width="10.7109375" style="231" customWidth="1"/>
    <col min="11012" max="11012" width="10.7109375" style="231"/>
    <col min="11013" max="11018" width="10.7109375" style="231" customWidth="1"/>
    <col min="11019" max="11022" width="10.7109375" style="231"/>
    <col min="11023" max="11024" width="10.7109375" style="231" customWidth="1"/>
    <col min="11025" max="11026" width="10.7109375" style="231"/>
    <col min="11027" max="11027" width="10.7109375" style="231" customWidth="1"/>
    <col min="11028" max="11028" width="10.7109375" style="231"/>
    <col min="11029" max="11029" width="10.7109375" style="231" customWidth="1"/>
    <col min="11030" max="11031" width="10.7109375" style="231"/>
    <col min="11032" max="11032" width="10.7109375" style="231" customWidth="1"/>
    <col min="11033" max="11033" width="10.7109375" style="231"/>
    <col min="11034" max="11034" width="10.7109375" style="231" customWidth="1"/>
    <col min="11035" max="11035" width="10.7109375" style="231"/>
    <col min="11036" max="11037" width="10.7109375" style="231" customWidth="1"/>
    <col min="11038" max="11039" width="10.7109375" style="231"/>
    <col min="11040" max="11040" width="10.7109375" style="231" customWidth="1"/>
    <col min="11041" max="11041" width="10.7109375" style="231"/>
    <col min="11042" max="11043" width="10.7109375" style="231" customWidth="1"/>
    <col min="11044" max="11047" width="10.7109375" style="231"/>
    <col min="11048" max="11049" width="10.7109375" style="231" customWidth="1"/>
    <col min="11050" max="11054" width="10.7109375" style="231"/>
    <col min="11055" max="11056" width="10.7109375" style="231" customWidth="1"/>
    <col min="11057" max="11058" width="10.7109375" style="231"/>
    <col min="11059" max="11061" width="10.7109375" style="231" customWidth="1"/>
    <col min="11062" max="11063" width="10.7109375" style="231"/>
    <col min="11064" max="11064" width="10.7109375" style="231" customWidth="1"/>
    <col min="11065" max="11068" width="10.7109375" style="231"/>
    <col min="11069" max="11069" width="10.7109375" style="231" customWidth="1"/>
    <col min="11070" max="11086" width="10.7109375" style="231"/>
    <col min="11087" max="11087" width="10.7109375" style="231" customWidth="1"/>
    <col min="11088" max="11089" width="10.7109375" style="231"/>
    <col min="11090" max="11093" width="10.7109375" style="231" customWidth="1"/>
    <col min="11094" max="11095" width="10.7109375" style="231"/>
    <col min="11096" max="11100" width="10.7109375" style="231" customWidth="1"/>
    <col min="11101" max="11103" width="10.7109375" style="231"/>
    <col min="11104" max="11108" width="10.7109375" style="231" customWidth="1"/>
    <col min="11109" max="11111" width="10.7109375" style="231"/>
    <col min="11112" max="11114" width="10.7109375" style="231" customWidth="1"/>
    <col min="11115" max="11116" width="10.7109375" style="231"/>
    <col min="11117" max="11117" width="10.7109375" style="231" customWidth="1"/>
    <col min="11118" max="11119" width="10.7109375" style="231"/>
    <col min="11120" max="11120" width="10.7109375" style="231" customWidth="1"/>
    <col min="11121" max="11121" width="10.7109375" style="231"/>
    <col min="11122" max="11122" width="10.7109375" style="231" customWidth="1"/>
    <col min="11123" max="11123" width="10.7109375" style="231"/>
    <col min="11124" max="11125" width="10.7109375" style="231" customWidth="1"/>
    <col min="11126" max="11127" width="10.7109375" style="231"/>
    <col min="11128" max="11129" width="10.7109375" style="231" customWidth="1"/>
    <col min="11130" max="11132" width="10.7109375" style="231"/>
    <col min="11133" max="11133" width="10.7109375" style="231" customWidth="1"/>
    <col min="11134" max="11134" width="10.7109375" style="231"/>
    <col min="11135" max="11140" width="10.7109375" style="231" customWidth="1"/>
    <col min="11141" max="11143" width="10.7109375" style="231"/>
    <col min="11144" max="11145" width="10.7109375" style="231" customWidth="1"/>
    <col min="11146" max="11146" width="10.7109375" style="231"/>
    <col min="11147" max="11148" width="10.7109375" style="231" customWidth="1"/>
    <col min="11149" max="11151" width="10.7109375" style="231"/>
    <col min="11152" max="11152" width="10.7109375" style="231" customWidth="1"/>
    <col min="11153" max="11154" width="10.7109375" style="231"/>
    <col min="11155" max="11155" width="10.7109375" style="231" customWidth="1"/>
    <col min="11156" max="11160" width="10.7109375" style="231"/>
    <col min="11161" max="11161" width="10.7109375" style="231" customWidth="1"/>
    <col min="11162" max="11167" width="10.7109375" style="231"/>
    <col min="11168" max="11168" width="10.7109375" style="231" customWidth="1"/>
    <col min="11169" max="11169" width="10.7109375" style="231"/>
    <col min="11170" max="11170" width="10.7109375" style="231" customWidth="1"/>
    <col min="11171" max="11171" width="10.7109375" style="231"/>
    <col min="11172" max="11172" width="10.7109375" style="231" customWidth="1"/>
    <col min="11173" max="11182" width="10.7109375" style="231"/>
    <col min="11183" max="11183" width="10.7109375" style="231" customWidth="1"/>
    <col min="11184" max="11184" width="10.7109375" style="231"/>
    <col min="11185" max="11188" width="10.7109375" style="231" customWidth="1"/>
    <col min="11189" max="11189" width="10.7109375" style="231"/>
    <col min="11190" max="11190" width="10.7109375" style="231" customWidth="1"/>
    <col min="11191" max="11191" width="10.7109375" style="231"/>
    <col min="11192" max="11192" width="10.7109375" style="231" customWidth="1"/>
    <col min="11193" max="11193" width="10.7109375" style="231"/>
    <col min="11194" max="11197" width="10.7109375" style="231" customWidth="1"/>
    <col min="11198" max="11199" width="10.7109375" style="231"/>
    <col min="11200" max="11204" width="10.7109375" style="231" customWidth="1"/>
    <col min="11205" max="11207" width="10.7109375" style="231"/>
    <col min="11208" max="11208" width="10.7109375" style="231" customWidth="1"/>
    <col min="11209" max="11209" width="10.7109375" style="231"/>
    <col min="11210" max="11210" width="10.7109375" style="231" customWidth="1"/>
    <col min="11211" max="11211" width="10.7109375" style="231"/>
    <col min="11212" max="11213" width="10.7109375" style="231" customWidth="1"/>
    <col min="11214" max="11215" width="10.7109375" style="231"/>
    <col min="11216" max="11217" width="10.7109375" style="231" customWidth="1"/>
    <col min="11218" max="11218" width="10.7109375" style="231"/>
    <col min="11219" max="11220" width="10.7109375" style="231" customWidth="1"/>
    <col min="11221" max="11223" width="10.7109375" style="231"/>
    <col min="11224" max="11224" width="10.7109375" style="231" customWidth="1"/>
    <col min="11225" max="11226" width="10.7109375" style="231"/>
    <col min="11227" max="11227" width="10.7109375" style="231" customWidth="1"/>
    <col min="11228" max="11229" width="10.7109375" style="231"/>
    <col min="11230" max="11230" width="10.7109375" style="231" customWidth="1"/>
    <col min="11231" max="11232" width="10.7109375" style="231"/>
    <col min="11233" max="11233" width="10.7109375" style="231" customWidth="1"/>
    <col min="11234" max="11239" width="10.7109375" style="231"/>
    <col min="11240" max="11240" width="10.7109375" style="231" customWidth="1"/>
    <col min="11241" max="11243" width="10.7109375" style="231"/>
    <col min="11244" max="11244" width="10.7109375" style="231" customWidth="1"/>
    <col min="11245" max="11247" width="10.7109375" style="231"/>
    <col min="11248" max="11248" width="10.7109375" style="231" customWidth="1"/>
    <col min="11249" max="11252" width="10.7109375" style="231"/>
    <col min="11253" max="11253" width="10.7109375" style="231" customWidth="1"/>
    <col min="11254" max="11256" width="10.7109375" style="231"/>
    <col min="11257" max="11257" width="10.7109375" style="231" customWidth="1"/>
    <col min="11258" max="11260" width="10.7109375" style="231"/>
    <col min="11261" max="11261" width="10.7109375" style="231" customWidth="1"/>
    <col min="11262" max="11262" width="10.7109375" style="231"/>
    <col min="11263" max="11268" width="10.7109375" style="231" customWidth="1"/>
    <col min="11269" max="11269" width="10.7109375" style="231"/>
    <col min="11270" max="11270" width="10.7109375" style="231" customWidth="1"/>
    <col min="11271" max="11271" width="10.7109375" style="231"/>
    <col min="11272" max="11272" width="10.7109375" style="231" customWidth="1"/>
    <col min="11273" max="11273" width="10.7109375" style="231"/>
    <col min="11274" max="11274" width="10.7109375" style="231" customWidth="1"/>
    <col min="11275" max="11276" width="10.7109375" style="231"/>
    <col min="11277" max="11278" width="10.7109375" style="231" customWidth="1"/>
    <col min="11279" max="11279" width="10.7109375" style="231"/>
    <col min="11280" max="11280" width="10.7109375" style="231" customWidth="1"/>
    <col min="11281" max="11281" width="10.7109375" style="231"/>
    <col min="11282" max="11282" width="10.7109375" style="231" customWidth="1"/>
    <col min="11283" max="11283" width="10.7109375" style="231"/>
    <col min="11284" max="11284" width="10.7109375" style="231" customWidth="1"/>
    <col min="11285" max="11285" width="10.7109375" style="231"/>
    <col min="11286" max="11286" width="10.7109375" style="231" customWidth="1"/>
    <col min="11287" max="11287" width="10.7109375" style="231"/>
    <col min="11288" max="11289" width="10.7109375" style="231" customWidth="1"/>
    <col min="11290" max="11292" width="10.7109375" style="231"/>
    <col min="11293" max="11293" width="10.7109375" style="231" customWidth="1"/>
    <col min="11294" max="11295" width="10.7109375" style="231"/>
    <col min="11296" max="11296" width="10.7109375" style="231" customWidth="1"/>
    <col min="11297" max="11297" width="10.7109375" style="231"/>
    <col min="11298" max="11301" width="10.7109375" style="231" customWidth="1"/>
    <col min="11302" max="11303" width="10.7109375" style="231"/>
    <col min="11304" max="11306" width="10.7109375" style="231" customWidth="1"/>
    <col min="11307" max="11307" width="10.7109375" style="231"/>
    <col min="11308" max="11309" width="10.7109375" style="231" customWidth="1"/>
    <col min="11310" max="11311" width="10.7109375" style="231"/>
    <col min="11312" max="11313" width="10.7109375" style="231" customWidth="1"/>
    <col min="11314" max="11314" width="10.7109375" style="231"/>
    <col min="11315" max="11315" width="10.7109375" style="231" customWidth="1"/>
    <col min="11316" max="11316" width="10.7109375" style="231"/>
    <col min="11317" max="11317" width="10.7109375" style="231" customWidth="1"/>
    <col min="11318" max="11319" width="10.7109375" style="231"/>
    <col min="11320" max="11320" width="10.7109375" style="231" customWidth="1"/>
    <col min="11321" max="11321" width="10.7109375" style="231"/>
    <col min="11322" max="11322" width="10.7109375" style="231" customWidth="1"/>
    <col min="11323" max="11345" width="10.7109375" style="231"/>
    <col min="11346" max="11346" width="10.7109375" style="231" customWidth="1"/>
    <col min="11347" max="11347" width="10.7109375" style="231"/>
    <col min="11348" max="11349" width="10.7109375" style="231" customWidth="1"/>
    <col min="11350" max="11351" width="10.7109375" style="231"/>
    <col min="11352" max="11353" width="10.7109375" style="231" customWidth="1"/>
    <col min="11354" max="11356" width="10.7109375" style="231"/>
    <col min="11357" max="11357" width="10.7109375" style="231" customWidth="1"/>
    <col min="11358" max="11359" width="10.7109375" style="231"/>
    <col min="11360" max="11360" width="10.7109375" style="231" customWidth="1"/>
    <col min="11361" max="11362" width="10.7109375" style="231"/>
    <col min="11363" max="11363" width="10.7109375" style="231" customWidth="1"/>
    <col min="11364" max="11365" width="10.7109375" style="231"/>
    <col min="11366" max="11366" width="10.7109375" style="231" customWidth="1"/>
    <col min="11367" max="11367" width="10.7109375" style="231"/>
    <col min="11368" max="11368" width="10.7109375" style="231" customWidth="1"/>
    <col min="11369" max="11372" width="10.7109375" style="231"/>
    <col min="11373" max="11373" width="10.7109375" style="231" customWidth="1"/>
    <col min="11374" max="11375" width="10.7109375" style="231"/>
    <col min="11376" max="11376" width="10.7109375" style="231" customWidth="1"/>
    <col min="11377" max="11379" width="10.7109375" style="231"/>
    <col min="11380" max="11381" width="10.7109375" style="231" customWidth="1"/>
    <col min="11382" max="11383" width="10.7109375" style="231"/>
    <col min="11384" max="11384" width="10.7109375" style="231" customWidth="1"/>
    <col min="11385" max="11385" width="10.7109375" style="231"/>
    <col min="11386" max="11386" width="10.7109375" style="231" customWidth="1"/>
    <col min="11387" max="11387" width="10.7109375" style="231"/>
    <col min="11388" max="11389" width="10.7109375" style="231" customWidth="1"/>
    <col min="11390" max="11391" width="10.7109375" style="231"/>
    <col min="11392" max="11393" width="10.7109375" style="231" customWidth="1"/>
    <col min="11394" max="11394" width="10.7109375" style="231"/>
    <col min="11395" max="11396" width="10.7109375" style="231" customWidth="1"/>
    <col min="11397" max="11397" width="10.7109375" style="231"/>
    <col min="11398" max="11398" width="10.7109375" style="231" customWidth="1"/>
    <col min="11399" max="11399" width="10.7109375" style="231"/>
    <col min="11400" max="11400" width="10.7109375" style="231" customWidth="1"/>
    <col min="11401" max="11401" width="10.7109375" style="231"/>
    <col min="11402" max="11402" width="10.7109375" style="231" customWidth="1"/>
    <col min="11403" max="11403" width="10.7109375" style="231"/>
    <col min="11404" max="11405" width="10.7109375" style="231" customWidth="1"/>
    <col min="11406" max="11407" width="10.7109375" style="231"/>
    <col min="11408" max="11408" width="10.7109375" style="231" customWidth="1"/>
    <col min="11409" max="11410" width="10.7109375" style="231"/>
    <col min="11411" max="11412" width="10.7109375" style="231" customWidth="1"/>
    <col min="11413" max="11416" width="10.7109375" style="231"/>
    <col min="11417" max="11417" width="10.7109375" style="231" customWidth="1"/>
    <col min="11418" max="11423" width="10.7109375" style="231"/>
    <col min="11424" max="11424" width="10.7109375" style="231" customWidth="1"/>
    <col min="11425" max="11425" width="10.7109375" style="231"/>
    <col min="11426" max="11426" width="10.7109375" style="231" customWidth="1"/>
    <col min="11427" max="11438" width="10.7109375" style="231"/>
    <col min="11439" max="11439" width="10.7109375" style="231" customWidth="1"/>
    <col min="11440" max="11442" width="10.7109375" style="231"/>
    <col min="11443" max="11443" width="10.7109375" style="231" customWidth="1"/>
    <col min="11444" max="11444" width="10.7109375" style="231"/>
    <col min="11445" max="11445" width="10.7109375" style="231" customWidth="1"/>
    <col min="11446" max="11447" width="10.7109375" style="231"/>
    <col min="11448" max="11448" width="10.7109375" style="231" customWidth="1"/>
    <col min="11449" max="11452" width="10.7109375" style="231"/>
    <col min="11453" max="11453" width="10.7109375" style="231" customWidth="1"/>
    <col min="11454" max="11455" width="10.7109375" style="231"/>
    <col min="11456" max="11456" width="10.7109375" style="231" customWidth="1"/>
    <col min="11457" max="11458" width="10.7109375" style="231"/>
    <col min="11459" max="11459" width="10.7109375" style="231" customWidth="1"/>
    <col min="11460" max="11463" width="10.7109375" style="231"/>
    <col min="11464" max="11465" width="10.7109375" style="231" customWidth="1"/>
    <col min="11466" max="11470" width="10.7109375" style="231"/>
    <col min="11471" max="11473" width="10.7109375" style="231" customWidth="1"/>
    <col min="11474" max="11474" width="10.7109375" style="231"/>
    <col min="11475" max="11475" width="10.7109375" style="231" customWidth="1"/>
    <col min="11476" max="11476" width="10.7109375" style="231"/>
    <col min="11477" max="11477" width="10.7109375" style="231" customWidth="1"/>
    <col min="11478" max="11478" width="10.7109375" style="231"/>
    <col min="11479" max="11480" width="10.7109375" style="231" customWidth="1"/>
    <col min="11481" max="11482" width="10.7109375" style="231"/>
    <col min="11483" max="11483" width="10.7109375" style="231" customWidth="1"/>
    <col min="11484" max="11485" width="10.7109375" style="231"/>
    <col min="11486" max="11486" width="10.7109375" style="231" customWidth="1"/>
    <col min="11487" max="11494" width="10.7109375" style="231"/>
    <col min="11495" max="11496" width="10.7109375" style="231" customWidth="1"/>
    <col min="11497" max="11497" width="10.7109375" style="231"/>
    <col min="11498" max="11499" width="10.7109375" style="231" customWidth="1"/>
    <col min="11500" max="11501" width="10.7109375" style="231"/>
    <col min="11502" max="11502" width="10.7109375" style="231" customWidth="1"/>
    <col min="11503" max="11503" width="10.7109375" style="231"/>
    <col min="11504" max="11504" width="10.7109375" style="231" customWidth="1"/>
    <col min="11505" max="11505" width="10.7109375" style="231"/>
    <col min="11506" max="11506" width="10.7109375" style="231" customWidth="1"/>
    <col min="11507" max="11508" width="10.7109375" style="231"/>
    <col min="11509" max="11509" width="10.7109375" style="231" customWidth="1"/>
    <col min="11510" max="11510" width="10.7109375" style="231"/>
    <col min="11511" max="11512" width="10.7109375" style="231" customWidth="1"/>
    <col min="11513" max="11513" width="10.7109375" style="231"/>
    <col min="11514" max="11514" width="10.7109375" style="231" customWidth="1"/>
    <col min="11515" max="11516" width="10.7109375" style="231"/>
    <col min="11517" max="11517" width="10.7109375" style="231" customWidth="1"/>
    <col min="11518" max="11518" width="10.7109375" style="231"/>
    <col min="11519" max="11520" width="10.7109375" style="231" customWidth="1"/>
    <col min="11521" max="11521" width="10.7109375" style="231"/>
    <col min="11522" max="11522" width="10.7109375" style="231" customWidth="1"/>
    <col min="11523" max="11526" width="10.7109375" style="231"/>
    <col min="11527" max="11528" width="10.7109375" style="231" customWidth="1"/>
    <col min="11529" max="11529" width="10.7109375" style="231"/>
    <col min="11530" max="11530" width="10.7109375" style="231" customWidth="1"/>
    <col min="11531" max="11532" width="10.7109375" style="231"/>
    <col min="11533" max="11533" width="10.7109375" style="231" customWidth="1"/>
    <col min="11534" max="11535" width="10.7109375" style="231"/>
    <col min="11536" max="11536" width="10.7109375" style="231" customWidth="1"/>
    <col min="11537" max="11543" width="10.7109375" style="231"/>
    <col min="11544" max="11545" width="10.7109375" style="231" customWidth="1"/>
    <col min="11546" max="11546" width="10.7109375" style="231"/>
    <col min="11547" max="11548" width="10.7109375" style="231" customWidth="1"/>
    <col min="11549" max="11551" width="10.7109375" style="231"/>
    <col min="11552" max="11552" width="10.7109375" style="231" customWidth="1"/>
    <col min="11553" max="11553" width="10.7109375" style="231"/>
    <col min="11554" max="11554" width="10.7109375" style="231" customWidth="1"/>
    <col min="11555" max="11559" width="10.7109375" style="231"/>
    <col min="11560" max="11560" width="10.7109375" style="231" customWidth="1"/>
    <col min="11561" max="11561" width="10.7109375" style="231"/>
    <col min="11562" max="11562" width="10.7109375" style="231" customWidth="1"/>
    <col min="11563" max="11567" width="10.7109375" style="231"/>
    <col min="11568" max="11568" width="10.7109375" style="231" customWidth="1"/>
    <col min="11569" max="11575" width="10.7109375" style="231"/>
    <col min="11576" max="11576" width="10.7109375" style="231" customWidth="1"/>
    <col min="11577" max="11578" width="10.7109375" style="231"/>
    <col min="11579" max="11579" width="10.7109375" style="231" customWidth="1"/>
    <col min="11580" max="11580" width="10.7109375" style="231"/>
    <col min="11581" max="11581" width="10.7109375" style="231" customWidth="1"/>
    <col min="11582" max="11583" width="10.7109375" style="231"/>
    <col min="11584" max="11584" width="10.7109375" style="231" customWidth="1"/>
    <col min="11585" max="11586" width="10.7109375" style="231"/>
    <col min="11587" max="11587" width="10.7109375" style="231" customWidth="1"/>
    <col min="11588" max="11588" width="10.7109375" style="231"/>
    <col min="11589" max="11589" width="10.7109375" style="231" customWidth="1"/>
    <col min="11590" max="11591" width="10.7109375" style="231"/>
    <col min="11592" max="11592" width="10.7109375" style="231" customWidth="1"/>
    <col min="11593" max="11593" width="10.7109375" style="231"/>
    <col min="11594" max="11595" width="10.7109375" style="231" customWidth="1"/>
    <col min="11596" max="11596" width="10.7109375" style="231"/>
    <col min="11597" max="11597" width="10.7109375" style="231" customWidth="1"/>
    <col min="11598" max="11599" width="10.7109375" style="231"/>
    <col min="11600" max="11600" width="10.7109375" style="231" customWidth="1"/>
    <col min="11601" max="11604" width="10.7109375" style="231"/>
    <col min="11605" max="11605" width="10.7109375" style="231" customWidth="1"/>
    <col min="11606" max="11607" width="10.7109375" style="231"/>
    <col min="11608" max="11608" width="10.7109375" style="231" customWidth="1"/>
    <col min="11609" max="11609" width="10.7109375" style="231"/>
    <col min="11610" max="11610" width="10.7109375" style="231" customWidth="1"/>
    <col min="11611" max="11615" width="10.7109375" style="231"/>
    <col min="11616" max="11616" width="10.7109375" style="231" customWidth="1"/>
    <col min="11617" max="11620" width="10.7109375" style="231"/>
    <col min="11621" max="11621" width="10.7109375" style="231" customWidth="1"/>
    <col min="11622" max="11623" width="10.7109375" style="231"/>
    <col min="11624" max="11624" width="10.7109375" style="231" customWidth="1"/>
    <col min="11625" max="11626" width="10.7109375" style="231"/>
    <col min="11627" max="11627" width="10.7109375" style="231" customWidth="1"/>
    <col min="11628" max="11631" width="10.7109375" style="231"/>
    <col min="11632" max="11634" width="10.7109375" style="231" customWidth="1"/>
    <col min="11635" max="11639" width="10.7109375" style="231"/>
    <col min="11640" max="11640" width="10.7109375" style="231" customWidth="1"/>
    <col min="11641" max="11641" width="10.7109375" style="231"/>
    <col min="11642" max="11643" width="10.7109375" style="231" customWidth="1"/>
    <col min="11644" max="11644" width="10.7109375" style="231"/>
    <col min="11645" max="11645" width="10.7109375" style="231" customWidth="1"/>
    <col min="11646" max="11647" width="10.7109375" style="231"/>
    <col min="11648" max="11649" width="10.7109375" style="231" customWidth="1"/>
    <col min="11650" max="11652" width="10.7109375" style="231"/>
    <col min="11653" max="11653" width="10.7109375" style="231" customWidth="1"/>
    <col min="11654" max="11655" width="10.7109375" style="231"/>
    <col min="11656" max="11658" width="10.7109375" style="231" customWidth="1"/>
    <col min="11659" max="11659" width="10.7109375" style="231"/>
    <col min="11660" max="11660" width="10.7109375" style="231" customWidth="1"/>
    <col min="11661" max="11663" width="10.7109375" style="231"/>
    <col min="11664" max="11664" width="10.7109375" style="231" customWidth="1"/>
    <col min="11665" max="11671" width="10.7109375" style="231"/>
    <col min="11672" max="11672" width="10.7109375" style="231" customWidth="1"/>
    <col min="11673" max="11675" width="10.7109375" style="231"/>
    <col min="11676" max="11676" width="10.7109375" style="231" customWidth="1"/>
    <col min="11677" max="11679" width="10.7109375" style="231"/>
    <col min="11680" max="11680" width="10.7109375" style="231" customWidth="1"/>
    <col min="11681" max="11683" width="10.7109375" style="231"/>
    <col min="11684" max="11684" width="10.7109375" style="231" customWidth="1"/>
    <col min="11685" max="11687" width="10.7109375" style="231"/>
    <col min="11688" max="11688" width="10.7109375" style="231" customWidth="1"/>
    <col min="11689" max="11691" width="10.7109375" style="231"/>
    <col min="11692" max="11692" width="10.7109375" style="231" customWidth="1"/>
    <col min="11693" max="11695" width="10.7109375" style="231"/>
    <col min="11696" max="11697" width="10.7109375" style="231" customWidth="1"/>
    <col min="11698" max="11703" width="10.7109375" style="231"/>
    <col min="11704" max="11704" width="10.7109375" style="231" customWidth="1"/>
    <col min="11705" max="11706" width="10.7109375" style="231"/>
    <col min="11707" max="11708" width="10.7109375" style="231" customWidth="1"/>
    <col min="11709" max="11711" width="10.7109375" style="231"/>
    <col min="11712" max="11713" width="10.7109375" style="231" customWidth="1"/>
    <col min="11714" max="11718" width="10.7109375" style="231"/>
    <col min="11719" max="11720" width="10.7109375" style="231" customWidth="1"/>
    <col min="11721" max="11724" width="10.7109375" style="231"/>
    <col min="11725" max="11725" width="10.7109375" style="231" customWidth="1"/>
    <col min="11726" max="11726" width="10.7109375" style="231"/>
    <col min="11727" max="11728" width="10.7109375" style="231" customWidth="1"/>
    <col min="11729" max="11732" width="10.7109375" style="231"/>
    <col min="11733" max="11733" width="10.7109375" style="231" customWidth="1"/>
    <col min="11734" max="11735" width="10.7109375" style="231"/>
    <col min="11736" max="11737" width="10.7109375" style="231" customWidth="1"/>
    <col min="11738" max="11740" width="10.7109375" style="231"/>
    <col min="11741" max="11741" width="10.7109375" style="231" customWidth="1"/>
    <col min="11742" max="11744" width="10.7109375" style="231"/>
    <col min="11745" max="11746" width="10.7109375" style="231" customWidth="1"/>
    <col min="11747" max="11747" width="10.7109375" style="231"/>
    <col min="11748" max="11748" width="10.7109375" style="231" customWidth="1"/>
    <col min="11749" max="11753" width="10.7109375" style="231"/>
    <col min="11754" max="11754" width="10.7109375" style="231" customWidth="1"/>
    <col min="11755" max="11759" width="10.7109375" style="231"/>
    <col min="11760" max="11760" width="10.7109375" style="231" customWidth="1"/>
    <col min="11761" max="11764" width="10.7109375" style="231"/>
    <col min="11765" max="11765" width="10.7109375" style="231" customWidth="1"/>
    <col min="11766" max="11767" width="10.7109375" style="231"/>
    <col min="11768" max="11768" width="10.7109375" style="231" customWidth="1"/>
    <col min="11769" max="11769" width="10.7109375" style="231"/>
    <col min="11770" max="11770" width="10.7109375" style="231" customWidth="1"/>
    <col min="11771" max="11771" width="10.7109375" style="231"/>
    <col min="11772" max="11773" width="10.7109375" style="231" customWidth="1"/>
    <col min="11774" max="11775" width="10.7109375" style="231"/>
    <col min="11776" max="11776" width="10.7109375" style="231" customWidth="1"/>
    <col min="11777" max="11783" width="10.7109375" style="231"/>
    <col min="11784" max="11785" width="10.7109375" style="231" customWidth="1"/>
    <col min="11786" max="11791" width="10.7109375" style="231"/>
    <col min="11792" max="11792" width="10.7109375" style="231" customWidth="1"/>
    <col min="11793" max="11796" width="10.7109375" style="231"/>
    <col min="11797" max="11797" width="10.7109375" style="231" customWidth="1"/>
    <col min="11798" max="11799" width="10.7109375" style="231"/>
    <col min="11800" max="11800" width="10.7109375" style="231" customWidth="1"/>
    <col min="11801" max="11804" width="10.7109375" style="231"/>
    <col min="11805" max="11805" width="10.7109375" style="231" customWidth="1"/>
    <col min="11806" max="11807" width="10.7109375" style="231"/>
    <col min="11808" max="11808" width="10.7109375" style="231" customWidth="1"/>
    <col min="11809" max="11812" width="10.7109375" style="231"/>
    <col min="11813" max="11813" width="10.7109375" style="231" customWidth="1"/>
    <col min="11814" max="11815" width="10.7109375" style="231"/>
    <col min="11816" max="11816" width="10.7109375" style="231" customWidth="1"/>
    <col min="11817" max="11817" width="10.7109375" style="231"/>
    <col min="11818" max="11819" width="10.7109375" style="231" customWidth="1"/>
    <col min="11820" max="11823" width="10.7109375" style="231"/>
    <col min="11824" max="11824" width="10.7109375" style="231" customWidth="1"/>
    <col min="11825" max="11826" width="10.7109375" style="231"/>
    <col min="11827" max="11827" width="10.7109375" style="231" customWidth="1"/>
    <col min="11828" max="11830" width="10.7109375" style="231"/>
    <col min="11831" max="11832" width="10.7109375" style="231" customWidth="1"/>
    <col min="11833" max="11833" width="10.7109375" style="231"/>
    <col min="11834" max="11835" width="10.7109375" style="231" customWidth="1"/>
    <col min="11836" max="11836" width="10.7109375" style="231"/>
    <col min="11837" max="11840" width="10.7109375" style="231" customWidth="1"/>
    <col min="11841" max="11841" width="10.7109375" style="231"/>
    <col min="11842" max="11842" width="10.7109375" style="231" customWidth="1"/>
    <col min="11843" max="11844" width="10.7109375" style="231"/>
    <col min="11845" max="11846" width="10.7109375" style="231" customWidth="1"/>
    <col min="11847" max="11847" width="10.7109375" style="231"/>
    <col min="11848" max="11848" width="10.7109375" style="231" customWidth="1"/>
    <col min="11849" max="11849" width="10.7109375" style="231"/>
    <col min="11850" max="11850" width="10.7109375" style="231" customWidth="1"/>
    <col min="11851" max="11855" width="10.7109375" style="231"/>
    <col min="11856" max="11856" width="10.7109375" style="231" customWidth="1"/>
    <col min="11857" max="11860" width="10.7109375" style="231"/>
    <col min="11861" max="11861" width="10.7109375" style="231" customWidth="1"/>
    <col min="11862" max="11868" width="10.7109375" style="231"/>
    <col min="11869" max="11869" width="10.7109375" style="231" customWidth="1"/>
    <col min="11870" max="11873" width="10.7109375" style="231"/>
    <col min="11874" max="11874" width="10.7109375" style="231" customWidth="1"/>
    <col min="11875" max="11875" width="10.7109375" style="231"/>
    <col min="11876" max="11876" width="10.7109375" style="231" customWidth="1"/>
    <col min="11877" max="11895" width="10.7109375" style="231"/>
    <col min="11896" max="11896" width="10.7109375" style="231" customWidth="1"/>
    <col min="11897" max="11903" width="10.7109375" style="231"/>
    <col min="11904" max="11905" width="10.7109375" style="231" customWidth="1"/>
    <col min="11906" max="11906" width="10.7109375" style="231"/>
    <col min="11907" max="11908" width="10.7109375" style="231" customWidth="1"/>
    <col min="11909" max="11911" width="10.7109375" style="231"/>
    <col min="11912" max="11912" width="10.7109375" style="231" customWidth="1"/>
    <col min="11913" max="11919" width="10.7109375" style="231"/>
    <col min="11920" max="11920" width="10.7109375" style="231" customWidth="1"/>
    <col min="11921" max="11921" width="10.7109375" style="231"/>
    <col min="11922" max="11924" width="10.7109375" style="231" customWidth="1"/>
    <col min="11925" max="11927" width="10.7109375" style="231"/>
    <col min="11928" max="11928" width="10.7109375" style="231" customWidth="1"/>
    <col min="11929" max="11935" width="10.7109375" style="231"/>
    <col min="11936" max="11936" width="10.7109375" style="231" customWidth="1"/>
    <col min="11937" max="11940" width="10.7109375" style="231"/>
    <col min="11941" max="11941" width="10.7109375" style="231" customWidth="1"/>
    <col min="11942" max="11943" width="10.7109375" style="231"/>
    <col min="11944" max="11944" width="10.7109375" style="231" customWidth="1"/>
    <col min="11945" max="11945" width="10.7109375" style="231"/>
    <col min="11946" max="11946" width="10.7109375" style="231" customWidth="1"/>
    <col min="11947" max="11948" width="10.7109375" style="231"/>
    <col min="11949" max="11949" width="10.7109375" style="231" customWidth="1"/>
    <col min="11950" max="11951" width="10.7109375" style="231"/>
    <col min="11952" max="11952" width="10.7109375" style="231" customWidth="1"/>
    <col min="11953" max="11959" width="10.7109375" style="231"/>
    <col min="11960" max="11961" width="10.7109375" style="231" customWidth="1"/>
    <col min="11962" max="11967" width="10.7109375" style="231"/>
    <col min="11968" max="11968" width="10.7109375" style="231" customWidth="1"/>
    <col min="11969" max="11969" width="10.7109375" style="231"/>
    <col min="11970" max="11970" width="10.7109375" style="231" customWidth="1"/>
    <col min="11971" max="11971" width="10.7109375" style="231"/>
    <col min="11972" max="11973" width="10.7109375" style="231" customWidth="1"/>
    <col min="11974" max="11975" width="10.7109375" style="231"/>
    <col min="11976" max="11976" width="10.7109375" style="231" customWidth="1"/>
    <col min="11977" max="11979" width="10.7109375" style="231"/>
    <col min="11980" max="11980" width="10.7109375" style="231" customWidth="1"/>
    <col min="11981" max="11983" width="10.7109375" style="231"/>
    <col min="11984" max="11984" width="10.7109375" style="231" customWidth="1"/>
    <col min="11985" max="11988" width="10.7109375" style="231"/>
    <col min="11989" max="11989" width="10.7109375" style="231" customWidth="1"/>
    <col min="11990" max="11991" width="10.7109375" style="231"/>
    <col min="11992" max="11993" width="10.7109375" style="231" customWidth="1"/>
    <col min="11994" max="11994" width="10.7109375" style="231"/>
    <col min="11995" max="11996" width="10.7109375" style="231" customWidth="1"/>
    <col min="11997" max="11999" width="10.7109375" style="231"/>
    <col min="12000" max="12001" width="10.7109375" style="231" customWidth="1"/>
    <col min="12002" max="12006" width="10.7109375" style="231"/>
    <col min="12007" max="12009" width="10.7109375" style="231" customWidth="1"/>
    <col min="12010" max="12010" width="10.7109375" style="231"/>
    <col min="12011" max="12011" width="10.7109375" style="231" customWidth="1"/>
    <col min="12012" max="12012" width="10.7109375" style="231"/>
    <col min="12013" max="12016" width="10.7109375" style="231" customWidth="1"/>
    <col min="12017" max="12018" width="10.7109375" style="231"/>
    <col min="12019" max="12019" width="10.7109375" style="231" customWidth="1"/>
    <col min="12020" max="12023" width="10.7109375" style="231"/>
    <col min="12024" max="12024" width="10.7109375" style="231" customWidth="1"/>
    <col min="12025" max="12028" width="10.7109375" style="231"/>
    <col min="12029" max="12029" width="10.7109375" style="231" customWidth="1"/>
    <col min="12030" max="12030" width="10.7109375" style="231"/>
    <col min="12031" max="12031" width="10.7109375" style="231" customWidth="1"/>
    <col min="12032" max="12046" width="10.7109375" style="231"/>
    <col min="12047" max="12047" width="10.7109375" style="231" customWidth="1"/>
    <col min="12048" max="12050" width="10.7109375" style="231"/>
    <col min="12051" max="12051" width="10.7109375" style="231" customWidth="1"/>
    <col min="12052" max="12052" width="10.7109375" style="231"/>
    <col min="12053" max="12054" width="10.7109375" style="231" customWidth="1"/>
    <col min="12055" max="12055" width="10.7109375" style="231"/>
    <col min="12056" max="12056" width="10.7109375" style="231" customWidth="1"/>
    <col min="12057" max="12057" width="10.7109375" style="231"/>
    <col min="12058" max="12059" width="10.7109375" style="231" customWidth="1"/>
    <col min="12060" max="12060" width="10.7109375" style="231"/>
    <col min="12061" max="12066" width="10.7109375" style="231" customWidth="1"/>
    <col min="12067" max="12070" width="10.7109375" style="231"/>
    <col min="12071" max="12073" width="10.7109375" style="231" customWidth="1"/>
    <col min="12074" max="12074" width="10.7109375" style="231"/>
    <col min="12075" max="12076" width="10.7109375" style="231" customWidth="1"/>
    <col min="12077" max="12079" width="10.7109375" style="231"/>
    <col min="12080" max="12080" width="10.7109375" style="231" customWidth="1"/>
    <col min="12081" max="12081" width="10.7109375" style="231"/>
    <col min="12082" max="12082" width="10.7109375" style="231" customWidth="1"/>
    <col min="12083" max="12083" width="10.7109375" style="231"/>
    <col min="12084" max="12085" width="10.7109375" style="231" customWidth="1"/>
    <col min="12086" max="12087" width="10.7109375" style="231"/>
    <col min="12088" max="12088" width="10.7109375" style="231" customWidth="1"/>
    <col min="12089" max="12089" width="10.7109375" style="231"/>
    <col min="12090" max="12093" width="10.7109375" style="231" customWidth="1"/>
    <col min="12094" max="12095" width="10.7109375" style="231"/>
    <col min="12096" max="12098" width="10.7109375" style="231" customWidth="1"/>
    <col min="12099" max="12100" width="10.7109375" style="231"/>
    <col min="12101" max="12101" width="10.7109375" style="231" customWidth="1"/>
    <col min="12102" max="12103" width="10.7109375" style="231"/>
    <col min="12104" max="12105" width="10.7109375" style="231" customWidth="1"/>
    <col min="12106" max="12110" width="10.7109375" style="231"/>
    <col min="12111" max="12112" width="10.7109375" style="231" customWidth="1"/>
    <col min="12113" max="12119" width="10.7109375" style="231"/>
    <col min="12120" max="12120" width="10.7109375" style="231" customWidth="1"/>
    <col min="12121" max="12123" width="10.7109375" style="231"/>
    <col min="12124" max="12124" width="10.7109375" style="231" customWidth="1"/>
    <col min="12125" max="12129" width="10.7109375" style="231"/>
    <col min="12130" max="12131" width="10.7109375" style="231" customWidth="1"/>
    <col min="12132" max="12142" width="10.7109375" style="231"/>
    <col min="12143" max="12143" width="10.7109375" style="231" customWidth="1"/>
    <col min="12144" max="12148" width="10.7109375" style="231"/>
    <col min="12149" max="12149" width="10.7109375" style="231" customWidth="1"/>
    <col min="12150" max="12150" width="10.7109375" style="231"/>
    <col min="12151" max="12153" width="10.7109375" style="231" customWidth="1"/>
    <col min="12154" max="12154" width="10.7109375" style="231"/>
    <col min="12155" max="12156" width="10.7109375" style="231" customWidth="1"/>
    <col min="12157" max="12159" width="10.7109375" style="231"/>
    <col min="12160" max="12160" width="10.7109375" style="231" customWidth="1"/>
    <col min="12161" max="12161" width="10.7109375" style="231"/>
    <col min="12162" max="12162" width="10.7109375" style="231" customWidth="1"/>
    <col min="12163" max="12163" width="10.7109375" style="231"/>
    <col min="12164" max="12165" width="10.7109375" style="231" customWidth="1"/>
    <col min="12166" max="12167" width="10.7109375" style="231"/>
    <col min="12168" max="12168" width="10.7109375" style="231" customWidth="1"/>
    <col min="12169" max="12169" width="10.7109375" style="231"/>
    <col min="12170" max="12173" width="10.7109375" style="231" customWidth="1"/>
    <col min="12174" max="12175" width="10.7109375" style="231"/>
    <col min="12176" max="12178" width="10.7109375" style="231" customWidth="1"/>
    <col min="12179" max="12180" width="10.7109375" style="231"/>
    <col min="12181" max="12181" width="10.7109375" style="231" customWidth="1"/>
    <col min="12182" max="12183" width="10.7109375" style="231"/>
    <col min="12184" max="12185" width="10.7109375" style="231" customWidth="1"/>
    <col min="12186" max="12190" width="10.7109375" style="231"/>
    <col min="12191" max="12193" width="10.7109375" style="231" customWidth="1"/>
    <col min="12194" max="12194" width="10.7109375" style="231"/>
    <col min="12195" max="12195" width="10.7109375" style="231" customWidth="1"/>
    <col min="12196" max="12196" width="10.7109375" style="231"/>
    <col min="12197" max="12200" width="10.7109375" style="231" customWidth="1"/>
    <col min="12201" max="12201" width="10.7109375" style="231"/>
    <col min="12202" max="12203" width="10.7109375" style="231" customWidth="1"/>
    <col min="12204" max="12204" width="10.7109375" style="231"/>
    <col min="12205" max="12208" width="10.7109375" style="231" customWidth="1"/>
    <col min="12209" max="12218" width="10.7109375" style="231"/>
    <col min="12219" max="12219" width="10.7109375" style="231" customWidth="1"/>
    <col min="12220" max="12221" width="10.7109375" style="231"/>
    <col min="12222" max="12223" width="10.7109375" style="231" customWidth="1"/>
    <col min="12224" max="12228" width="10.7109375" style="231"/>
    <col min="12229" max="12229" width="10.7109375" style="231" customWidth="1"/>
    <col min="12230" max="12230" width="10.7109375" style="231"/>
    <col min="12231" max="12231" width="10.7109375" style="231" customWidth="1"/>
    <col min="12232" max="12233" width="10.7109375" style="231"/>
    <col min="12234" max="12234" width="10.7109375" style="231" customWidth="1"/>
    <col min="12235" max="12236" width="10.7109375" style="231"/>
    <col min="12237" max="12237" width="10.7109375" style="231" customWidth="1"/>
    <col min="12238" max="12241" width="10.7109375" style="231"/>
    <col min="12242" max="12243" width="10.7109375" style="231" customWidth="1"/>
    <col min="12244" max="12244" width="10.7109375" style="231"/>
    <col min="12245" max="12245" width="10.7109375" style="231" customWidth="1"/>
    <col min="12246" max="12246" width="10.7109375" style="231"/>
    <col min="12247" max="12248" width="10.7109375" style="231" customWidth="1"/>
    <col min="12249" max="12256" width="10.7109375" style="231"/>
    <col min="12257" max="12257" width="10.7109375" style="231" customWidth="1"/>
    <col min="12258" max="12263" width="10.7109375" style="231"/>
    <col min="12264" max="12264" width="10.7109375" style="231" customWidth="1"/>
    <col min="12265" max="12265" width="10.7109375" style="231"/>
    <col min="12266" max="12266" width="10.7109375" style="231" customWidth="1"/>
    <col min="12267" max="12267" width="10.7109375" style="231"/>
    <col min="12268" max="12268" width="10.7109375" style="231" customWidth="1"/>
    <col min="12269" max="12271" width="10.7109375" style="231"/>
    <col min="12272" max="12272" width="10.7109375" style="231" customWidth="1"/>
    <col min="12273" max="12274" width="10.7109375" style="231"/>
    <col min="12275" max="12277" width="10.7109375" style="231" customWidth="1"/>
    <col min="12278" max="12279" width="10.7109375" style="231"/>
    <col min="12280" max="12282" width="10.7109375" style="231" customWidth="1"/>
    <col min="12283" max="12284" width="10.7109375" style="231"/>
    <col min="12285" max="12285" width="10.7109375" style="231" customWidth="1"/>
    <col min="12286" max="12287" width="10.7109375" style="231"/>
    <col min="12288" max="12289" width="10.7109375" style="231" customWidth="1"/>
    <col min="12290" max="12294" width="10.7109375" style="231"/>
    <col min="12295" max="12296" width="10.7109375" style="231" customWidth="1"/>
    <col min="12297" max="12297" width="10.7109375" style="231"/>
    <col min="12298" max="12298" width="10.7109375" style="231" customWidth="1"/>
    <col min="12299" max="12299" width="10.7109375" style="231"/>
    <col min="12300" max="12300" width="10.7109375" style="231" customWidth="1"/>
    <col min="12301" max="12302" width="10.7109375" style="231"/>
    <col min="12303" max="12307" width="10.7109375" style="231" customWidth="1"/>
    <col min="12308" max="12310" width="10.7109375" style="231"/>
    <col min="12311" max="12312" width="10.7109375" style="231" customWidth="1"/>
    <col min="12313" max="12314" width="10.7109375" style="231"/>
    <col min="12315" max="12315" width="10.7109375" style="231" customWidth="1"/>
    <col min="12316" max="12320" width="10.7109375" style="231"/>
    <col min="12321" max="12321" width="10.7109375" style="231" customWidth="1"/>
    <col min="12322" max="12326" width="10.7109375" style="231"/>
    <col min="12327" max="12328" width="10.7109375" style="231" customWidth="1"/>
    <col min="12329" max="12334" width="10.7109375" style="231"/>
    <col min="12335" max="12337" width="10.7109375" style="231" customWidth="1"/>
    <col min="12338" max="12338" width="10.7109375" style="231"/>
    <col min="12339" max="12339" width="10.7109375" style="231" customWidth="1"/>
    <col min="12340" max="12343" width="10.7109375" style="231"/>
    <col min="12344" max="12344" width="10.7109375" style="231" customWidth="1"/>
    <col min="12345" max="12345" width="10.7109375" style="231"/>
    <col min="12346" max="12346" width="10.7109375" style="231" customWidth="1"/>
    <col min="12347" max="12347" width="10.7109375" style="231"/>
    <col min="12348" max="12348" width="10.7109375" style="231" customWidth="1"/>
    <col min="12349" max="12378" width="10.7109375" style="231"/>
    <col min="12379" max="12379" width="10.7109375" style="231" customWidth="1"/>
    <col min="12380" max="12381" width="10.7109375" style="231"/>
    <col min="12382" max="12383" width="10.7109375" style="231" customWidth="1"/>
    <col min="12384" max="12385" width="10.7109375" style="231"/>
    <col min="12386" max="12386" width="10.7109375" style="231" customWidth="1"/>
    <col min="12387" max="12388" width="10.7109375" style="231"/>
    <col min="12389" max="12390" width="10.7109375" style="231" customWidth="1"/>
    <col min="12391" max="12394" width="10.7109375" style="231"/>
    <col min="12395" max="12395" width="10.7109375" style="231" customWidth="1"/>
    <col min="12396" max="12397" width="10.7109375" style="231"/>
    <col min="12398" max="12399" width="10.7109375" style="231" customWidth="1"/>
    <col min="12400" max="12401" width="10.7109375" style="231"/>
    <col min="12402" max="12403" width="10.7109375" style="231" customWidth="1"/>
    <col min="12404" max="12405" width="10.7109375" style="231"/>
    <col min="12406" max="12406" width="10.7109375" style="231" customWidth="1"/>
    <col min="12407" max="12410" width="10.7109375" style="231"/>
    <col min="12411" max="12411" width="10.7109375" style="231" customWidth="1"/>
    <col min="12412" max="12412" width="10.7109375" style="231"/>
    <col min="12413" max="12413" width="10.7109375" style="231" customWidth="1"/>
    <col min="12414" max="12422" width="10.7109375" style="231"/>
    <col min="12423" max="12424" width="10.7109375" style="231" customWidth="1"/>
    <col min="12425" max="12425" width="10.7109375" style="231"/>
    <col min="12426" max="12426" width="10.7109375" style="231" customWidth="1"/>
    <col min="12427" max="12430" width="10.7109375" style="231"/>
    <col min="12431" max="12432" width="10.7109375" style="231" customWidth="1"/>
    <col min="12433" max="12439" width="10.7109375" style="231"/>
    <col min="12440" max="12440" width="10.7109375" style="231" customWidth="1"/>
    <col min="12441" max="12441" width="10.7109375" style="231"/>
    <col min="12442" max="12444" width="10.7109375" style="231" customWidth="1"/>
    <col min="12445" max="12466" width="10.7109375" style="231"/>
    <col min="12467" max="12469" width="10.7109375" style="231" customWidth="1"/>
    <col min="12470" max="12471" width="10.7109375" style="231"/>
    <col min="12472" max="12472" width="10.7109375" style="231" customWidth="1"/>
    <col min="12473" max="12473" width="10.7109375" style="231"/>
    <col min="12474" max="12475" width="10.7109375" style="231" customWidth="1"/>
    <col min="12476" max="12479" width="10.7109375" style="231"/>
    <col min="12480" max="12481" width="10.7109375" style="231" customWidth="1"/>
    <col min="12482" max="12486" width="10.7109375" style="231"/>
    <col min="12487" max="12489" width="10.7109375" style="231" customWidth="1"/>
    <col min="12490" max="12490" width="10.7109375" style="231"/>
    <col min="12491" max="12491" width="10.7109375" style="231" customWidth="1"/>
    <col min="12492" max="12492" width="10.7109375" style="231"/>
    <col min="12493" max="12496" width="10.7109375" style="231" customWidth="1"/>
    <col min="12497" max="12497" width="10.7109375" style="231"/>
    <col min="12498" max="12499" width="10.7109375" style="231" customWidth="1"/>
    <col min="12500" max="12500" width="10.7109375" style="231"/>
    <col min="12501" max="12501" width="10.7109375" style="231" customWidth="1"/>
    <col min="12502" max="12502" width="10.7109375" style="231"/>
    <col min="12503" max="12504" width="10.7109375" style="231" customWidth="1"/>
    <col min="12505" max="12506" width="10.7109375" style="231"/>
    <col min="12507" max="12507" width="10.7109375" style="231" customWidth="1"/>
    <col min="12508" max="12509" width="10.7109375" style="231"/>
    <col min="12510" max="12510" width="10.7109375" style="231" customWidth="1"/>
    <col min="12511" max="12518" width="10.7109375" style="231"/>
    <col min="12519" max="12520" width="10.7109375" style="231" customWidth="1"/>
    <col min="12521" max="12521" width="10.7109375" style="231"/>
    <col min="12522" max="12523" width="10.7109375" style="231" customWidth="1"/>
    <col min="12524" max="12525" width="10.7109375" style="231"/>
    <col min="12526" max="12528" width="10.7109375" style="231" customWidth="1"/>
    <col min="12529" max="12530" width="10.7109375" style="231"/>
    <col min="12531" max="12531" width="10.7109375" style="231" customWidth="1"/>
    <col min="12532" max="12532" width="10.7109375" style="231"/>
    <col min="12533" max="12538" width="10.7109375" style="231" customWidth="1"/>
    <col min="12539" max="12542" width="10.7109375" style="231"/>
    <col min="12543" max="12544" width="10.7109375" style="231" customWidth="1"/>
    <col min="12545" max="12546" width="10.7109375" style="231"/>
    <col min="12547" max="12547" width="10.7109375" style="231" customWidth="1"/>
    <col min="12548" max="12548" width="10.7109375" style="231"/>
    <col min="12549" max="12549" width="10.7109375" style="231" customWidth="1"/>
    <col min="12550" max="12551" width="10.7109375" style="231"/>
    <col min="12552" max="12552" width="10.7109375" style="231" customWidth="1"/>
    <col min="12553" max="12553" width="10.7109375" style="231"/>
    <col min="12554" max="12554" width="10.7109375" style="231" customWidth="1"/>
    <col min="12555" max="12555" width="10.7109375" style="231"/>
    <col min="12556" max="12557" width="10.7109375" style="231" customWidth="1"/>
    <col min="12558" max="12559" width="10.7109375" style="231"/>
    <col min="12560" max="12560" width="10.7109375" style="231" customWidth="1"/>
    <col min="12561" max="12561" width="10.7109375" style="231"/>
    <col min="12562" max="12563" width="10.7109375" style="231" customWidth="1"/>
    <col min="12564" max="12567" width="10.7109375" style="231"/>
    <col min="12568" max="12568" width="10.7109375" style="231" customWidth="1"/>
    <col min="12569" max="12583" width="10.7109375" style="231"/>
    <col min="12584" max="12584" width="10.7109375" style="231" customWidth="1"/>
    <col min="12585" max="12591" width="10.7109375" style="231"/>
    <col min="12592" max="12592" width="10.7109375" style="231" customWidth="1"/>
    <col min="12593" max="12593" width="10.7109375" style="231"/>
    <col min="12594" max="12594" width="10.7109375" style="231" customWidth="1"/>
    <col min="12595" max="12599" width="10.7109375" style="231"/>
    <col min="12600" max="12600" width="10.7109375" style="231" customWidth="1"/>
    <col min="12601" max="12606" width="10.7109375" style="231"/>
    <col min="12607" max="12607" width="10.7109375" style="231" customWidth="1"/>
    <col min="12608" max="12626" width="10.7109375" style="231"/>
    <col min="12627" max="12627" width="10.7109375" style="231" customWidth="1"/>
    <col min="12628" max="12633" width="10.7109375" style="231"/>
    <col min="12634" max="12634" width="10.7109375" style="231" customWidth="1"/>
    <col min="12635" max="12641" width="10.7109375" style="231"/>
    <col min="12642" max="12642" width="10.7109375" style="231" customWidth="1"/>
    <col min="12643" max="12643" width="10.7109375" style="231"/>
    <col min="12644" max="12645" width="10.7109375" style="231" customWidth="1"/>
    <col min="12646" max="12654" width="10.7109375" style="231"/>
    <col min="12655" max="12655" width="10.7109375" style="231" customWidth="1"/>
    <col min="12656" max="12657" width="10.7109375" style="231"/>
    <col min="12658" max="12660" width="10.7109375" style="231" customWidth="1"/>
    <col min="12661" max="12666" width="10.7109375" style="231"/>
    <col min="12667" max="12667" width="10.7109375" style="231" customWidth="1"/>
    <col min="12668" max="12671" width="10.7109375" style="231"/>
    <col min="12672" max="12672" width="10.7109375" style="231" customWidth="1"/>
    <col min="12673" max="12674" width="10.7109375" style="231"/>
    <col min="12675" max="12675" width="10.7109375" style="231" customWidth="1"/>
    <col min="12676" max="12679" width="10.7109375" style="231"/>
    <col min="12680" max="12681" width="10.7109375" style="231" customWidth="1"/>
    <col min="12682" max="12687" width="10.7109375" style="231"/>
    <col min="12688" max="12690" width="10.7109375" style="231" customWidth="1"/>
    <col min="12691" max="12691" width="10.7109375" style="231"/>
    <col min="12692" max="12692" width="10.7109375" style="231" customWidth="1"/>
    <col min="12693" max="12695" width="10.7109375" style="231"/>
    <col min="12696" max="12696" width="10.7109375" style="231" customWidth="1"/>
    <col min="12697" max="12702" width="10.7109375" style="231"/>
    <col min="12703" max="12703" width="10.7109375" style="231" customWidth="1"/>
    <col min="12704" max="12722" width="10.7109375" style="231"/>
    <col min="12723" max="12725" width="10.7109375" style="231" customWidth="1"/>
    <col min="12726" max="12727" width="10.7109375" style="231"/>
    <col min="12728" max="12728" width="10.7109375" style="231" customWidth="1"/>
    <col min="12729" max="12730" width="10.7109375" style="231"/>
    <col min="12731" max="12731" width="10.7109375" style="231" customWidth="1"/>
    <col min="12732" max="12732" width="10.7109375" style="231"/>
    <col min="12733" max="12733" width="10.7109375" style="231" customWidth="1"/>
    <col min="12734" max="12735" width="10.7109375" style="231"/>
    <col min="12736" max="12736" width="10.7109375" style="231" customWidth="1"/>
    <col min="12737" max="12737" width="10.7109375" style="231"/>
    <col min="12738" max="12738" width="10.7109375" style="231" customWidth="1"/>
    <col min="12739" max="12739" width="10.7109375" style="231"/>
    <col min="12740" max="12741" width="10.7109375" style="231" customWidth="1"/>
    <col min="12742" max="12743" width="10.7109375" style="231"/>
    <col min="12744" max="12746" width="10.7109375" style="231" customWidth="1"/>
    <col min="12747" max="12747" width="10.7109375" style="231"/>
    <col min="12748" max="12748" width="10.7109375" style="231" customWidth="1"/>
    <col min="12749" max="12751" width="10.7109375" style="231"/>
    <col min="12752" max="12753" width="10.7109375" style="231" customWidth="1"/>
    <col min="12754" max="12756" width="10.7109375" style="231"/>
    <col min="12757" max="12757" width="10.7109375" style="231" customWidth="1"/>
    <col min="12758" max="12763" width="10.7109375" style="231"/>
    <col min="12764" max="12764" width="10.7109375" style="231" customWidth="1"/>
    <col min="12765" max="12768" width="10.7109375" style="231"/>
    <col min="12769" max="12769" width="10.7109375" style="231" customWidth="1"/>
    <col min="12770" max="12771" width="10.7109375" style="231"/>
    <col min="12772" max="12772" width="10.7109375" style="231" customWidth="1"/>
    <col min="12773" max="12775" width="10.7109375" style="231"/>
    <col min="12776" max="12776" width="10.7109375" style="231" customWidth="1"/>
    <col min="12777" max="12777" width="10.7109375" style="231"/>
    <col min="12778" max="12781" width="10.7109375" style="231" customWidth="1"/>
    <col min="12782" max="12784" width="10.7109375" style="231"/>
    <col min="12785" max="12786" width="10.7109375" style="231" customWidth="1"/>
    <col min="12787" max="12795" width="10.7109375" style="231"/>
    <col min="12796" max="12797" width="10.7109375" style="231" customWidth="1"/>
    <col min="12798" max="12800" width="10.7109375" style="231"/>
    <col min="12801" max="12801" width="10.7109375" style="231" customWidth="1"/>
    <col min="12802" max="12803" width="10.7109375" style="231"/>
    <col min="12804" max="12804" width="10.7109375" style="231" customWidth="1"/>
    <col min="12805" max="12805" width="10.7109375" style="231"/>
    <col min="12806" max="12806" width="10.7109375" style="231" customWidth="1"/>
    <col min="12807" max="12807" width="10.7109375" style="231"/>
    <col min="12808" max="12808" width="10.7109375" style="231" customWidth="1"/>
    <col min="12809" max="12809" width="10.7109375" style="231"/>
    <col min="12810" max="12810" width="10.7109375" style="231" customWidth="1"/>
    <col min="12811" max="12812" width="10.7109375" style="231"/>
    <col min="12813" max="12813" width="10.7109375" style="231" customWidth="1"/>
    <col min="12814" max="12817" width="10.7109375" style="231"/>
    <col min="12818" max="12821" width="10.7109375" style="231" customWidth="1"/>
    <col min="12822" max="12823" width="10.7109375" style="231"/>
    <col min="12824" max="12824" width="10.7109375" style="231" customWidth="1"/>
    <col min="12825" max="12827" width="10.7109375" style="231"/>
    <col min="12828" max="12829" width="10.7109375" style="231" customWidth="1"/>
    <col min="12830" max="12831" width="10.7109375" style="231"/>
    <col min="12832" max="12834" width="10.7109375" style="231" customWidth="1"/>
    <col min="12835" max="12838" width="10.7109375" style="231"/>
    <col min="12839" max="12840" width="10.7109375" style="231" customWidth="1"/>
    <col min="12841" max="12844" width="10.7109375" style="231"/>
    <col min="12845" max="12845" width="10.7109375" style="231" customWidth="1"/>
    <col min="12846" max="12846" width="10.7109375" style="231"/>
    <col min="12847" max="12848" width="10.7109375" style="231" customWidth="1"/>
    <col min="12849" max="12850" width="10.7109375" style="231"/>
    <col min="12851" max="12851" width="10.7109375" style="231" customWidth="1"/>
    <col min="12852" max="12855" width="10.7109375" style="231"/>
    <col min="12856" max="12856" width="10.7109375" style="231" customWidth="1"/>
    <col min="12857" max="12857" width="10.7109375" style="231"/>
    <col min="12858" max="12858" width="10.7109375" style="231" customWidth="1"/>
    <col min="12859" max="12859" width="10.7109375" style="231"/>
    <col min="12860" max="12860" width="10.7109375" style="231" customWidth="1"/>
    <col min="12861" max="12865" width="10.7109375" style="231"/>
    <col min="12866" max="12866" width="10.7109375" style="231" customWidth="1"/>
    <col min="12867" max="12871" width="10.7109375" style="231"/>
    <col min="12872" max="12873" width="10.7109375" style="231" customWidth="1"/>
    <col min="12874" max="12878" width="10.7109375" style="231"/>
    <col min="12879" max="12879" width="10.7109375" style="231" customWidth="1"/>
    <col min="12880" max="12880" width="10.7109375" style="231"/>
    <col min="12881" max="12881" width="10.7109375" style="231" customWidth="1"/>
    <col min="12882" max="12882" width="10.7109375" style="231"/>
    <col min="12883" max="12883" width="10.7109375" style="231" customWidth="1"/>
    <col min="12884" max="12884" width="10.7109375" style="231"/>
    <col min="12885" max="12888" width="10.7109375" style="231" customWidth="1"/>
    <col min="12889" max="12889" width="10.7109375" style="231"/>
    <col min="12890" max="12891" width="10.7109375" style="231" customWidth="1"/>
    <col min="12892" max="12892" width="10.7109375" style="231"/>
    <col min="12893" max="12896" width="10.7109375" style="231" customWidth="1"/>
    <col min="12897" max="12897" width="10.7109375" style="231"/>
    <col min="12898" max="12899" width="10.7109375" style="231" customWidth="1"/>
    <col min="12900" max="12900" width="10.7109375" style="231"/>
    <col min="12901" max="12904" width="10.7109375" style="231" customWidth="1"/>
    <col min="12905" max="12905" width="10.7109375" style="231"/>
    <col min="12906" max="12907" width="10.7109375" style="231" customWidth="1"/>
    <col min="12908" max="12908" width="10.7109375" style="231"/>
    <col min="12909" max="12912" width="10.7109375" style="231" customWidth="1"/>
    <col min="12913" max="12913" width="10.7109375" style="231"/>
    <col min="12914" max="12915" width="10.7109375" style="231" customWidth="1"/>
    <col min="12916" max="12916" width="10.7109375" style="231"/>
    <col min="12917" max="12920" width="10.7109375" style="231" customWidth="1"/>
    <col min="12921" max="12921" width="10.7109375" style="231"/>
    <col min="12922" max="12923" width="10.7109375" style="231" customWidth="1"/>
    <col min="12924" max="12924" width="10.7109375" style="231"/>
    <col min="12925" max="12930" width="10.7109375" style="231" customWidth="1"/>
    <col min="12931" max="12934" width="10.7109375" style="231"/>
    <col min="12935" max="12936" width="10.7109375" style="231" customWidth="1"/>
    <col min="12937" max="12937" width="10.7109375" style="231"/>
    <col min="12938" max="12939" width="10.7109375" style="231" customWidth="1"/>
    <col min="12940" max="12940" width="10.7109375" style="231"/>
    <col min="12941" max="12941" width="10.7109375" style="231" customWidth="1"/>
    <col min="12942" max="12943" width="10.7109375" style="231"/>
    <col min="12944" max="12945" width="10.7109375" style="231" customWidth="1"/>
    <col min="12946" max="12951" width="10.7109375" style="231"/>
    <col min="12952" max="12952" width="10.7109375" style="231" customWidth="1"/>
    <col min="12953" max="12953" width="10.7109375" style="231"/>
    <col min="12954" max="12954" width="10.7109375" style="231" customWidth="1"/>
    <col min="12955" max="12955" width="10.7109375" style="231"/>
    <col min="12956" max="12956" width="10.7109375" style="231" customWidth="1"/>
    <col min="12957" max="12977" width="10.7109375" style="231"/>
    <col min="12978" max="12978" width="10.7109375" style="231" customWidth="1"/>
    <col min="12979" max="12979" width="10.7109375" style="231"/>
    <col min="12980" max="12980" width="10.7109375" style="231" customWidth="1"/>
    <col min="12981" max="12984" width="10.7109375" style="231"/>
    <col min="12985" max="12985" width="10.7109375" style="231" customWidth="1"/>
    <col min="12986" max="12992" width="10.7109375" style="231"/>
    <col min="12993" max="12993" width="10.7109375" style="231" customWidth="1"/>
    <col min="12994" max="13002" width="10.7109375" style="231"/>
    <col min="13003" max="13003" width="10.7109375" style="231" customWidth="1"/>
    <col min="13004" max="13006" width="10.7109375" style="231"/>
    <col min="13007" max="13007" width="10.7109375" style="231" customWidth="1"/>
    <col min="13008" max="13008" width="10.7109375" style="231"/>
    <col min="13009" max="13010" width="10.7109375" style="231" customWidth="1"/>
    <col min="13011" max="13020" width="10.7109375" style="231"/>
    <col min="13021" max="13021" width="10.7109375" style="231" customWidth="1"/>
    <col min="13022" max="13031" width="10.7109375" style="231"/>
    <col min="13032" max="13032" width="10.7109375" style="231" customWidth="1"/>
    <col min="13033" max="13036" width="10.7109375" style="231"/>
    <col min="13037" max="13037" width="10.7109375" style="231" customWidth="1"/>
    <col min="13038" max="13040" width="10.7109375" style="231"/>
    <col min="13041" max="13042" width="10.7109375" style="231" customWidth="1"/>
    <col min="13043" max="13043" width="10.7109375" style="231"/>
    <col min="13044" max="13044" width="10.7109375" style="231" customWidth="1"/>
    <col min="13045" max="13047" width="10.7109375" style="231"/>
    <col min="13048" max="13048" width="10.7109375" style="231" customWidth="1"/>
    <col min="13049" max="13049" width="10.7109375" style="231"/>
    <col min="13050" max="13050" width="10.7109375" style="231" customWidth="1"/>
    <col min="13051" max="13051" width="10.7109375" style="231"/>
    <col min="13052" max="13053" width="10.7109375" style="231" customWidth="1"/>
    <col min="13054" max="13055" width="10.7109375" style="231"/>
    <col min="13056" max="13056" width="10.7109375" style="231" customWidth="1"/>
    <col min="13057" max="13059" width="10.7109375" style="231"/>
    <col min="13060" max="13061" width="10.7109375" style="231" customWidth="1"/>
    <col min="13062" max="13063" width="10.7109375" style="231"/>
    <col min="13064" max="13064" width="10.7109375" style="231" customWidth="1"/>
    <col min="13065" max="13065" width="10.7109375" style="231"/>
    <col min="13066" max="13066" width="10.7109375" style="231" customWidth="1"/>
    <col min="13067" max="13067" width="10.7109375" style="231"/>
    <col min="13068" max="13069" width="10.7109375" style="231" customWidth="1"/>
    <col min="13070" max="13071" width="10.7109375" style="231"/>
    <col min="13072" max="13073" width="10.7109375" style="231" customWidth="1"/>
    <col min="13074" max="13074" width="10.7109375" style="231"/>
    <col min="13075" max="13076" width="10.7109375" style="231" customWidth="1"/>
    <col min="13077" max="13079" width="10.7109375" style="231"/>
    <col min="13080" max="13081" width="10.7109375" style="231" customWidth="1"/>
    <col min="13082" max="13086" width="10.7109375" style="231"/>
    <col min="13087" max="13089" width="10.7109375" style="231" customWidth="1"/>
    <col min="13090" max="13090" width="10.7109375" style="231"/>
    <col min="13091" max="13091" width="10.7109375" style="231" customWidth="1"/>
    <col min="13092" max="13092" width="10.7109375" style="231"/>
    <col min="13093" max="13096" width="10.7109375" style="231" customWidth="1"/>
    <col min="13097" max="13097" width="10.7109375" style="231"/>
    <col min="13098" max="13099" width="10.7109375" style="231" customWidth="1"/>
    <col min="13100" max="13100" width="10.7109375" style="231"/>
    <col min="13101" max="13104" width="10.7109375" style="231" customWidth="1"/>
    <col min="13105" max="13105" width="10.7109375" style="231"/>
    <col min="13106" max="13107" width="10.7109375" style="231" customWidth="1"/>
    <col min="13108" max="13110" width="10.7109375" style="231"/>
    <col min="13111" max="13112" width="10.7109375" style="231" customWidth="1"/>
    <col min="13113" max="13113" width="10.7109375" style="231"/>
    <col min="13114" max="13115" width="10.7109375" style="231" customWidth="1"/>
    <col min="13116" max="13117" width="10.7109375" style="231"/>
    <col min="13118" max="13118" width="10.7109375" style="231" customWidth="1"/>
    <col min="13119" max="13121" width="10.7109375" style="231"/>
    <col min="13122" max="13122" width="10.7109375" style="231" customWidth="1"/>
    <col min="13123" max="13125" width="10.7109375" style="231"/>
    <col min="13126" max="13126" width="10.7109375" style="231" customWidth="1"/>
    <col min="13127" max="13127" width="10.7109375" style="231"/>
    <col min="13128" max="13130" width="10.7109375" style="231" customWidth="1"/>
    <col min="13131" max="13134" width="10.7109375" style="231"/>
    <col min="13135" max="13135" width="10.7109375" style="231" customWidth="1"/>
    <col min="13136" max="13140" width="10.7109375" style="231"/>
    <col min="13141" max="13141" width="10.7109375" style="231" customWidth="1"/>
    <col min="13142" max="13142" width="10.7109375" style="231"/>
    <col min="13143" max="13146" width="10.7109375" style="231" customWidth="1"/>
    <col min="13147" max="13147" width="10.7109375" style="231"/>
    <col min="13148" max="13149" width="10.7109375" style="231" customWidth="1"/>
    <col min="13150" max="13151" width="10.7109375" style="231"/>
    <col min="13152" max="13152" width="10.7109375" style="231" customWidth="1"/>
    <col min="13153" max="13153" width="10.7109375" style="231"/>
    <col min="13154" max="13155" width="10.7109375" style="231" customWidth="1"/>
    <col min="13156" max="13156" width="10.7109375" style="231"/>
    <col min="13157" max="13157" width="10.7109375" style="231" customWidth="1"/>
    <col min="13158" max="13159" width="10.7109375" style="231"/>
    <col min="13160" max="13160" width="10.7109375" style="231" customWidth="1"/>
    <col min="13161" max="13162" width="10.7109375" style="231"/>
    <col min="13163" max="13165" width="10.7109375" style="231" customWidth="1"/>
    <col min="13166" max="13167" width="10.7109375" style="231"/>
    <col min="13168" max="13170" width="10.7109375" style="231" customWidth="1"/>
    <col min="13171" max="13171" width="10.7109375" style="231"/>
    <col min="13172" max="13172" width="10.7109375" style="231" customWidth="1"/>
    <col min="13173" max="13175" width="10.7109375" style="231"/>
    <col min="13176" max="13177" width="10.7109375" style="231" customWidth="1"/>
    <col min="13178" max="13182" width="10.7109375" style="231"/>
    <col min="13183" max="13185" width="10.7109375" style="231" customWidth="1"/>
    <col min="13186" max="13186" width="10.7109375" style="231"/>
    <col min="13187" max="13187" width="10.7109375" style="231" customWidth="1"/>
    <col min="13188" max="13188" width="10.7109375" style="231"/>
    <col min="13189" max="13192" width="10.7109375" style="231" customWidth="1"/>
    <col min="13193" max="13193" width="10.7109375" style="231"/>
    <col min="13194" max="13195" width="10.7109375" style="231" customWidth="1"/>
    <col min="13196" max="13196" width="10.7109375" style="231"/>
    <col min="13197" max="13200" width="10.7109375" style="231" customWidth="1"/>
    <col min="13201" max="13201" width="10.7109375" style="231"/>
    <col min="13202" max="13203" width="10.7109375" style="231" customWidth="1"/>
    <col min="13204" max="13207" width="10.7109375" style="231"/>
    <col min="13208" max="13208" width="10.7109375" style="231" customWidth="1"/>
    <col min="13209" max="13209" width="10.7109375" style="231"/>
    <col min="13210" max="13211" width="10.7109375" style="231" customWidth="1"/>
    <col min="13212" max="13214" width="10.7109375" style="231"/>
    <col min="13215" max="13215" width="10.7109375" style="231" customWidth="1"/>
    <col min="13216" max="13230" width="10.7109375" style="231"/>
    <col min="13231" max="13231" width="10.7109375" style="231" customWidth="1"/>
    <col min="13232" max="13233" width="10.7109375" style="231"/>
    <col min="13234" max="13236" width="10.7109375" style="231" customWidth="1"/>
    <col min="13237" max="13240" width="10.7109375" style="231"/>
    <col min="13241" max="13241" width="10.7109375" style="231" customWidth="1"/>
    <col min="13242" max="13248" width="10.7109375" style="231"/>
    <col min="13249" max="13249" width="10.7109375" style="231" customWidth="1"/>
    <col min="13250" max="13251" width="10.7109375" style="231"/>
    <col min="13252" max="13252" width="10.7109375" style="231" customWidth="1"/>
    <col min="13253" max="13258" width="10.7109375" style="231"/>
    <col min="13259" max="13259" width="10.7109375" style="231" customWidth="1"/>
    <col min="13260" max="13265" width="10.7109375" style="231"/>
    <col min="13266" max="13267" width="10.7109375" style="231" customWidth="1"/>
    <col min="13268" max="13271" width="10.7109375" style="231"/>
    <col min="13272" max="13272" width="10.7109375" style="231" customWidth="1"/>
    <col min="13273" max="13278" width="10.7109375" style="231"/>
    <col min="13279" max="13280" width="10.7109375" style="231" customWidth="1"/>
    <col min="13281" max="13285" width="10.7109375" style="231"/>
    <col min="13286" max="13288" width="10.7109375" style="231" customWidth="1"/>
    <col min="13289" max="13289" width="10.7109375" style="231"/>
    <col min="13290" max="13290" width="10.7109375" style="231" customWidth="1"/>
    <col min="13291" max="13292" width="10.7109375" style="231"/>
    <col min="13293" max="13296" width="10.7109375" style="231" customWidth="1"/>
    <col min="13297" max="13297" width="10.7109375" style="231"/>
    <col min="13298" max="13299" width="10.7109375" style="231" customWidth="1"/>
    <col min="13300" max="13300" width="10.7109375" style="231"/>
    <col min="13301" max="13306" width="10.7109375" style="231" customWidth="1"/>
    <col min="13307" max="13310" width="10.7109375" style="231"/>
    <col min="13311" max="13312" width="10.7109375" style="231" customWidth="1"/>
    <col min="13313" max="13316" width="10.7109375" style="231"/>
    <col min="13317" max="13317" width="10.7109375" style="231" customWidth="1"/>
    <col min="13318" max="13318" width="10.7109375" style="231"/>
    <col min="13319" max="13322" width="10.7109375" style="231" customWidth="1"/>
    <col min="13323" max="13323" width="10.7109375" style="231"/>
    <col min="13324" max="13325" width="10.7109375" style="231" customWidth="1"/>
    <col min="13326" max="13327" width="10.7109375" style="231"/>
    <col min="13328" max="13328" width="10.7109375" style="231" customWidth="1"/>
    <col min="13329" max="13329" width="10.7109375" style="231"/>
    <col min="13330" max="13331" width="10.7109375" style="231" customWidth="1"/>
    <col min="13332" max="13332" width="10.7109375" style="231"/>
    <col min="13333" max="13333" width="10.7109375" style="231" customWidth="1"/>
    <col min="13334" max="13335" width="10.7109375" style="231"/>
    <col min="13336" max="13336" width="10.7109375" style="231" customWidth="1"/>
    <col min="13337" max="13338" width="10.7109375" style="231"/>
    <col min="13339" max="13341" width="10.7109375" style="231" customWidth="1"/>
    <col min="13342" max="13343" width="10.7109375" style="231"/>
    <col min="13344" max="13346" width="10.7109375" style="231" customWidth="1"/>
    <col min="13347" max="13347" width="10.7109375" style="231"/>
    <col min="13348" max="13348" width="10.7109375" style="231" customWidth="1"/>
    <col min="13349" max="13351" width="10.7109375" style="231"/>
    <col min="13352" max="13353" width="10.7109375" style="231" customWidth="1"/>
    <col min="13354" max="13358" width="10.7109375" style="231"/>
    <col min="13359" max="13361" width="10.7109375" style="231" customWidth="1"/>
    <col min="13362" max="13362" width="10.7109375" style="231"/>
    <col min="13363" max="13363" width="10.7109375" style="231" customWidth="1"/>
    <col min="13364" max="13364" width="10.7109375" style="231"/>
    <col min="13365" max="13366" width="10.7109375" style="231" customWidth="1"/>
    <col min="13367" max="13369" width="10.7109375" style="231"/>
    <col min="13370" max="13370" width="10.7109375" style="231" customWidth="1"/>
    <col min="13371" max="13372" width="10.7109375" style="231"/>
    <col min="13373" max="13373" width="10.7109375" style="231" customWidth="1"/>
    <col min="13374" max="13374" width="10.7109375" style="231"/>
    <col min="13375" max="13375" width="10.7109375" style="231" customWidth="1"/>
    <col min="13376" max="13390" width="10.7109375" style="231"/>
    <col min="13391" max="13391" width="10.7109375" style="231" customWidth="1"/>
    <col min="13392" max="13394" width="10.7109375" style="231"/>
    <col min="13395" max="13395" width="10.7109375" style="231" customWidth="1"/>
    <col min="13396" max="13396" width="10.7109375" style="231"/>
    <col min="13397" max="13397" width="10.7109375" style="231" customWidth="1"/>
    <col min="13398" max="13401" width="10.7109375" style="231"/>
    <col min="13402" max="13402" width="10.7109375" style="231" customWidth="1"/>
    <col min="13403" max="13403" width="10.7109375" style="231"/>
    <col min="13404" max="13404" width="10.7109375" style="231" customWidth="1"/>
    <col min="13405" max="13407" width="10.7109375" style="231"/>
    <col min="13408" max="13408" width="10.7109375" style="231" customWidth="1"/>
    <col min="13409" max="13415" width="10.7109375" style="231"/>
    <col min="13416" max="13417" width="10.7109375" style="231" customWidth="1"/>
    <col min="13418" max="13422" width="10.7109375" style="231"/>
    <col min="13423" max="13423" width="10.7109375" style="231" customWidth="1"/>
    <col min="13424" max="13426" width="10.7109375" style="231"/>
    <col min="13427" max="13429" width="10.7109375" style="231" customWidth="1"/>
    <col min="13430" max="13431" width="10.7109375" style="231"/>
    <col min="13432" max="13432" width="10.7109375" style="231" customWidth="1"/>
    <col min="13433" max="13436" width="10.7109375" style="231"/>
    <col min="13437" max="13437" width="10.7109375" style="231" customWidth="1"/>
    <col min="13438" max="13439" width="10.7109375" style="231"/>
    <col min="13440" max="13440" width="10.7109375" style="231" customWidth="1"/>
    <col min="13441" max="13441" width="10.7109375" style="231"/>
    <col min="13442" max="13442" width="10.7109375" style="231" customWidth="1"/>
    <col min="13443" max="13447" width="10.7109375" style="231"/>
    <col min="13448" max="13449" width="10.7109375" style="231" customWidth="1"/>
    <col min="13450" max="13452" width="10.7109375" style="231"/>
    <col min="13453" max="13453" width="10.7109375" style="231" customWidth="1"/>
    <col min="13454" max="13454" width="10.7109375" style="231"/>
    <col min="13455" max="13456" width="10.7109375" style="231" customWidth="1"/>
    <col min="13457" max="13458" width="10.7109375" style="231"/>
    <col min="13459" max="13461" width="10.7109375" style="231" customWidth="1"/>
    <col min="13462" max="13463" width="10.7109375" style="231"/>
    <col min="13464" max="13468" width="10.7109375" style="231" customWidth="1"/>
    <col min="13469" max="13471" width="10.7109375" style="231"/>
    <col min="13472" max="13476" width="10.7109375" style="231" customWidth="1"/>
    <col min="13477" max="13479" width="10.7109375" style="231"/>
    <col min="13480" max="13482" width="10.7109375" style="231" customWidth="1"/>
    <col min="13483" max="13484" width="10.7109375" style="231"/>
    <col min="13485" max="13485" width="10.7109375" style="231" customWidth="1"/>
    <col min="13486" max="13487" width="10.7109375" style="231"/>
    <col min="13488" max="13488" width="10.7109375" style="231" customWidth="1"/>
    <col min="13489" max="13489" width="10.7109375" style="231"/>
    <col min="13490" max="13490" width="10.7109375" style="231" customWidth="1"/>
    <col min="13491" max="13492" width="10.7109375" style="231"/>
    <col min="13493" max="13493" width="10.7109375" style="231" customWidth="1"/>
    <col min="13494" max="13500" width="10.7109375" style="231"/>
    <col min="13501" max="13501" width="10.7109375" style="231" customWidth="1"/>
    <col min="13502" max="13502" width="10.7109375" style="231"/>
    <col min="13503" max="13503" width="10.7109375" style="231" customWidth="1"/>
    <col min="13504" max="13521" width="10.7109375" style="231"/>
    <col min="13522" max="13522" width="10.7109375" style="231" customWidth="1"/>
    <col min="13523" max="13524" width="10.7109375" style="231"/>
    <col min="13525" max="13525" width="10.7109375" style="231" customWidth="1"/>
    <col min="13526" max="13532" width="10.7109375" style="231"/>
    <col min="13533" max="13533" width="10.7109375" style="231" customWidth="1"/>
    <col min="13534" max="13535" width="10.7109375" style="231"/>
    <col min="13536" max="13536" width="10.7109375" style="231" customWidth="1"/>
    <col min="13537" max="13539" width="10.7109375" style="231"/>
    <col min="13540" max="13540" width="10.7109375" style="231" customWidth="1"/>
    <col min="13541" max="13543" width="10.7109375" style="231"/>
    <col min="13544" max="13545" width="10.7109375" style="231" customWidth="1"/>
    <col min="13546" max="13550" width="10.7109375" style="231"/>
    <col min="13551" max="13551" width="10.7109375" style="231" customWidth="1"/>
    <col min="13552" max="13559" width="10.7109375" style="231"/>
    <col min="13560" max="13560" width="10.7109375" style="231" customWidth="1"/>
    <col min="13561" max="13561" width="10.7109375" style="231"/>
    <col min="13562" max="13565" width="10.7109375" style="231" customWidth="1"/>
    <col min="13566" max="13567" width="10.7109375" style="231"/>
    <col min="13568" max="13568" width="10.7109375" style="231" customWidth="1"/>
    <col min="13569" max="13584" width="10.7109375" style="231"/>
    <col min="13585" max="13585" width="10.7109375" style="231" customWidth="1"/>
    <col min="13586" max="13620" width="10.7109375" style="231"/>
    <col min="13621" max="13621" width="10.7109375" style="231" customWidth="1"/>
    <col min="13622" max="13623" width="10.7109375" style="231"/>
    <col min="13624" max="13625" width="10.7109375" style="231" customWidth="1"/>
    <col min="13626" max="13628" width="10.7109375" style="231"/>
    <col min="13629" max="13629" width="10.7109375" style="231" customWidth="1"/>
    <col min="13630" max="13630" width="10.7109375" style="231"/>
    <col min="13631" max="13636" width="10.7109375" style="231" customWidth="1"/>
    <col min="13637" max="13637" width="10.7109375" style="231"/>
    <col min="13638" max="13638" width="10.7109375" style="231" customWidth="1"/>
    <col min="13639" max="13639" width="10.7109375" style="231"/>
    <col min="13640" max="13640" width="10.7109375" style="231" customWidth="1"/>
    <col min="13641" max="13641" width="10.7109375" style="231"/>
    <col min="13642" max="13642" width="10.7109375" style="231" customWidth="1"/>
    <col min="13643" max="13644" width="10.7109375" style="231"/>
    <col min="13645" max="13646" width="10.7109375" style="231" customWidth="1"/>
    <col min="13647" max="13647" width="10.7109375" style="231"/>
    <col min="13648" max="13648" width="10.7109375" style="231" customWidth="1"/>
    <col min="13649" max="13649" width="10.7109375" style="231"/>
    <col min="13650" max="13650" width="10.7109375" style="231" customWidth="1"/>
    <col min="13651" max="13651" width="10.7109375" style="231"/>
    <col min="13652" max="13652" width="10.7109375" style="231" customWidth="1"/>
    <col min="13653" max="13653" width="10.7109375" style="231"/>
    <col min="13654" max="13654" width="10.7109375" style="231" customWidth="1"/>
    <col min="13655" max="13655" width="10.7109375" style="231"/>
    <col min="13656" max="13657" width="10.7109375" style="231" customWidth="1"/>
    <col min="13658" max="13660" width="10.7109375" style="231"/>
    <col min="13661" max="13661" width="10.7109375" style="231" customWidth="1"/>
    <col min="13662" max="13663" width="10.7109375" style="231"/>
    <col min="13664" max="13664" width="10.7109375" style="231" customWidth="1"/>
    <col min="13665" max="13665" width="10.7109375" style="231"/>
    <col min="13666" max="13669" width="10.7109375" style="231" customWidth="1"/>
    <col min="13670" max="13671" width="10.7109375" style="231"/>
    <col min="13672" max="13674" width="10.7109375" style="231" customWidth="1"/>
    <col min="13675" max="13675" width="10.7109375" style="231"/>
    <col min="13676" max="13677" width="10.7109375" style="231" customWidth="1"/>
    <col min="13678" max="13679" width="10.7109375" style="231"/>
    <col min="13680" max="13680" width="10.7109375" style="231" customWidth="1"/>
    <col min="13681" max="13684" width="10.7109375" style="231"/>
    <col min="13685" max="13685" width="10.7109375" style="231" customWidth="1"/>
    <col min="13686" max="13687" width="10.7109375" style="231"/>
    <col min="13688" max="13688" width="10.7109375" style="231" customWidth="1"/>
    <col min="13689" max="13689" width="10.7109375" style="231"/>
    <col min="13690" max="13690" width="10.7109375" style="231" customWidth="1"/>
    <col min="13691" max="13691" width="10.7109375" style="231"/>
    <col min="13692" max="13692" width="10.7109375" style="231" customWidth="1"/>
    <col min="13693" max="13695" width="10.7109375" style="231"/>
    <col min="13696" max="13696" width="10.7109375" style="231" customWidth="1"/>
    <col min="13697" max="13698" width="10.7109375" style="231"/>
    <col min="13699" max="13700" width="10.7109375" style="231" customWidth="1"/>
    <col min="13701" max="13703" width="10.7109375" style="231"/>
    <col min="13704" max="13706" width="10.7109375" style="231" customWidth="1"/>
    <col min="13707" max="13707" width="10.7109375" style="231"/>
    <col min="13708" max="13708" width="10.7109375" style="231" customWidth="1"/>
    <col min="13709" max="13711" width="10.7109375" style="231"/>
    <col min="13712" max="13712" width="10.7109375" style="231" customWidth="1"/>
    <col min="13713" max="13713" width="10.7109375" style="231"/>
    <col min="13714" max="13714" width="10.7109375" style="231" customWidth="1"/>
    <col min="13715" max="13715" width="10.7109375" style="231"/>
    <col min="13716" max="13717" width="10.7109375" style="231" customWidth="1"/>
    <col min="13718" max="13719" width="10.7109375" style="231"/>
    <col min="13720" max="13722" width="10.7109375" style="231" customWidth="1"/>
    <col min="13723" max="13723" width="10.7109375" style="231"/>
    <col min="13724" max="13724" width="10.7109375" style="231" customWidth="1"/>
    <col min="13725" max="13728" width="10.7109375" style="231"/>
    <col min="13729" max="13730" width="10.7109375" style="231" customWidth="1"/>
    <col min="13731" max="13733" width="10.7109375" style="231"/>
    <col min="13734" max="13734" width="10.7109375" style="231" customWidth="1"/>
    <col min="13735" max="13735" width="10.7109375" style="231"/>
    <col min="13736" max="13736" width="10.7109375" style="231" customWidth="1"/>
    <col min="13737" max="13737" width="10.7109375" style="231"/>
    <col min="13738" max="13738" width="10.7109375" style="231" customWidth="1"/>
    <col min="13739" max="13739" width="10.7109375" style="231"/>
    <col min="13740" max="13741" width="10.7109375" style="231" customWidth="1"/>
    <col min="13742" max="13743" width="10.7109375" style="231"/>
    <col min="13744" max="13748" width="10.7109375" style="231" customWidth="1"/>
    <col min="13749" max="13751" width="10.7109375" style="231"/>
    <col min="13752" max="13752" width="10.7109375" style="231" customWidth="1"/>
    <col min="13753" max="13753" width="10.7109375" style="231"/>
    <col min="13754" max="13754" width="10.7109375" style="231" customWidth="1"/>
    <col min="13755" max="13755" width="10.7109375" style="231"/>
    <col min="13756" max="13757" width="10.7109375" style="231" customWidth="1"/>
    <col min="13758" max="13759" width="10.7109375" style="231"/>
    <col min="13760" max="13760" width="10.7109375" style="231" customWidth="1"/>
    <col min="13761" max="13767" width="10.7109375" style="231"/>
    <col min="13768" max="13769" width="10.7109375" style="231" customWidth="1"/>
    <col min="13770" max="13771" width="10.7109375" style="231"/>
    <col min="13772" max="13772" width="10.7109375" style="231" customWidth="1"/>
    <col min="13773" max="13773" width="10.7109375" style="231"/>
    <col min="13774" max="13774" width="10.7109375" style="231" customWidth="1"/>
    <col min="13775" max="13775" width="10.7109375" style="231"/>
    <col min="13776" max="13776" width="10.7109375" style="231" customWidth="1"/>
    <col min="13777" max="13777" width="10.7109375" style="231"/>
    <col min="13778" max="13778" width="10.7109375" style="231" customWidth="1"/>
    <col min="13779" max="13779" width="10.7109375" style="231"/>
    <col min="13780" max="13781" width="10.7109375" style="231" customWidth="1"/>
    <col min="13782" max="13783" width="10.7109375" style="231"/>
    <col min="13784" max="13784" width="10.7109375" style="231" customWidth="1"/>
    <col min="13785" max="13787" width="10.7109375" style="231"/>
    <col min="13788" max="13789" width="10.7109375" style="231" customWidth="1"/>
    <col min="13790" max="13791" width="10.7109375" style="231"/>
    <col min="13792" max="13792" width="10.7109375" style="231" customWidth="1"/>
    <col min="13793" max="13793" width="10.7109375" style="231"/>
    <col min="13794" max="13794" width="10.7109375" style="231" customWidth="1"/>
    <col min="13795" max="13799" width="10.7109375" style="231"/>
    <col min="13800" max="13802" width="10.7109375" style="231" customWidth="1"/>
    <col min="13803" max="13806" width="10.7109375" style="231"/>
    <col min="13807" max="13808" width="10.7109375" style="231" customWidth="1"/>
    <col min="13809" max="13812" width="10.7109375" style="231"/>
    <col min="13813" max="13813" width="10.7109375" style="231" customWidth="1"/>
    <col min="13814" max="13814" width="10.7109375" style="231"/>
    <col min="13815" max="13816" width="10.7109375" style="231" customWidth="1"/>
    <col min="13817" max="13820" width="10.7109375" style="231"/>
    <col min="13821" max="13821" width="10.7109375" style="231" customWidth="1"/>
    <col min="13822" max="13823" width="10.7109375" style="231"/>
    <col min="13824" max="13824" width="10.7109375" style="231" customWidth="1"/>
    <col min="13825" max="13825" width="10.7109375" style="231"/>
    <col min="13826" max="13826" width="10.7109375" style="231" customWidth="1"/>
    <col min="13827" max="13831" width="10.7109375" style="231"/>
    <col min="13832" max="13832" width="10.7109375" style="231" customWidth="1"/>
    <col min="13833" max="13833" width="10.7109375" style="231"/>
    <col min="13834" max="13834" width="10.7109375" style="231" customWidth="1"/>
    <col min="13835" max="13839" width="10.7109375" style="231"/>
    <col min="13840" max="13841" width="10.7109375" style="231" customWidth="1"/>
    <col min="13842" max="13846" width="10.7109375" style="231"/>
    <col min="13847" max="13849" width="10.7109375" style="231" customWidth="1"/>
    <col min="13850" max="13850" width="10.7109375" style="231"/>
    <col min="13851" max="13851" width="10.7109375" style="231" customWidth="1"/>
    <col min="13852" max="13853" width="10.7109375" style="231"/>
    <col min="13854" max="13854" width="10.7109375" style="231" customWidth="1"/>
    <col min="13855" max="13857" width="10.7109375" style="231"/>
    <col min="13858" max="13858" width="10.7109375" style="231" customWidth="1"/>
    <col min="13859" max="13861" width="10.7109375" style="231"/>
    <col min="13862" max="13864" width="10.7109375" style="231" customWidth="1"/>
    <col min="13865" max="13865" width="10.7109375" style="231"/>
    <col min="13866" max="13866" width="10.7109375" style="231" customWidth="1"/>
    <col min="13867" max="13868" width="10.7109375" style="231"/>
    <col min="13869" max="13874" width="10.7109375" style="231" customWidth="1"/>
    <col min="13875" max="13878" width="10.7109375" style="231"/>
    <col min="13879" max="13881" width="10.7109375" style="231" customWidth="1"/>
    <col min="13882" max="13884" width="10.7109375" style="231"/>
    <col min="13885" max="13885" width="10.7109375" style="231" customWidth="1"/>
    <col min="13886" max="13904" width="10.7109375" style="231"/>
    <col min="13905" max="13906" width="10.7109375" style="231" customWidth="1"/>
    <col min="13907" max="13912" width="10.7109375" style="231"/>
    <col min="13913" max="13913" width="10.7109375" style="231" customWidth="1"/>
    <col min="13914" max="13919" width="10.7109375" style="231"/>
    <col min="13920" max="13920" width="10.7109375" style="231" customWidth="1"/>
    <col min="13921" max="13924" width="10.7109375" style="231"/>
    <col min="13925" max="13925" width="10.7109375" style="231" customWidth="1"/>
    <col min="13926" max="13926" width="10.7109375" style="231"/>
    <col min="13927" max="13928" width="10.7109375" style="231" customWidth="1"/>
    <col min="13929" max="13930" width="10.7109375" style="231"/>
    <col min="13931" max="13931" width="10.7109375" style="231" customWidth="1"/>
    <col min="13932" max="13933" width="10.7109375" style="231"/>
    <col min="13934" max="13935" width="10.7109375" style="231" customWidth="1"/>
    <col min="13936" max="13937" width="10.7109375" style="231"/>
    <col min="13938" max="13939" width="10.7109375" style="231" customWidth="1"/>
    <col min="13940" max="13940" width="10.7109375" style="231"/>
    <col min="13941" max="13944" width="10.7109375" style="231" customWidth="1"/>
    <col min="13945" max="13945" width="10.7109375" style="231"/>
    <col min="13946" max="13946" width="10.7109375" style="231" customWidth="1"/>
    <col min="13947" max="13948" width="10.7109375" style="231"/>
    <col min="13949" max="13952" width="10.7109375" style="231" customWidth="1"/>
    <col min="13953" max="13953" width="10.7109375" style="231"/>
    <col min="13954" max="13954" width="10.7109375" style="231" customWidth="1"/>
    <col min="13955" max="13958" width="10.7109375" style="231"/>
    <col min="13959" max="13960" width="10.7109375" style="231" customWidth="1"/>
    <col min="13961" max="13964" width="10.7109375" style="231"/>
    <col min="13965" max="13965" width="10.7109375" style="231" customWidth="1"/>
    <col min="13966" max="13967" width="10.7109375" style="231"/>
    <col min="13968" max="13968" width="10.7109375" style="231" customWidth="1"/>
    <col min="13969" max="13969" width="10.7109375" style="231"/>
    <col min="13970" max="13970" width="10.7109375" style="231" customWidth="1"/>
    <col min="13971" max="13972" width="10.7109375" style="231"/>
    <col min="13973" max="13973" width="10.7109375" style="231" customWidth="1"/>
    <col min="13974" max="13975" width="10.7109375" style="231"/>
    <col min="13976" max="13976" width="10.7109375" style="231" customWidth="1"/>
    <col min="13977" max="13977" width="10.7109375" style="231"/>
    <col min="13978" max="13979" width="10.7109375" style="231" customWidth="1"/>
    <col min="13980" max="13983" width="10.7109375" style="231"/>
    <col min="13984" max="13985" width="10.7109375" style="231" customWidth="1"/>
    <col min="13986" max="13990" width="10.7109375" style="231"/>
    <col min="13991" max="13992" width="10.7109375" style="231" customWidth="1"/>
    <col min="13993" max="13994" width="10.7109375" style="231"/>
    <col min="13995" max="13997" width="10.7109375" style="231" customWidth="1"/>
    <col min="13998" max="13999" width="10.7109375" style="231"/>
    <col min="14000" max="14000" width="10.7109375" style="231" customWidth="1"/>
    <col min="14001" max="14004" width="10.7109375" style="231"/>
    <col min="14005" max="14005" width="10.7109375" style="231" customWidth="1"/>
    <col min="14006" max="14007" width="10.7109375" style="231"/>
    <col min="14008" max="14008" width="10.7109375" style="231" customWidth="1"/>
    <col min="14009" max="14009" width="10.7109375" style="231"/>
    <col min="14010" max="14010" width="10.7109375" style="231" customWidth="1"/>
    <col min="14011" max="14012" width="10.7109375" style="231"/>
    <col min="14013" max="14013" width="10.7109375" style="231" customWidth="1"/>
    <col min="14014" max="14015" width="10.7109375" style="231"/>
    <col min="14016" max="14017" width="10.7109375" style="231" customWidth="1"/>
    <col min="14018" max="14020" width="10.7109375" style="231"/>
    <col min="14021" max="14021" width="10.7109375" style="231" customWidth="1"/>
    <col min="14022" max="14022" width="10.7109375" style="231"/>
    <col min="14023" max="14024" width="10.7109375" style="231" customWidth="1"/>
    <col min="14025" max="14025" width="10.7109375" style="231"/>
    <col min="14026" max="14029" width="10.7109375" style="231" customWidth="1"/>
    <col min="14030" max="14031" width="10.7109375" style="231"/>
    <col min="14032" max="14036" width="10.7109375" style="231" customWidth="1"/>
    <col min="14037" max="14039" width="10.7109375" style="231"/>
    <col min="14040" max="14040" width="10.7109375" style="231" customWidth="1"/>
    <col min="14041" max="14041" width="10.7109375" style="231"/>
    <col min="14042" max="14042" width="10.7109375" style="231" customWidth="1"/>
    <col min="14043" max="14043" width="10.7109375" style="231"/>
    <col min="14044" max="14044" width="10.7109375" style="231" customWidth="1"/>
    <col min="14045" max="14047" width="10.7109375" style="231"/>
    <col min="14048" max="14048" width="10.7109375" style="231" customWidth="1"/>
    <col min="14049" max="14049" width="10.7109375" style="231"/>
    <col min="14050" max="14050" width="10.7109375" style="231" customWidth="1"/>
    <col min="14051" max="14055" width="10.7109375" style="231"/>
    <col min="14056" max="14056" width="10.7109375" style="231" customWidth="1"/>
    <col min="14057" max="14057" width="10.7109375" style="231"/>
    <col min="14058" max="14058" width="10.7109375" style="231" customWidth="1"/>
    <col min="14059" max="14059" width="10.7109375" style="231"/>
    <col min="14060" max="14060" width="10.7109375" style="231" customWidth="1"/>
    <col min="14061" max="14063" width="10.7109375" style="231"/>
    <col min="14064" max="14065" width="10.7109375" style="231" customWidth="1"/>
    <col min="14066" max="14070" width="10.7109375" style="231"/>
    <col min="14071" max="14071" width="10.7109375" style="231" customWidth="1"/>
    <col min="14072" max="14072" width="10.7109375" style="231"/>
    <col min="14073" max="14073" width="10.7109375" style="231" customWidth="1"/>
    <col min="14074" max="14074" width="10.7109375" style="231"/>
    <col min="14075" max="14076" width="10.7109375" style="231" customWidth="1"/>
    <col min="14077" max="14080" width="10.7109375" style="231"/>
    <col min="14081" max="14081" width="10.7109375" style="231" customWidth="1"/>
    <col min="14082" max="14087" width="10.7109375" style="231"/>
    <col min="14088" max="14088" width="10.7109375" style="231" customWidth="1"/>
    <col min="14089" max="14089" width="10.7109375" style="231"/>
    <col min="14090" max="14091" width="10.7109375" style="231" customWidth="1"/>
    <col min="14092" max="14092" width="10.7109375" style="231"/>
    <col min="14093" max="14093" width="10.7109375" style="231" customWidth="1"/>
    <col min="14094" max="14095" width="10.7109375" style="231"/>
    <col min="14096" max="14097" width="10.7109375" style="231" customWidth="1"/>
    <col min="14098" max="14100" width="10.7109375" style="231"/>
    <col min="14101" max="14101" width="10.7109375" style="231" customWidth="1"/>
    <col min="14102" max="14103" width="10.7109375" style="231"/>
    <col min="14104" max="14104" width="10.7109375" style="231" customWidth="1"/>
    <col min="14105" max="14105" width="10.7109375" style="231"/>
    <col min="14106" max="14106" width="10.7109375" style="231" customWidth="1"/>
    <col min="14107" max="14107" width="10.7109375" style="231"/>
    <col min="14108" max="14108" width="10.7109375" style="231" customWidth="1"/>
    <col min="14109" max="14111" width="10.7109375" style="231"/>
    <col min="14112" max="14112" width="10.7109375" style="231" customWidth="1"/>
    <col min="14113" max="14118" width="10.7109375" style="231"/>
    <col min="14119" max="14120" width="10.7109375" style="231" customWidth="1"/>
    <col min="14121" max="14121" width="10.7109375" style="231"/>
    <col min="14122" max="14122" width="10.7109375" style="231" customWidth="1"/>
    <col min="14123" max="14123" width="10.7109375" style="231"/>
    <col min="14124" max="14124" width="10.7109375" style="231" customWidth="1"/>
    <col min="14125" max="14127" width="10.7109375" style="231"/>
    <col min="14128" max="14128" width="10.7109375" style="231" customWidth="1"/>
    <col min="14129" max="14129" width="10.7109375" style="231"/>
    <col min="14130" max="14131" width="10.7109375" style="231" customWidth="1"/>
    <col min="14132" max="14132" width="10.7109375" style="231"/>
    <col min="14133" max="14133" width="10.7109375" style="231" customWidth="1"/>
    <col min="14134" max="14135" width="10.7109375" style="231"/>
    <col min="14136" max="14136" width="10.7109375" style="231" customWidth="1"/>
    <col min="14137" max="14138" width="10.7109375" style="231"/>
    <col min="14139" max="14141" width="10.7109375" style="231" customWidth="1"/>
    <col min="14142" max="14143" width="10.7109375" style="231"/>
    <col min="14144" max="14144" width="10.7109375" style="231" customWidth="1"/>
    <col min="14145" max="14146" width="10.7109375" style="231"/>
    <col min="14147" max="14147" width="10.7109375" style="231" customWidth="1"/>
    <col min="14148" max="14151" width="10.7109375" style="231"/>
    <col min="14152" max="14152" width="10.7109375" style="231" customWidth="1"/>
    <col min="14153" max="14153" width="10.7109375" style="231"/>
    <col min="14154" max="14154" width="10.7109375" style="231" customWidth="1"/>
    <col min="14155" max="14155" width="10.7109375" style="231"/>
    <col min="14156" max="14156" width="10.7109375" style="231" customWidth="1"/>
    <col min="14157" max="14159" width="10.7109375" style="231"/>
    <col min="14160" max="14162" width="10.7109375" style="231" customWidth="1"/>
    <col min="14163" max="14163" width="10.7109375" style="231"/>
    <col min="14164" max="14164" width="10.7109375" style="231" customWidth="1"/>
    <col min="14165" max="14167" width="10.7109375" style="231"/>
    <col min="14168" max="14169" width="10.7109375" style="231" customWidth="1"/>
    <col min="14170" max="14172" width="10.7109375" style="231"/>
    <col min="14173" max="14173" width="10.7109375" style="231" customWidth="1"/>
    <col min="14174" max="14174" width="10.7109375" style="231"/>
    <col min="14175" max="14176" width="10.7109375" style="231" customWidth="1"/>
    <col min="14177" max="14178" width="10.7109375" style="231"/>
    <col min="14179" max="14181" width="10.7109375" style="231" customWidth="1"/>
    <col min="14182" max="14183" width="10.7109375" style="231"/>
    <col min="14184" max="14185" width="10.7109375" style="231" customWidth="1"/>
    <col min="14186" max="14186" width="10.7109375" style="231"/>
    <col min="14187" max="14188" width="10.7109375" style="231" customWidth="1"/>
    <col min="14189" max="14191" width="10.7109375" style="231"/>
    <col min="14192" max="14192" width="10.7109375" style="231" customWidth="1"/>
    <col min="14193" max="14195" width="10.7109375" style="231"/>
    <col min="14196" max="14197" width="10.7109375" style="231" customWidth="1"/>
    <col min="14198" max="14199" width="10.7109375" style="231"/>
    <col min="14200" max="14200" width="10.7109375" style="231" customWidth="1"/>
    <col min="14201" max="14201" width="10.7109375" style="231"/>
    <col min="14202" max="14205" width="10.7109375" style="231" customWidth="1"/>
    <col min="14206" max="14207" width="10.7109375" style="231"/>
    <col min="14208" max="14210" width="10.7109375" style="231" customWidth="1"/>
    <col min="14211" max="14211" width="10.7109375" style="231"/>
    <col min="14212" max="14212" width="10.7109375" style="231" customWidth="1"/>
    <col min="14213" max="14215" width="10.7109375" style="231"/>
    <col min="14216" max="14216" width="10.7109375" style="231" customWidth="1"/>
    <col min="14217" max="14220" width="10.7109375" style="231"/>
    <col min="14221" max="14221" width="10.7109375" style="231" customWidth="1"/>
    <col min="14222" max="14223" width="10.7109375" style="231"/>
    <col min="14224" max="14225" width="10.7109375" style="231" customWidth="1"/>
    <col min="14226" max="14226" width="10.7109375" style="231"/>
    <col min="14227" max="14228" width="10.7109375" style="231" customWidth="1"/>
    <col min="14229" max="14231" width="10.7109375" style="231"/>
    <col min="14232" max="14232" width="10.7109375" style="231" customWidth="1"/>
    <col min="14233" max="14233" width="10.7109375" style="231"/>
    <col min="14234" max="14234" width="10.7109375" style="231" customWidth="1"/>
    <col min="14235" max="14238" width="10.7109375" style="231"/>
    <col min="14239" max="14240" width="10.7109375" style="231" customWidth="1"/>
    <col min="14241" max="14246" width="10.7109375" style="231"/>
    <col min="14247" max="14248" width="10.7109375" style="231" customWidth="1"/>
    <col min="14249" max="14252" width="10.7109375" style="231"/>
    <col min="14253" max="14253" width="10.7109375" style="231" customWidth="1"/>
    <col min="14254" max="14255" width="10.7109375" style="231"/>
    <col min="14256" max="14256" width="10.7109375" style="231" customWidth="1"/>
    <col min="14257" max="14257" width="10.7109375" style="231"/>
    <col min="14258" max="14258" width="10.7109375" style="231" customWidth="1"/>
    <col min="14259" max="14259" width="10.7109375" style="231"/>
    <col min="14260" max="14261" width="10.7109375" style="231" customWidth="1"/>
    <col min="14262" max="14263" width="10.7109375" style="231"/>
    <col min="14264" max="14264" width="10.7109375" style="231" customWidth="1"/>
    <col min="14265" max="14265" width="10.7109375" style="231"/>
    <col min="14266" max="14266" width="10.7109375" style="231" customWidth="1"/>
    <col min="14267" max="14271" width="10.7109375" style="231"/>
    <col min="14272" max="14272" width="10.7109375" style="231" customWidth="1"/>
    <col min="14273" max="14278" width="10.7109375" style="231"/>
    <col min="14279" max="14281" width="10.7109375" style="231" customWidth="1"/>
    <col min="14282" max="14284" width="10.7109375" style="231"/>
    <col min="14285" max="14288" width="10.7109375" style="231" customWidth="1"/>
    <col min="14289" max="14289" width="10.7109375" style="231"/>
    <col min="14290" max="14291" width="10.7109375" style="231" customWidth="1"/>
    <col min="14292" max="14292" width="10.7109375" style="231"/>
    <col min="14293" max="14293" width="10.7109375" style="231" customWidth="1"/>
    <col min="14294" max="14295" width="10.7109375" style="231"/>
    <col min="14296" max="14296" width="10.7109375" style="231" customWidth="1"/>
    <col min="14297" max="14297" width="10.7109375" style="231"/>
    <col min="14298" max="14299" width="10.7109375" style="231" customWidth="1"/>
    <col min="14300" max="14300" width="10.7109375" style="231"/>
    <col min="14301" max="14304" width="10.7109375" style="231" customWidth="1"/>
    <col min="14305" max="14305" width="10.7109375" style="231"/>
    <col min="14306" max="14307" width="10.7109375" style="231" customWidth="1"/>
    <col min="14308" max="14308" width="10.7109375" style="231"/>
    <col min="14309" max="14314" width="10.7109375" style="231" customWidth="1"/>
    <col min="14315" max="14318" width="10.7109375" style="231"/>
    <col min="14319" max="14320" width="10.7109375" style="231" customWidth="1"/>
    <col min="14321" max="14322" width="10.7109375" style="231"/>
    <col min="14323" max="14324" width="10.7109375" style="231" customWidth="1"/>
    <col min="14325" max="14328" width="10.7109375" style="231"/>
    <col min="14329" max="14329" width="10.7109375" style="231" customWidth="1"/>
    <col min="14330" max="14335" width="10.7109375" style="231"/>
    <col min="14336" max="14337" width="10.7109375" style="231" customWidth="1"/>
    <col min="14338" max="14338" width="10.7109375" style="231"/>
    <col min="14339" max="14340" width="10.7109375" style="231" customWidth="1"/>
    <col min="14341" max="14343" width="10.7109375" style="231"/>
    <col min="14344" max="14344" width="10.7109375" style="231" customWidth="1"/>
    <col min="14345" max="14345" width="10.7109375" style="231"/>
    <col min="14346" max="14347" width="10.7109375" style="231" customWidth="1"/>
    <col min="14348" max="14348" width="10.7109375" style="231"/>
    <col min="14349" max="14349" width="10.7109375" style="231" customWidth="1"/>
    <col min="14350" max="14351" width="10.7109375" style="231"/>
    <col min="14352" max="14353" width="10.7109375" style="231" customWidth="1"/>
    <col min="14354" max="14356" width="10.7109375" style="231"/>
    <col min="14357" max="14357" width="10.7109375" style="231" customWidth="1"/>
    <col min="14358" max="14359" width="10.7109375" style="231"/>
    <col min="14360" max="14360" width="10.7109375" style="231" customWidth="1"/>
    <col min="14361" max="14363" width="10.7109375" style="231"/>
    <col min="14364" max="14365" width="10.7109375" style="231" customWidth="1"/>
    <col min="14366" max="14367" width="10.7109375" style="231"/>
    <col min="14368" max="14369" width="10.7109375" style="231" customWidth="1"/>
    <col min="14370" max="14374" width="10.7109375" style="231"/>
    <col min="14375" max="14376" width="10.7109375" style="231" customWidth="1"/>
    <col min="14377" max="14378" width="10.7109375" style="231"/>
    <col min="14379" max="14379" width="10.7109375" style="231" customWidth="1"/>
    <col min="14380" max="14380" width="10.7109375" style="231"/>
    <col min="14381" max="14381" width="10.7109375" style="231" customWidth="1"/>
    <col min="14382" max="14383" width="10.7109375" style="231"/>
    <col min="14384" max="14384" width="10.7109375" style="231" customWidth="1"/>
    <col min="14385" max="14388" width="10.7109375" style="231"/>
    <col min="14389" max="14389" width="10.7109375" style="231" customWidth="1"/>
    <col min="14390" max="14396" width="10.7109375" style="231"/>
    <col min="14397" max="14397" width="10.7109375" style="231" customWidth="1"/>
    <col min="14398" max="14399" width="10.7109375" style="231"/>
    <col min="14400" max="14401" width="10.7109375" style="231" customWidth="1"/>
    <col min="14402" max="14404" width="10.7109375" style="231"/>
    <col min="14405" max="14405" width="10.7109375" style="231" customWidth="1"/>
    <col min="14406" max="14406" width="10.7109375" style="231"/>
    <col min="14407" max="14408" width="10.7109375" style="231" customWidth="1"/>
    <col min="14409" max="14409" width="10.7109375" style="231"/>
    <col min="14410" max="14413" width="10.7109375" style="231" customWidth="1"/>
    <col min="14414" max="14415" width="10.7109375" style="231"/>
    <col min="14416" max="14420" width="10.7109375" style="231" customWidth="1"/>
    <col min="14421" max="14423" width="10.7109375" style="231"/>
    <col min="14424" max="14428" width="10.7109375" style="231" customWidth="1"/>
    <col min="14429" max="14431" width="10.7109375" style="231"/>
    <col min="14432" max="14434" width="10.7109375" style="231" customWidth="1"/>
    <col min="14435" max="14439" width="10.7109375" style="231"/>
    <col min="14440" max="14440" width="10.7109375" style="231" customWidth="1"/>
    <col min="14441" max="14441" width="10.7109375" style="231"/>
    <col min="14442" max="14442" width="10.7109375" style="231" customWidth="1"/>
    <col min="14443" max="14443" width="10.7109375" style="231"/>
    <col min="14444" max="14444" width="10.7109375" style="231" customWidth="1"/>
    <col min="14445" max="14447" width="10.7109375" style="231"/>
    <col min="14448" max="14449" width="10.7109375" style="231" customWidth="1"/>
    <col min="14450" max="14454" width="10.7109375" style="231"/>
    <col min="14455" max="14455" width="10.7109375" style="231" customWidth="1"/>
    <col min="14456" max="14458" width="10.7109375" style="231"/>
    <col min="14459" max="14459" width="10.7109375" style="231" customWidth="1"/>
    <col min="14460" max="14460" width="10.7109375" style="231"/>
    <col min="14461" max="14461" width="10.7109375" style="231" customWidth="1"/>
    <col min="14462" max="14471" width="10.7109375" style="231"/>
    <col min="14472" max="14472" width="10.7109375" style="231" customWidth="1"/>
    <col min="14473" max="14474" width="10.7109375" style="231"/>
    <col min="14475" max="14476" width="10.7109375" style="231" customWidth="1"/>
    <col min="14477" max="14479" width="10.7109375" style="231"/>
    <col min="14480" max="14482" width="10.7109375" style="231" customWidth="1"/>
    <col min="14483" max="14483" width="10.7109375" style="231"/>
    <col min="14484" max="14484" width="10.7109375" style="231" customWidth="1"/>
    <col min="14485" max="14489" width="10.7109375" style="231"/>
    <col min="14490" max="14491" width="10.7109375" style="231" customWidth="1"/>
    <col min="14492" max="14492" width="10.7109375" style="231"/>
    <col min="14493" max="14493" width="10.7109375" style="231" customWidth="1"/>
    <col min="14494" max="14503" width="10.7109375" style="231"/>
    <col min="14504" max="14504" width="10.7109375" style="231" customWidth="1"/>
    <col min="14505" max="14506" width="10.7109375" style="231"/>
    <col min="14507" max="14507" width="10.7109375" style="231" customWidth="1"/>
    <col min="14508" max="14511" width="10.7109375" style="231"/>
    <col min="14512" max="14512" width="10.7109375" style="231" customWidth="1"/>
    <col min="14513" max="14513" width="10.7109375" style="231"/>
    <col min="14514" max="14514" width="10.7109375" style="231" customWidth="1"/>
    <col min="14515" max="14515" width="10.7109375" style="231"/>
    <col min="14516" max="14517" width="10.7109375" style="231" customWidth="1"/>
    <col min="14518" max="14519" width="10.7109375" style="231"/>
    <col min="14520" max="14522" width="10.7109375" style="231" customWidth="1"/>
    <col min="14523" max="14523" width="10.7109375" style="231"/>
    <col min="14524" max="14524" width="10.7109375" style="231" customWidth="1"/>
    <col min="14525" max="14527" width="10.7109375" style="231"/>
    <col min="14528" max="14530" width="10.7109375" style="231" customWidth="1"/>
    <col min="14531" max="14534" width="10.7109375" style="231"/>
    <col min="14535" max="14536" width="10.7109375" style="231" customWidth="1"/>
    <col min="14537" max="14540" width="10.7109375" style="231"/>
    <col min="14541" max="14541" width="10.7109375" style="231" customWidth="1"/>
    <col min="14542" max="14542" width="10.7109375" style="231"/>
    <col min="14543" max="14544" width="10.7109375" style="231" customWidth="1"/>
    <col min="14545" max="14546" width="10.7109375" style="231"/>
    <col min="14547" max="14548" width="10.7109375" style="231" customWidth="1"/>
    <col min="14549" max="14551" width="10.7109375" style="231"/>
    <col min="14552" max="14552" width="10.7109375" style="231" customWidth="1"/>
    <col min="14553" max="14553" width="10.7109375" style="231"/>
    <col min="14554" max="14554" width="10.7109375" style="231" customWidth="1"/>
    <col min="14555" max="14555" width="10.7109375" style="231"/>
    <col min="14556" max="14556" width="10.7109375" style="231" customWidth="1"/>
    <col min="14557" max="14560" width="10.7109375" style="231"/>
    <col min="14561" max="14561" width="10.7109375" style="231" customWidth="1"/>
    <col min="14562" max="14567" width="10.7109375" style="231"/>
    <col min="14568" max="14568" width="10.7109375" style="231" customWidth="1"/>
    <col min="14569" max="14569" width="10.7109375" style="231"/>
    <col min="14570" max="14571" width="10.7109375" style="231" customWidth="1"/>
    <col min="14572" max="14575" width="10.7109375" style="231"/>
    <col min="14576" max="14577" width="10.7109375" style="231" customWidth="1"/>
    <col min="14578" max="14587" width="10.7109375" style="231"/>
    <col min="14588" max="14588" width="10.7109375" style="231" customWidth="1"/>
    <col min="14589" max="14592" width="10.7109375" style="231"/>
    <col min="14593" max="14593" width="10.7109375" style="231" customWidth="1"/>
    <col min="14594" max="14598" width="10.7109375" style="231"/>
    <col min="14599" max="14601" width="10.7109375" style="231" customWidth="1"/>
    <col min="14602" max="14602" width="10.7109375" style="231"/>
    <col min="14603" max="14603" width="10.7109375" style="231" customWidth="1"/>
    <col min="14604" max="14604" width="10.7109375" style="231"/>
    <col min="14605" max="14608" width="10.7109375" style="231" customWidth="1"/>
    <col min="14609" max="14609" width="10.7109375" style="231"/>
    <col min="14610" max="14611" width="10.7109375" style="231" customWidth="1"/>
    <col min="14612" max="14613" width="10.7109375" style="231"/>
    <col min="14614" max="14614" width="10.7109375" style="231" customWidth="1"/>
    <col min="14615" max="14615" width="10.7109375" style="231"/>
    <col min="14616" max="14616" width="10.7109375" style="231" customWidth="1"/>
    <col min="14617" max="14617" width="10.7109375" style="231"/>
    <col min="14618" max="14619" width="10.7109375" style="231" customWidth="1"/>
    <col min="14620" max="14620" width="10.7109375" style="231"/>
    <col min="14621" max="14621" width="10.7109375" style="231" customWidth="1"/>
    <col min="14622" max="14630" width="10.7109375" style="231"/>
    <col min="14631" max="14632" width="10.7109375" style="231" customWidth="1"/>
    <col min="14633" max="14633" width="10.7109375" style="231"/>
    <col min="14634" max="14634" width="10.7109375" style="231" customWidth="1"/>
    <col min="14635" max="14638" width="10.7109375" style="231"/>
    <col min="14639" max="14640" width="10.7109375" style="231" customWidth="1"/>
    <col min="14641" max="14642" width="10.7109375" style="231"/>
    <col min="14643" max="14643" width="10.7109375" style="231" customWidth="1"/>
    <col min="14644" max="14644" width="10.7109375" style="231"/>
    <col min="14645" max="14645" width="10.7109375" style="231" customWidth="1"/>
    <col min="14646" max="14647" width="10.7109375" style="231"/>
    <col min="14648" max="14648" width="10.7109375" style="231" customWidth="1"/>
    <col min="14649" max="14649" width="10.7109375" style="231"/>
    <col min="14650" max="14650" width="10.7109375" style="231" customWidth="1"/>
    <col min="14651" max="14651" width="10.7109375" style="231"/>
    <col min="14652" max="14653" width="10.7109375" style="231" customWidth="1"/>
    <col min="14654" max="14655" width="10.7109375" style="231"/>
    <col min="14656" max="14656" width="10.7109375" style="231" customWidth="1"/>
    <col min="14657" max="14657" width="10.7109375" style="231"/>
    <col min="14658" max="14659" width="10.7109375" style="231" customWidth="1"/>
    <col min="14660" max="14663" width="10.7109375" style="231"/>
    <col min="14664" max="14664" width="10.7109375" style="231" customWidth="1"/>
    <col min="14665" max="14670" width="10.7109375" style="231"/>
    <col min="14671" max="14672" width="10.7109375" style="231" customWidth="1"/>
    <col min="14673" max="14674" width="10.7109375" style="231"/>
    <col min="14675" max="14677" width="10.7109375" style="231" customWidth="1"/>
    <col min="14678" max="14679" width="10.7109375" style="231"/>
    <col min="14680" max="14680" width="10.7109375" style="231" customWidth="1"/>
    <col min="14681" max="14684" width="10.7109375" style="231"/>
    <col min="14685" max="14685" width="10.7109375" style="231" customWidth="1"/>
    <col min="14686" max="14687" width="10.7109375" style="231"/>
    <col min="14688" max="14688" width="10.7109375" style="231" customWidth="1"/>
    <col min="14689" max="14689" width="10.7109375" style="231"/>
    <col min="14690" max="14690" width="10.7109375" style="231" customWidth="1"/>
    <col min="14691" max="14692" width="10.7109375" style="231"/>
    <col min="14693" max="14693" width="10.7109375" style="231" customWidth="1"/>
    <col min="14694" max="14695" width="10.7109375" style="231"/>
    <col min="14696" max="14697" width="10.7109375" style="231" customWidth="1"/>
    <col min="14698" max="14700" width="10.7109375" style="231"/>
    <col min="14701" max="14701" width="10.7109375" style="231" customWidth="1"/>
    <col min="14702" max="14702" width="10.7109375" style="231"/>
    <col min="14703" max="14704" width="10.7109375" style="231" customWidth="1"/>
    <col min="14705" max="14705" width="10.7109375" style="231"/>
    <col min="14706" max="14707" width="10.7109375" style="231" customWidth="1"/>
    <col min="14708" max="14708" width="10.7109375" style="231"/>
    <col min="14709" max="14709" width="10.7109375" style="231" customWidth="1"/>
    <col min="14710" max="14711" width="10.7109375" style="231"/>
    <col min="14712" max="14716" width="10.7109375" style="231" customWidth="1"/>
    <col min="14717" max="14719" width="10.7109375" style="231"/>
    <col min="14720" max="14724" width="10.7109375" style="231" customWidth="1"/>
    <col min="14725" max="14727" width="10.7109375" style="231"/>
    <col min="14728" max="14730" width="10.7109375" style="231" customWidth="1"/>
    <col min="14731" max="14732" width="10.7109375" style="231"/>
    <col min="14733" max="14733" width="10.7109375" style="231" customWidth="1"/>
    <col min="14734" max="14735" width="10.7109375" style="231"/>
    <col min="14736" max="14736" width="10.7109375" style="231" customWidth="1"/>
    <col min="14737" max="14737" width="10.7109375" style="231"/>
    <col min="14738" max="14738" width="10.7109375" style="231" customWidth="1"/>
    <col min="14739" max="14739" width="10.7109375" style="231"/>
    <col min="14740" max="14741" width="10.7109375" style="231" customWidth="1"/>
    <col min="14742" max="14743" width="10.7109375" style="231"/>
    <col min="14744" max="14744" width="10.7109375" style="231" customWidth="1"/>
    <col min="14745" max="14748" width="10.7109375" style="231"/>
    <col min="14749" max="14749" width="10.7109375" style="231" customWidth="1"/>
    <col min="14750" max="14750" width="10.7109375" style="231"/>
    <col min="14751" max="14752" width="10.7109375" style="231" customWidth="1"/>
    <col min="14753" max="14753" width="10.7109375" style="231"/>
    <col min="14754" max="14754" width="10.7109375" style="231" customWidth="1"/>
    <col min="14755" max="14759" width="10.7109375" style="231"/>
    <col min="14760" max="14761" width="10.7109375" style="231" customWidth="1"/>
    <col min="14762" max="14763" width="10.7109375" style="231"/>
    <col min="14764" max="14764" width="10.7109375" style="231" customWidth="1"/>
    <col min="14765" max="14767" width="10.7109375" style="231"/>
    <col min="14768" max="14768" width="10.7109375" style="231" customWidth="1"/>
    <col min="14769" max="14769" width="10.7109375" style="231"/>
    <col min="14770" max="14771" width="10.7109375" style="231" customWidth="1"/>
    <col min="14772" max="14772" width="10.7109375" style="231"/>
    <col min="14773" max="14773" width="10.7109375" style="231" customWidth="1"/>
    <col min="14774" max="14775" width="10.7109375" style="231"/>
    <col min="14776" max="14776" width="10.7109375" style="231" customWidth="1"/>
    <col min="14777" max="14780" width="10.7109375" style="231"/>
    <col min="14781" max="14781" width="10.7109375" style="231" customWidth="1"/>
    <col min="14782" max="14783" width="10.7109375" style="231"/>
    <col min="14784" max="14784" width="10.7109375" style="231" customWidth="1"/>
    <col min="14785" max="14785" width="10.7109375" style="231"/>
    <col min="14786" max="14786" width="10.7109375" style="231" customWidth="1"/>
    <col min="14787" max="14791" width="10.7109375" style="231"/>
    <col min="14792" max="14793" width="10.7109375" style="231" customWidth="1"/>
    <col min="14794" max="14796" width="10.7109375" style="231"/>
    <col min="14797" max="14797" width="10.7109375" style="231" customWidth="1"/>
    <col min="14798" max="14798" width="10.7109375" style="231"/>
    <col min="14799" max="14802" width="10.7109375" style="231" customWidth="1"/>
    <col min="14803" max="14803" width="10.7109375" style="231"/>
    <col min="14804" max="14804" width="10.7109375" style="231" customWidth="1"/>
    <col min="14805" max="14807" width="10.7109375" style="231"/>
    <col min="14808" max="14808" width="10.7109375" style="231" customWidth="1"/>
    <col min="14809" max="14809" width="10.7109375" style="231"/>
    <col min="14810" max="14811" width="10.7109375" style="231" customWidth="1"/>
    <col min="14812" max="14812" width="10.7109375" style="231"/>
    <col min="14813" max="14813" width="10.7109375" style="231" customWidth="1"/>
    <col min="14814" max="14815" width="10.7109375" style="231"/>
    <col min="14816" max="14816" width="10.7109375" style="231" customWidth="1"/>
    <col min="14817" max="14818" width="10.7109375" style="231"/>
    <col min="14819" max="14821" width="10.7109375" style="231" customWidth="1"/>
    <col min="14822" max="14823" width="10.7109375" style="231"/>
    <col min="14824" max="14824" width="10.7109375" style="231" customWidth="1"/>
    <col min="14825" max="14826" width="10.7109375" style="231"/>
    <col min="14827" max="14827" width="10.7109375" style="231" customWidth="1"/>
    <col min="14828" max="14828" width="10.7109375" style="231"/>
    <col min="14829" max="14829" width="10.7109375" style="231" customWidth="1"/>
    <col min="14830" max="14831" width="10.7109375" style="231"/>
    <col min="14832" max="14832" width="10.7109375" style="231" customWidth="1"/>
    <col min="14833" max="14836" width="10.7109375" style="231"/>
    <col min="14837" max="14837" width="10.7109375" style="231" customWidth="1"/>
    <col min="14838" max="14847" width="10.7109375" style="231"/>
    <col min="14848" max="14848" width="10.7109375" style="231" customWidth="1"/>
    <col min="14849" max="14852" width="10.7109375" style="231"/>
    <col min="14853" max="14853" width="10.7109375" style="231" customWidth="1"/>
    <col min="14854" max="14854" width="10.7109375" style="231"/>
    <col min="14855" max="14856" width="10.7109375" style="231" customWidth="1"/>
    <col min="14857" max="14858" width="10.7109375" style="231"/>
    <col min="14859" max="14859" width="10.7109375" style="231" customWidth="1"/>
    <col min="14860" max="14864" width="10.7109375" style="231"/>
    <col min="14865" max="14866" width="10.7109375" style="231" customWidth="1"/>
    <col min="14867" max="14867" width="10.7109375" style="231"/>
    <col min="14868" max="14868" width="10.7109375" style="231" customWidth="1"/>
    <col min="14869" max="14871" width="10.7109375" style="231"/>
    <col min="14872" max="14872" width="10.7109375" style="231" customWidth="1"/>
    <col min="14873" max="14873" width="10.7109375" style="231"/>
    <col min="14874" max="14874" width="10.7109375" style="231" customWidth="1"/>
    <col min="14875" max="14875" width="10.7109375" style="231"/>
    <col min="14876" max="14876" width="10.7109375" style="231" customWidth="1"/>
    <col min="14877" max="14881" width="10.7109375" style="231"/>
    <col min="14882" max="14882" width="10.7109375" style="231" customWidth="1"/>
    <col min="14883" max="14887" width="10.7109375" style="231"/>
    <col min="14888" max="14888" width="10.7109375" style="231" customWidth="1"/>
    <col min="14889" max="14889" width="10.7109375" style="231"/>
    <col min="14890" max="14890" width="10.7109375" style="231" customWidth="1"/>
    <col min="14891" max="14891" width="10.7109375" style="231"/>
    <col min="14892" max="14894" width="10.7109375" style="231" customWidth="1"/>
    <col min="14895" max="14895" width="10.7109375" style="231"/>
    <col min="14896" max="14897" width="10.7109375" style="231" customWidth="1"/>
    <col min="14898" max="14898" width="10.7109375" style="231"/>
    <col min="14899" max="14899" width="10.7109375" style="231" customWidth="1"/>
    <col min="14900" max="14903" width="10.7109375" style="231"/>
    <col min="14904" max="14905" width="10.7109375" style="231" customWidth="1"/>
    <col min="14906" max="14929" width="10.7109375" style="231"/>
    <col min="14930" max="14930" width="10.7109375" style="231" customWidth="1"/>
    <col min="14931" max="14934" width="10.7109375" style="231"/>
    <col min="14935" max="14935" width="10.7109375" style="231" customWidth="1"/>
    <col min="14936" max="14943" width="10.7109375" style="231"/>
    <col min="14944" max="14944" width="10.7109375" style="231" customWidth="1"/>
    <col min="14945" max="14948" width="10.7109375" style="231"/>
    <col min="14949" max="14949" width="10.7109375" style="231" customWidth="1"/>
    <col min="14950" max="14951" width="10.7109375" style="231"/>
    <col min="14952" max="14952" width="10.7109375" style="231" customWidth="1"/>
    <col min="14953" max="14961" width="10.7109375" style="231"/>
    <col min="14962" max="14963" width="10.7109375" style="231" customWidth="1"/>
    <col min="14964" max="14967" width="10.7109375" style="231"/>
    <col min="14968" max="14969" width="10.7109375" style="231" customWidth="1"/>
    <col min="14970" max="14976" width="10.7109375" style="231"/>
    <col min="14977" max="14977" width="10.7109375" style="231" customWidth="1"/>
    <col min="14978" max="14981" width="10.7109375" style="231"/>
    <col min="14982" max="14984" width="10.7109375" style="231" customWidth="1"/>
    <col min="14985" max="14985" width="10.7109375" style="231"/>
    <col min="14986" max="14986" width="10.7109375" style="231" customWidth="1"/>
    <col min="14987" max="14988" width="10.7109375" style="231"/>
    <col min="14989" max="14992" width="10.7109375" style="231" customWidth="1"/>
    <col min="14993" max="14993" width="10.7109375" style="231"/>
    <col min="14994" max="14995" width="10.7109375" style="231" customWidth="1"/>
    <col min="14996" max="14998" width="10.7109375" style="231"/>
    <col min="14999" max="14999" width="10.7109375" style="231" customWidth="1"/>
    <col min="15000" max="15001" width="10.7109375" style="231"/>
    <col min="15002" max="15003" width="10.7109375" style="231" customWidth="1"/>
    <col min="15004" max="15006" width="10.7109375" style="231"/>
    <col min="15007" max="15008" width="10.7109375" style="231" customWidth="1"/>
    <col min="15009" max="15009" width="10.7109375" style="231"/>
    <col min="15010" max="15010" width="10.7109375" style="231" customWidth="1"/>
    <col min="15011" max="15014" width="10.7109375" style="231"/>
    <col min="15015" max="15016" width="10.7109375" style="231" customWidth="1"/>
    <col min="15017" max="15017" width="10.7109375" style="231"/>
    <col min="15018" max="15018" width="10.7109375" style="231" customWidth="1"/>
    <col min="15019" max="15019" width="10.7109375" style="231"/>
    <col min="15020" max="15021" width="10.7109375" style="231" customWidth="1"/>
    <col min="15022" max="15023" width="10.7109375" style="231"/>
    <col min="15024" max="15025" width="10.7109375" style="231" customWidth="1"/>
    <col min="15026" max="15026" width="10.7109375" style="231"/>
    <col min="15027" max="15028" width="10.7109375" style="231" customWidth="1"/>
    <col min="15029" max="15031" width="10.7109375" style="231"/>
    <col min="15032" max="15033" width="10.7109375" style="231" customWidth="1"/>
    <col min="15034" max="15034" width="10.7109375" style="231"/>
    <col min="15035" max="15036" width="10.7109375" style="231" customWidth="1"/>
    <col min="15037" max="15039" width="10.7109375" style="231"/>
    <col min="15040" max="15040" width="10.7109375" style="231" customWidth="1"/>
    <col min="15041" max="15041" width="10.7109375" style="231"/>
    <col min="15042" max="15045" width="10.7109375" style="231" customWidth="1"/>
    <col min="15046" max="15047" width="10.7109375" style="231"/>
    <col min="15048" max="15048" width="10.7109375" style="231" customWidth="1"/>
    <col min="15049" max="15049" width="10.7109375" style="231"/>
    <col min="15050" max="15051" width="10.7109375" style="231" customWidth="1"/>
    <col min="15052" max="15055" width="10.7109375" style="231"/>
    <col min="15056" max="15057" width="10.7109375" style="231" customWidth="1"/>
    <col min="15058" max="15062" width="10.7109375" style="231"/>
    <col min="15063" max="15063" width="10.7109375" style="231" customWidth="1"/>
    <col min="15064" max="15064" width="10.7109375" style="231"/>
    <col min="15065" max="15065" width="10.7109375" style="231" customWidth="1"/>
    <col min="15066" max="15066" width="10.7109375" style="231"/>
    <col min="15067" max="15067" width="10.7109375" style="231" customWidth="1"/>
    <col min="15068" max="15070" width="10.7109375" style="231"/>
    <col min="15071" max="15071" width="10.7109375" style="231" customWidth="1"/>
    <col min="15072" max="15077" width="10.7109375" style="231"/>
    <col min="15078" max="15080" width="10.7109375" style="231" customWidth="1"/>
    <col min="15081" max="15081" width="10.7109375" style="231"/>
    <col min="15082" max="15083" width="10.7109375" style="231" customWidth="1"/>
    <col min="15084" max="15084" width="10.7109375" style="231"/>
    <col min="15085" max="15085" width="10.7109375" style="231" customWidth="1"/>
    <col min="15086" max="15086" width="10.7109375" style="231"/>
    <col min="15087" max="15087" width="10.7109375" style="231" customWidth="1"/>
    <col min="15088" max="15089" width="10.7109375" style="231"/>
    <col min="15090" max="15091" width="10.7109375" style="231" customWidth="1"/>
    <col min="15092" max="15094" width="10.7109375" style="231"/>
    <col min="15095" max="15095" width="10.7109375" style="231" customWidth="1"/>
    <col min="15096" max="15098" width="10.7109375" style="231"/>
    <col min="15099" max="15099" width="10.7109375" style="231" customWidth="1"/>
    <col min="15100" max="15100" width="10.7109375" style="231"/>
    <col min="15101" max="15101" width="10.7109375" style="231" customWidth="1"/>
    <col min="15102" max="15103" width="10.7109375" style="231"/>
    <col min="15104" max="15105" width="10.7109375" style="231" customWidth="1"/>
    <col min="15106" max="15110" width="10.7109375" style="231"/>
    <col min="15111" max="15113" width="10.7109375" style="231" customWidth="1"/>
    <col min="15114" max="15115" width="10.7109375" style="231"/>
    <col min="15116" max="15116" width="10.7109375" style="231" customWidth="1"/>
    <col min="15117" max="15119" width="10.7109375" style="231"/>
    <col min="15120" max="15120" width="10.7109375" style="231" customWidth="1"/>
    <col min="15121" max="15121" width="10.7109375" style="231"/>
    <col min="15122" max="15123" width="10.7109375" style="231" customWidth="1"/>
    <col min="15124" max="15139" width="10.7109375" style="231"/>
    <col min="15140" max="15140" width="10.7109375" style="231" customWidth="1"/>
    <col min="15141" max="15143" width="10.7109375" style="231"/>
    <col min="15144" max="15145" width="10.7109375" style="231" customWidth="1"/>
    <col min="15146" max="15150" width="10.7109375" style="231"/>
    <col min="15151" max="15151" width="10.7109375" style="231" customWidth="1"/>
    <col min="15152" max="15152" width="10.7109375" style="231"/>
    <col min="15153" max="15153" width="10.7109375" style="231" customWidth="1"/>
    <col min="15154" max="15154" width="10.7109375" style="231"/>
    <col min="15155" max="15155" width="10.7109375" style="231" customWidth="1"/>
    <col min="15156" max="15156" width="10.7109375" style="231"/>
    <col min="15157" max="15158" width="10.7109375" style="231" customWidth="1"/>
    <col min="15159" max="15159" width="10.7109375" style="231"/>
    <col min="15160" max="15160" width="10.7109375" style="231" customWidth="1"/>
    <col min="15161" max="15164" width="10.7109375" style="231"/>
    <col min="15165" max="15165" width="10.7109375" style="231" customWidth="1"/>
    <col min="15166" max="15166" width="10.7109375" style="231"/>
    <col min="15167" max="15167" width="10.7109375" style="231" customWidth="1"/>
    <col min="15168" max="15182" width="10.7109375" style="231"/>
    <col min="15183" max="15183" width="10.7109375" style="231" customWidth="1"/>
    <col min="15184" max="15189" width="10.7109375" style="231"/>
    <col min="15190" max="15192" width="10.7109375" style="231" customWidth="1"/>
    <col min="15193" max="15198" width="10.7109375" style="231"/>
    <col min="15199" max="15199" width="10.7109375" style="231" customWidth="1"/>
    <col min="15200" max="15206" width="10.7109375" style="231"/>
    <col min="15207" max="15208" width="10.7109375" style="231" customWidth="1"/>
    <col min="15209" max="15210" width="10.7109375" style="231"/>
    <col min="15211" max="15211" width="10.7109375" style="231" customWidth="1"/>
    <col min="15212" max="15217" width="10.7109375" style="231"/>
    <col min="15218" max="15218" width="10.7109375" style="231" customWidth="1"/>
    <col min="15219" max="15219" width="10.7109375" style="231"/>
    <col min="15220" max="15221" width="10.7109375" style="231" customWidth="1"/>
    <col min="15222" max="15223" width="10.7109375" style="231"/>
    <col min="15224" max="15224" width="10.7109375" style="231" customWidth="1"/>
    <col min="15225" max="15225" width="10.7109375" style="231"/>
    <col min="15226" max="15227" width="10.7109375" style="231" customWidth="1"/>
    <col min="15228" max="15232" width="10.7109375" style="231"/>
    <col min="15233" max="15233" width="10.7109375" style="231" customWidth="1"/>
    <col min="15234" max="15238" width="10.7109375" style="231"/>
    <col min="15239" max="15240" width="10.7109375" style="231" customWidth="1"/>
    <col min="15241" max="15243" width="10.7109375" style="231"/>
    <col min="15244" max="15245" width="10.7109375" style="231" customWidth="1"/>
    <col min="15246" max="15247" width="10.7109375" style="231"/>
    <col min="15248" max="15248" width="10.7109375" style="231" customWidth="1"/>
    <col min="15249" max="15263" width="10.7109375" style="231"/>
    <col min="15264" max="15265" width="10.7109375" style="231" customWidth="1"/>
    <col min="15266" max="15270" width="10.7109375" style="231"/>
    <col min="15271" max="15272" width="10.7109375" style="231" customWidth="1"/>
    <col min="15273" max="15275" width="10.7109375" style="231"/>
    <col min="15276" max="15276" width="10.7109375" style="231" customWidth="1"/>
    <col min="15277" max="15279" width="10.7109375" style="231"/>
    <col min="15280" max="15283" width="10.7109375" style="231" customWidth="1"/>
    <col min="15284" max="15287" width="10.7109375" style="231"/>
    <col min="15288" max="15289" width="10.7109375" style="231" customWidth="1"/>
    <col min="15290" max="15330" width="10.7109375" style="231"/>
    <col min="15331" max="15332" width="10.7109375" style="231" customWidth="1"/>
    <col min="15333" max="15338" width="10.7109375" style="231"/>
    <col min="15339" max="15339" width="10.7109375" style="231" customWidth="1"/>
    <col min="15340" max="15344" width="10.7109375" style="231"/>
    <col min="15345" max="15345" width="10.7109375" style="231" customWidth="1"/>
    <col min="15346" max="15348" width="10.7109375" style="231"/>
    <col min="15349" max="15349" width="10.7109375" style="231" customWidth="1"/>
    <col min="15350" max="15351" width="10.7109375" style="231"/>
    <col min="15352" max="15353" width="10.7109375" style="231" customWidth="1"/>
    <col min="15354" max="15355" width="10.7109375" style="231"/>
    <col min="15356" max="15356" width="10.7109375" style="231" customWidth="1"/>
    <col min="15357" max="15359" width="10.7109375" style="231"/>
    <col min="15360" max="15361" width="10.7109375" style="231" customWidth="1"/>
    <col min="15362" max="15364" width="10.7109375" style="231"/>
    <col min="15365" max="15365" width="10.7109375" style="231" customWidth="1"/>
    <col min="15366" max="15366" width="10.7109375" style="231"/>
    <col min="15367" max="15370" width="10.7109375" style="231" customWidth="1"/>
    <col min="15371" max="15371" width="10.7109375" style="231"/>
    <col min="15372" max="15372" width="10.7109375" style="231" customWidth="1"/>
    <col min="15373" max="15373" width="10.7109375" style="231"/>
    <col min="15374" max="15374" width="10.7109375" style="231" customWidth="1"/>
    <col min="15375" max="15377" width="10.7109375" style="231"/>
    <col min="15378" max="15381" width="10.7109375" style="231" customWidth="1"/>
    <col min="15382" max="15383" width="10.7109375" style="231"/>
    <col min="15384" max="15385" width="10.7109375" style="231" customWidth="1"/>
    <col min="15386" max="15386" width="10.7109375" style="231"/>
    <col min="15387" max="15388" width="10.7109375" style="231" customWidth="1"/>
    <col min="15389" max="15391" width="10.7109375" style="231"/>
    <col min="15392" max="15392" width="10.7109375" style="231" customWidth="1"/>
    <col min="15393" max="15393" width="10.7109375" style="231"/>
    <col min="15394" max="15394" width="10.7109375" style="231" customWidth="1"/>
    <col min="15395" max="15395" width="10.7109375" style="231"/>
    <col min="15396" max="15397" width="10.7109375" style="231" customWidth="1"/>
    <col min="15398" max="15399" width="10.7109375" style="231"/>
    <col min="15400" max="15400" width="10.7109375" style="231" customWidth="1"/>
    <col min="15401" max="15402" width="10.7109375" style="231"/>
    <col min="15403" max="15404" width="10.7109375" style="231" customWidth="1"/>
    <col min="15405" max="15409" width="10.7109375" style="231"/>
    <col min="15410" max="15410" width="10.7109375" style="231" customWidth="1"/>
    <col min="15411" max="15412" width="10.7109375" style="231"/>
    <col min="15413" max="15414" width="10.7109375" style="231" customWidth="1"/>
    <col min="15415" max="15423" width="10.7109375" style="231"/>
    <col min="15424" max="15424" width="10.7109375" style="231" customWidth="1"/>
    <col min="15425" max="15427" width="10.7109375" style="231"/>
    <col min="15428" max="15428" width="10.7109375" style="231" customWidth="1"/>
    <col min="15429" max="15431" width="10.7109375" style="231"/>
    <col min="15432" max="15432" width="10.7109375" style="231" customWidth="1"/>
    <col min="15433" max="15436" width="10.7109375" style="231"/>
    <col min="15437" max="15437" width="10.7109375" style="231" customWidth="1"/>
    <col min="15438" max="15439" width="10.7109375" style="231"/>
    <col min="15440" max="15440" width="10.7109375" style="231" customWidth="1"/>
    <col min="15441" max="15449" width="10.7109375" style="231"/>
    <col min="15450" max="15451" width="10.7109375" style="231" customWidth="1"/>
    <col min="15452" max="15455" width="10.7109375" style="231"/>
    <col min="15456" max="15456" width="10.7109375" style="231" customWidth="1"/>
    <col min="15457" max="15457" width="10.7109375" style="231"/>
    <col min="15458" max="15458" width="10.7109375" style="231" customWidth="1"/>
    <col min="15459" max="15460" width="10.7109375" style="231"/>
    <col min="15461" max="15462" width="10.7109375" style="231" customWidth="1"/>
    <col min="15463" max="15463" width="10.7109375" style="231"/>
    <col min="15464" max="15464" width="10.7109375" style="231" customWidth="1"/>
    <col min="15465" max="15465" width="10.7109375" style="231"/>
    <col min="15466" max="15466" width="10.7109375" style="231" customWidth="1"/>
    <col min="15467" max="15467" width="10.7109375" style="231"/>
    <col min="15468" max="15468" width="10.7109375" style="231" customWidth="1"/>
    <col min="15469" max="15469" width="10.7109375" style="231"/>
    <col min="15470" max="15470" width="10.7109375" style="231" customWidth="1"/>
    <col min="15471" max="15471" width="10.7109375" style="231"/>
    <col min="15472" max="15473" width="10.7109375" style="231" customWidth="1"/>
    <col min="15474" max="15476" width="10.7109375" style="231"/>
    <col min="15477" max="15477" width="10.7109375" style="231" customWidth="1"/>
    <col min="15478" max="15479" width="10.7109375" style="231"/>
    <col min="15480" max="15480" width="10.7109375" style="231" customWidth="1"/>
    <col min="15481" max="15483" width="10.7109375" style="231"/>
    <col min="15484" max="15484" width="10.7109375" style="231" customWidth="1"/>
    <col min="15485" max="15487" width="10.7109375" style="231"/>
    <col min="15488" max="15488" width="10.7109375" style="231" customWidth="1"/>
    <col min="15489" max="15489" width="10.7109375" style="231"/>
    <col min="15490" max="15490" width="10.7109375" style="231" customWidth="1"/>
    <col min="15491" max="15491" width="10.7109375" style="231"/>
    <col min="15492" max="15492" width="10.7109375" style="231" customWidth="1"/>
    <col min="15493" max="15495" width="10.7109375" style="231"/>
    <col min="15496" max="15497" width="10.7109375" style="231" customWidth="1"/>
    <col min="15498" max="15500" width="10.7109375" style="231"/>
    <col min="15501" max="15501" width="10.7109375" style="231" customWidth="1"/>
    <col min="15502" max="15503" width="10.7109375" style="231"/>
    <col min="15504" max="15504" width="10.7109375" style="231" customWidth="1"/>
    <col min="15505" max="15505" width="10.7109375" style="231"/>
    <col min="15506" max="15506" width="10.7109375" style="231" customWidth="1"/>
    <col min="15507" max="15507" width="10.7109375" style="231"/>
    <col min="15508" max="15508" width="10.7109375" style="231" customWidth="1"/>
    <col min="15509" max="15511" width="10.7109375" style="231"/>
    <col min="15512" max="15512" width="10.7109375" style="231" customWidth="1"/>
    <col min="15513" max="15514" width="10.7109375" style="231"/>
    <col min="15515" max="15516" width="10.7109375" style="231" customWidth="1"/>
    <col min="15517" max="15519" width="10.7109375" style="231"/>
    <col min="15520" max="15522" width="10.7109375" style="231" customWidth="1"/>
    <col min="15523" max="15523" width="10.7109375" style="231"/>
    <col min="15524" max="15524" width="10.7109375" style="231" customWidth="1"/>
    <col min="15525" max="15527" width="10.7109375" style="231"/>
    <col min="15528" max="15528" width="10.7109375" style="231" customWidth="1"/>
    <col min="15529" max="15529" width="10.7109375" style="231"/>
    <col min="15530" max="15530" width="10.7109375" style="231" customWidth="1"/>
    <col min="15531" max="15531" width="10.7109375" style="231"/>
    <col min="15532" max="15533" width="10.7109375" style="231" customWidth="1"/>
    <col min="15534" max="15535" width="10.7109375" style="231"/>
    <col min="15536" max="15538" width="10.7109375" style="231" customWidth="1"/>
    <col min="15539" max="15543" width="10.7109375" style="231"/>
    <col min="15544" max="15545" width="10.7109375" style="231" customWidth="1"/>
    <col min="15546" max="15569" width="10.7109375" style="231"/>
    <col min="15570" max="15570" width="10.7109375" style="231" customWidth="1"/>
    <col min="15571" max="15575" width="10.7109375" style="231"/>
    <col min="15576" max="15577" width="10.7109375" style="231" customWidth="1"/>
    <col min="15578" max="15578" width="10.7109375" style="231"/>
    <col min="15579" max="15579" width="10.7109375" style="231" customWidth="1"/>
    <col min="15580" max="15583" width="10.7109375" style="231"/>
    <col min="15584" max="15585" width="10.7109375" style="231" customWidth="1"/>
    <col min="15586" max="15586" width="10.7109375" style="231"/>
    <col min="15587" max="15587" width="10.7109375" style="231" customWidth="1"/>
    <col min="15588" max="15589" width="10.7109375" style="231"/>
    <col min="15590" max="15590" width="10.7109375" style="231" customWidth="1"/>
    <col min="15591" max="15591" width="10.7109375" style="231"/>
    <col min="15592" max="15592" width="10.7109375" style="231" customWidth="1"/>
    <col min="15593" max="15593" width="10.7109375" style="231"/>
    <col min="15594" max="15594" width="10.7109375" style="231" customWidth="1"/>
    <col min="15595" max="15595" width="10.7109375" style="231"/>
    <col min="15596" max="15597" width="10.7109375" style="231" customWidth="1"/>
    <col min="15598" max="15599" width="10.7109375" style="231"/>
    <col min="15600" max="15600" width="10.7109375" style="231" customWidth="1"/>
    <col min="15601" max="15664" width="10.7109375" style="231"/>
    <col min="15665" max="15665" width="10.7109375" style="231" customWidth="1"/>
    <col min="15666" max="15666" width="10.7109375" style="231"/>
    <col min="15667" max="15667" width="10.7109375" style="231" customWidth="1"/>
    <col min="15668" max="15671" width="10.7109375" style="231"/>
    <col min="15672" max="15672" width="10.7109375" style="231" customWidth="1"/>
    <col min="15673" max="15676" width="10.7109375" style="231"/>
    <col min="15677" max="15679" width="10.7109375" style="231" customWidth="1"/>
    <col min="15680" max="15685" width="10.7109375" style="231"/>
    <col min="15686" max="15688" width="10.7109375" style="231" customWidth="1"/>
    <col min="15689" max="15689" width="10.7109375" style="231"/>
    <col min="15690" max="15691" width="10.7109375" style="231" customWidth="1"/>
    <col min="15692" max="15692" width="10.7109375" style="231"/>
    <col min="15693" max="15693" width="10.7109375" style="231" customWidth="1"/>
    <col min="15694" max="15694" width="10.7109375" style="231"/>
    <col min="15695" max="15695" width="10.7109375" style="231" customWidth="1"/>
    <col min="15696" max="15697" width="10.7109375" style="231"/>
    <col min="15698" max="15698" width="10.7109375" style="231" customWidth="1"/>
    <col min="15699" max="15700" width="10.7109375" style="231"/>
    <col min="15701" max="15702" width="10.7109375" style="231" customWidth="1"/>
    <col min="15703" max="15703" width="10.7109375" style="231"/>
    <col min="15704" max="15704" width="10.7109375" style="231" customWidth="1"/>
    <col min="15705" max="15708" width="10.7109375" style="231"/>
    <col min="15709" max="15711" width="10.7109375" style="231" customWidth="1"/>
    <col min="15712" max="15712" width="10.7109375" style="231"/>
    <col min="15713" max="15713" width="10.7109375" style="231" customWidth="1"/>
    <col min="15714" max="15718" width="10.7109375" style="231"/>
    <col min="15719" max="15720" width="10.7109375" style="231" customWidth="1"/>
    <col min="15721" max="15721" width="10.7109375" style="231"/>
    <col min="15722" max="15725" width="10.7109375" style="231" customWidth="1"/>
    <col min="15726" max="15735" width="10.7109375" style="231"/>
    <col min="15736" max="15737" width="10.7109375" style="231" customWidth="1"/>
    <col min="15738" max="15738" width="10.7109375" style="231"/>
    <col min="15739" max="15739" width="10.7109375" style="231" customWidth="1"/>
    <col min="15740" max="15748" width="10.7109375" style="231"/>
    <col min="15749" max="15749" width="10.7109375" style="231" customWidth="1"/>
    <col min="15750" max="15754" width="10.7109375" style="231"/>
    <col min="15755" max="15755" width="10.7109375" style="231" customWidth="1"/>
    <col min="15756" max="15760" width="10.7109375" style="231"/>
    <col min="15761" max="15761" width="10.7109375" style="231" customWidth="1"/>
    <col min="15762" max="15766" width="10.7109375" style="231"/>
    <col min="15767" max="15767" width="10.7109375" style="231" customWidth="1"/>
    <col min="15768" max="15770" width="10.7109375" style="231"/>
    <col min="15771" max="15771" width="10.7109375" style="231" customWidth="1"/>
    <col min="15772" max="15781" width="10.7109375" style="231"/>
    <col min="15782" max="15784" width="10.7109375" style="231" customWidth="1"/>
    <col min="15785" max="15785" width="10.7109375" style="231"/>
    <col min="15786" max="15787" width="10.7109375" style="231" customWidth="1"/>
    <col min="15788" max="15788" width="10.7109375" style="231"/>
    <col min="15789" max="15789" width="10.7109375" style="231" customWidth="1"/>
    <col min="15790" max="15790" width="10.7109375" style="231"/>
    <col min="15791" max="15791" width="10.7109375" style="231" customWidth="1"/>
    <col min="15792" max="15793" width="10.7109375" style="231"/>
    <col min="15794" max="15795" width="10.7109375" style="231" customWidth="1"/>
    <col min="15796" max="15797" width="10.7109375" style="231"/>
    <col min="15798" max="15799" width="10.7109375" style="231" customWidth="1"/>
    <col min="15800" max="15801" width="10.7109375" style="231"/>
    <col min="15802" max="15802" width="10.7109375" style="231" customWidth="1"/>
    <col min="15803" max="15804" width="10.7109375" style="231"/>
    <col min="15805" max="15805" width="10.7109375" style="231" customWidth="1"/>
    <col min="15806" max="15807" width="10.7109375" style="231"/>
    <col min="15808" max="15808" width="10.7109375" style="231" customWidth="1"/>
    <col min="15809" max="15813" width="10.7109375" style="231"/>
    <col min="15814" max="15816" width="10.7109375" style="231" customWidth="1"/>
    <col min="15817" max="15817" width="10.7109375" style="231"/>
    <col min="15818" max="15819" width="10.7109375" style="231" customWidth="1"/>
    <col min="15820" max="15820" width="10.7109375" style="231"/>
    <col min="15821" max="15821" width="10.7109375" style="231" customWidth="1"/>
    <col min="15822" max="15822" width="10.7109375" style="231"/>
    <col min="15823" max="15823" width="10.7109375" style="231" customWidth="1"/>
    <col min="15824" max="15824" width="10.7109375" style="231"/>
    <col min="15825" max="15826" width="10.7109375" style="231" customWidth="1"/>
    <col min="15827" max="15830" width="10.7109375" style="231"/>
    <col min="15831" max="15833" width="10.7109375" style="231" customWidth="1"/>
    <col min="15834" max="15834" width="10.7109375" style="231"/>
    <col min="15835" max="15836" width="10.7109375" style="231" customWidth="1"/>
    <col min="15837" max="15839" width="10.7109375" style="231"/>
    <col min="15840" max="15840" width="10.7109375" style="231" customWidth="1"/>
    <col min="15841" max="15841" width="10.7109375" style="231"/>
    <col min="15842" max="15842" width="10.7109375" style="231" customWidth="1"/>
    <col min="15843" max="15843" width="10.7109375" style="231"/>
    <col min="15844" max="15845" width="10.7109375" style="231" customWidth="1"/>
    <col min="15846" max="15847" width="10.7109375" style="231"/>
    <col min="15848" max="15848" width="10.7109375" style="231" customWidth="1"/>
    <col min="15849" max="15849" width="10.7109375" style="231"/>
    <col min="15850" max="15853" width="10.7109375" style="231" customWidth="1"/>
    <col min="15854" max="15855" width="10.7109375" style="231"/>
    <col min="15856" max="15857" width="10.7109375" style="231" customWidth="1"/>
    <col min="15858" max="15860" width="10.7109375" style="231"/>
    <col min="15861" max="15861" width="10.7109375" style="231" customWidth="1"/>
    <col min="15862" max="15863" width="10.7109375" style="231"/>
    <col min="15864" max="15865" width="10.7109375" style="231" customWidth="1"/>
    <col min="15866" max="15870" width="10.7109375" style="231"/>
    <col min="15871" max="15872" width="10.7109375" style="231" customWidth="1"/>
    <col min="15873" max="15873" width="10.7109375" style="231"/>
    <col min="15874" max="15874" width="10.7109375" style="231" customWidth="1"/>
    <col min="15875" max="15876" width="10.7109375" style="231"/>
    <col min="15877" max="15877" width="10.7109375" style="231" customWidth="1"/>
    <col min="15878" max="15878" width="10.7109375" style="231"/>
    <col min="15879" max="15880" width="10.7109375" style="231" customWidth="1"/>
    <col min="15881" max="15881" width="10.7109375" style="231"/>
    <col min="15882" max="15884" width="10.7109375" style="231" customWidth="1"/>
    <col min="15885" max="15886" width="10.7109375" style="231"/>
    <col min="15887" max="15889" width="10.7109375" style="231" customWidth="1"/>
    <col min="15890" max="15896" width="10.7109375" style="231"/>
    <col min="15897" max="15898" width="10.7109375" style="231" customWidth="1"/>
    <col min="15899" max="15908" width="10.7109375" style="231"/>
    <col min="15909" max="15909" width="10.7109375" style="231" customWidth="1"/>
    <col min="15910" max="15914" width="10.7109375" style="231"/>
    <col min="15915" max="15915" width="10.7109375" style="231" customWidth="1"/>
    <col min="15916" max="15921" width="10.7109375" style="231"/>
    <col min="15922" max="15922" width="10.7109375" style="231" customWidth="1"/>
    <col min="15923" max="15923" width="10.7109375" style="231"/>
    <col min="15924" max="15924" width="10.7109375" style="231" customWidth="1"/>
    <col min="15925" max="15927" width="10.7109375" style="231"/>
    <col min="15928" max="15928" width="10.7109375" style="231" customWidth="1"/>
    <col min="15929" max="15929" width="10.7109375" style="231"/>
    <col min="15930" max="15930" width="10.7109375" style="231" customWidth="1"/>
    <col min="15931" max="15931" width="10.7109375" style="231"/>
    <col min="15932" max="15933" width="10.7109375" style="231" customWidth="1"/>
    <col min="15934" max="15936" width="10.7109375" style="231"/>
    <col min="15937" max="15937" width="10.7109375" style="231" customWidth="1"/>
    <col min="15938" max="15943" width="10.7109375" style="231"/>
    <col min="15944" max="15944" width="10.7109375" style="231" customWidth="1"/>
    <col min="15945" max="15950" width="10.7109375" style="231"/>
    <col min="15951" max="15951" width="10.7109375" style="231" customWidth="1"/>
    <col min="15952" max="15952" width="10.7109375" style="231"/>
    <col min="15953" max="15953" width="10.7109375" style="231" customWidth="1"/>
    <col min="15954" max="15954" width="10.7109375" style="231"/>
    <col min="15955" max="15955" width="10.7109375" style="231" customWidth="1"/>
    <col min="15956" max="15958" width="10.7109375" style="231"/>
    <col min="15959" max="15959" width="10.7109375" style="231" customWidth="1"/>
    <col min="15960" max="15962" width="10.7109375" style="231"/>
    <col min="15963" max="15963" width="10.7109375" style="231" customWidth="1"/>
    <col min="15964" max="15964" width="10.7109375" style="231"/>
    <col min="15965" max="15965" width="10.7109375" style="231" customWidth="1"/>
    <col min="15966" max="15967" width="10.7109375" style="231"/>
    <col min="15968" max="15968" width="10.7109375" style="231" customWidth="1"/>
    <col min="15969" max="15970" width="10.7109375" style="231"/>
    <col min="15971" max="15971" width="10.7109375" style="231" customWidth="1"/>
    <col min="15972" max="15973" width="10.7109375" style="231"/>
    <col min="15974" max="15976" width="10.7109375" style="231" customWidth="1"/>
    <col min="15977" max="15978" width="10.7109375" style="231"/>
    <col min="15979" max="15979" width="10.7109375" style="231" customWidth="1"/>
    <col min="15980" max="15981" width="10.7109375" style="231"/>
    <col min="15982" max="15984" width="10.7109375" style="231" customWidth="1"/>
    <col min="15985" max="15985" width="10.7109375" style="231"/>
    <col min="15986" max="15987" width="10.7109375" style="231" customWidth="1"/>
    <col min="15988" max="15988" width="10.7109375" style="231"/>
    <col min="15989" max="15991" width="10.7109375" style="231" customWidth="1"/>
    <col min="15992" max="15999" width="10.7109375" style="231"/>
    <col min="16000" max="16000" width="10.7109375" style="231" customWidth="1"/>
    <col min="16001" max="16001" width="10.7109375" style="231"/>
    <col min="16002" max="16003" width="10.7109375" style="231" customWidth="1"/>
    <col min="16004" max="16005" width="10.7109375" style="231"/>
    <col min="16006" max="16006" width="10.7109375" style="231" customWidth="1"/>
    <col min="16007" max="16007" width="10.7109375" style="231"/>
    <col min="16008" max="16010" width="10.7109375" style="231" customWidth="1"/>
    <col min="16011" max="16014" width="10.7109375" style="231"/>
    <col min="16015" max="16017" width="10.7109375" style="231" customWidth="1"/>
    <col min="16018" max="16018" width="10.7109375" style="231"/>
    <col min="16019" max="16020" width="10.7109375" style="231" customWidth="1"/>
    <col min="16021" max="16023" width="10.7109375" style="231"/>
    <col min="16024" max="16024" width="10.7109375" style="231" customWidth="1"/>
    <col min="16025" max="16025" width="10.7109375" style="231"/>
    <col min="16026" max="16026" width="10.7109375" style="231" customWidth="1"/>
    <col min="16027" max="16027" width="10.7109375" style="231"/>
    <col min="16028" max="16029" width="10.7109375" style="231" customWidth="1"/>
    <col min="16030" max="16031" width="10.7109375" style="231"/>
    <col min="16032" max="16032" width="10.7109375" style="231" customWidth="1"/>
    <col min="16033" max="16033" width="10.7109375" style="231"/>
    <col min="16034" max="16037" width="10.7109375" style="231" customWidth="1"/>
    <col min="16038" max="16048" width="10.7109375" style="231"/>
    <col min="16049" max="16049" width="10.7109375" style="231" customWidth="1"/>
    <col min="16050" max="16060" width="10.7109375" style="231"/>
    <col min="16061" max="16061" width="10.7109375" style="231" customWidth="1"/>
    <col min="16062" max="16062" width="10.7109375" style="231"/>
    <col min="16063" max="16063" width="10.7109375" style="231" customWidth="1"/>
    <col min="16064" max="16078" width="10.7109375" style="231"/>
    <col min="16079" max="16079" width="10.7109375" style="231" customWidth="1"/>
    <col min="16080" max="16080" width="10.7109375" style="231"/>
    <col min="16081" max="16082" width="10.7109375" style="231" customWidth="1"/>
    <col min="16083" max="16087" width="10.7109375" style="231"/>
    <col min="16088" max="16088" width="10.7109375" style="231" customWidth="1"/>
    <col min="16089" max="16092" width="10.7109375" style="231"/>
    <col min="16093" max="16093" width="10.7109375" style="231" customWidth="1"/>
    <col min="16094" max="16098" width="10.7109375" style="231"/>
    <col min="16099" max="16100" width="10.7109375" style="231" customWidth="1"/>
    <col min="16101" max="16113" width="10.7109375" style="231"/>
    <col min="16114" max="16117" width="10.7109375" style="231" customWidth="1"/>
    <col min="16118" max="16127" width="10.7109375" style="231"/>
    <col min="16128" max="16128" width="10.7109375" style="231" customWidth="1"/>
    <col min="16129" max="16135" width="10.7109375" style="231"/>
    <col min="16136" max="16137" width="10.7109375" style="231" customWidth="1"/>
    <col min="16138" max="16140" width="10.7109375" style="231"/>
    <col min="16141" max="16144" width="10.7109375" style="231" customWidth="1"/>
    <col min="16145" max="16145" width="10.7109375" style="231"/>
    <col min="16146" max="16147" width="10.7109375" style="231" customWidth="1"/>
    <col min="16148" max="16150" width="10.7109375" style="231"/>
    <col min="16151" max="16151" width="10.7109375" style="231" customWidth="1"/>
    <col min="16152" max="16154" width="10.7109375" style="231"/>
    <col min="16155" max="16155" width="10.7109375" style="231" customWidth="1"/>
    <col min="16156" max="16156" width="10.7109375" style="231"/>
    <col min="16157" max="16157" width="10.7109375" style="231" customWidth="1"/>
    <col min="16158" max="16159" width="10.7109375" style="231"/>
    <col min="16160" max="16160" width="10.7109375" style="231" customWidth="1"/>
    <col min="16161" max="16162" width="10.7109375" style="231"/>
    <col min="16163" max="16163" width="10.7109375" style="231" customWidth="1"/>
    <col min="16164" max="16165" width="10.7109375" style="231"/>
    <col min="16166" max="16168" width="10.7109375" style="231" customWidth="1"/>
    <col min="16169" max="16170" width="10.7109375" style="231"/>
    <col min="16171" max="16171" width="10.7109375" style="231" customWidth="1"/>
    <col min="16172" max="16173" width="10.7109375" style="231"/>
    <col min="16174" max="16176" width="10.7109375" style="231" customWidth="1"/>
    <col min="16177" max="16186" width="10.7109375" style="231"/>
    <col min="16187" max="16187" width="10.7109375" style="231" customWidth="1"/>
    <col min="16188" max="16189" width="10.7109375" style="231"/>
    <col min="16190" max="16191" width="10.7109375" style="231" customWidth="1"/>
    <col min="16192" max="16192" width="10.7109375" style="231"/>
    <col min="16193" max="16193" width="10.7109375" style="231" customWidth="1"/>
    <col min="16194" max="16198" width="10.7109375" style="231"/>
    <col min="16199" max="16199" width="10.7109375" style="231" customWidth="1"/>
    <col min="16200" max="16200" width="10.7109375" style="231"/>
    <col min="16201" max="16201" width="10.7109375" style="231" customWidth="1"/>
    <col min="16202" max="16203" width="10.7109375" style="231"/>
    <col min="16204" max="16204" width="10.7109375" style="231" customWidth="1"/>
    <col min="16205" max="16209" width="10.7109375" style="231"/>
    <col min="16210" max="16210" width="10.7109375" style="231" customWidth="1"/>
    <col min="16211" max="16211" width="10.7109375" style="231"/>
    <col min="16212" max="16213" width="10.7109375" style="231" customWidth="1"/>
    <col min="16214" max="16217" width="10.7109375" style="231"/>
    <col min="16218" max="16220" width="10.7109375" style="231" customWidth="1"/>
    <col min="16221" max="16225" width="10.7109375" style="231"/>
    <col min="16226" max="16226" width="10.7109375" style="231" customWidth="1"/>
    <col min="16227" max="16231" width="10.7109375" style="231"/>
    <col min="16232" max="16233" width="10.7109375" style="231" customWidth="1"/>
    <col min="16234" max="16238" width="10.7109375" style="231"/>
    <col min="16239" max="16239" width="10.7109375" style="231" customWidth="1"/>
    <col min="16240" max="16243" width="10.7109375" style="231"/>
    <col min="16244" max="16244" width="10.7109375" style="231" customWidth="1"/>
    <col min="16245" max="16248" width="10.7109375" style="231"/>
    <col min="16249" max="16251" width="10.7109375" style="231" customWidth="1"/>
    <col min="16252" max="16255" width="10.7109375" style="231"/>
    <col min="16256" max="16259" width="10.7109375" style="231" customWidth="1"/>
    <col min="16260" max="16264" width="10.7109375" style="231"/>
    <col min="16265" max="16266" width="10.7109375" style="231" customWidth="1"/>
    <col min="16267" max="16270" width="10.7109375" style="231"/>
    <col min="16271" max="16271" width="10.7109375" style="231" customWidth="1"/>
    <col min="16272" max="16279" width="10.7109375" style="231"/>
    <col min="16280" max="16280" width="10.7109375" style="231" customWidth="1"/>
    <col min="16281" max="16304" width="10.7109375" style="231"/>
    <col min="16305" max="16306" width="10.7109375" style="231" customWidth="1"/>
    <col min="16307" max="16308" width="10.7109375" style="231"/>
    <col min="16309" max="16309" width="10.7109375" style="231" customWidth="1"/>
    <col min="16310" max="16311" width="10.7109375" style="231"/>
    <col min="16312" max="16312" width="10.7109375" style="231" customWidth="1"/>
    <col min="16313" max="16318" width="10.7109375" style="231"/>
    <col min="16319" max="16319" width="10.7109375" style="231" customWidth="1"/>
    <col min="16320" max="16334" width="10.7109375" style="231"/>
    <col min="16335" max="16335" width="10.7109375" style="231" customWidth="1"/>
    <col min="16336" max="16338" width="10.7109375" style="231"/>
    <col min="16339" max="16339" width="10.7109375" style="231" customWidth="1"/>
    <col min="16340" max="16343" width="10.7109375" style="231"/>
    <col min="16344" max="16344" width="10.7109375" style="231" customWidth="1"/>
    <col min="16345" max="16346" width="10.7109375" style="231"/>
    <col min="16347" max="16347" width="10.7109375" style="231" customWidth="1"/>
    <col min="16348" max="16351" width="10.7109375" style="231"/>
    <col min="16352" max="16352" width="10.7109375" style="231" customWidth="1"/>
    <col min="16353" max="16353" width="10.7109375" style="231"/>
    <col min="16354" max="16355" width="10.7109375" style="231" customWidth="1"/>
    <col min="16356" max="16361" width="10.7109375" style="231"/>
    <col min="16362" max="16363" width="10.7109375" style="231" customWidth="1"/>
    <col min="16364" max="16365" width="10.7109375" style="231"/>
    <col min="16366" max="16367" width="10.7109375" style="231" customWidth="1"/>
    <col min="16368" max="16369" width="10.7109375" style="231"/>
    <col min="16370" max="16371" width="10.7109375" style="231" customWidth="1"/>
    <col min="16372" max="16375" width="10.7109375" style="231"/>
    <col min="16376" max="16376" width="10.7109375" style="231" customWidth="1"/>
    <col min="16377" max="16382" width="10.7109375" style="231"/>
    <col min="16383" max="16383" width="10.7109375" style="231" customWidth="1"/>
    <col min="16384" max="16384" width="10.7109375" style="231"/>
  </cols>
  <sheetData>
    <row r="1" spans="1:53">
      <c r="A1" s="17" t="s">
        <v>2638</v>
      </c>
      <c r="B1" s="18" t="s">
        <v>5701</v>
      </c>
      <c r="C1" s="18" t="s">
        <v>3869</v>
      </c>
      <c r="D1" s="19" t="s">
        <v>5316</v>
      </c>
      <c r="F1" s="17" t="s">
        <v>2638</v>
      </c>
      <c r="G1" s="18" t="s">
        <v>5701</v>
      </c>
      <c r="H1" s="18" t="s">
        <v>3869</v>
      </c>
      <c r="I1" s="18" t="s">
        <v>5781</v>
      </c>
      <c r="J1" s="57" t="s">
        <v>5324</v>
      </c>
      <c r="K1" s="187" t="s">
        <v>5316</v>
      </c>
      <c r="M1" s="17" t="s">
        <v>2638</v>
      </c>
      <c r="N1" s="18" t="s">
        <v>5701</v>
      </c>
      <c r="O1" s="18" t="s">
        <v>3869</v>
      </c>
      <c r="P1" s="19" t="s">
        <v>5316</v>
      </c>
      <c r="R1" s="17" t="s">
        <v>2638</v>
      </c>
      <c r="S1" s="18" t="s">
        <v>5701</v>
      </c>
      <c r="T1" s="18" t="s">
        <v>3869</v>
      </c>
      <c r="U1" s="18" t="s">
        <v>5781</v>
      </c>
      <c r="V1" s="24" t="s">
        <v>5105</v>
      </c>
      <c r="W1" s="24" t="s">
        <v>4754</v>
      </c>
      <c r="X1" s="24" t="s">
        <v>2639</v>
      </c>
      <c r="Y1" s="24" t="s">
        <v>2640</v>
      </c>
      <c r="Z1" s="24" t="s">
        <v>2490</v>
      </c>
      <c r="AA1" s="24" t="s">
        <v>2491</v>
      </c>
      <c r="AB1" s="24" t="s">
        <v>2492</v>
      </c>
      <c r="AC1" s="24" t="s">
        <v>2493</v>
      </c>
      <c r="AD1" s="24" t="s">
        <v>2643</v>
      </c>
      <c r="AE1" s="24" t="s">
        <v>2644</v>
      </c>
      <c r="AF1" s="24" t="s">
        <v>2645</v>
      </c>
      <c r="AG1" s="24" t="s">
        <v>2646</v>
      </c>
      <c r="AH1" s="24" t="s">
        <v>2647</v>
      </c>
      <c r="AI1" s="24" t="s">
        <v>2648</v>
      </c>
      <c r="AJ1" s="24" t="s">
        <v>2649</v>
      </c>
      <c r="AK1" s="24" t="s">
        <v>2650</v>
      </c>
      <c r="AL1" s="24" t="s">
        <v>2651</v>
      </c>
      <c r="AM1" s="102" t="s">
        <v>2652</v>
      </c>
      <c r="AN1" s="102" t="s">
        <v>2652</v>
      </c>
      <c r="AO1" s="102" t="s">
        <v>2652</v>
      </c>
      <c r="AP1" s="102" t="s">
        <v>2652</v>
      </c>
      <c r="AQ1" s="102" t="s">
        <v>2652</v>
      </c>
      <c r="AR1" s="102" t="s">
        <v>2652</v>
      </c>
      <c r="AS1" s="102" t="s">
        <v>2652</v>
      </c>
      <c r="AT1" s="102" t="s">
        <v>2652</v>
      </c>
      <c r="AU1" s="102" t="s">
        <v>2652</v>
      </c>
      <c r="AV1" s="102" t="s">
        <v>2652</v>
      </c>
      <c r="AW1" s="102" t="s">
        <v>2652</v>
      </c>
      <c r="AX1" s="102" t="s">
        <v>2652</v>
      </c>
      <c r="AY1" s="102" t="s">
        <v>2652</v>
      </c>
      <c r="AZ1" s="102" t="s">
        <v>2652</v>
      </c>
      <c r="BA1" s="301" t="s">
        <v>2652</v>
      </c>
    </row>
    <row r="2" spans="1:53">
      <c r="A2" s="20" t="s">
        <v>2505</v>
      </c>
      <c r="B2" s="14" t="s">
        <v>2506</v>
      </c>
      <c r="C2" s="14" t="s">
        <v>5219</v>
      </c>
      <c r="D2" s="45" t="s">
        <v>2507</v>
      </c>
      <c r="F2" s="212" t="s">
        <v>2659</v>
      </c>
      <c r="G2" s="98" t="s">
        <v>2660</v>
      </c>
      <c r="H2" s="98" t="s">
        <v>5323</v>
      </c>
      <c r="I2" s="98">
        <v>2</v>
      </c>
      <c r="J2" s="98">
        <v>1</v>
      </c>
      <c r="K2" s="213" t="s">
        <v>2661</v>
      </c>
      <c r="M2" s="20" t="s">
        <v>2662</v>
      </c>
      <c r="N2" s="14" t="s">
        <v>2663</v>
      </c>
      <c r="O2" s="14" t="s">
        <v>5796</v>
      </c>
      <c r="P2" s="45" t="s">
        <v>2664</v>
      </c>
      <c r="R2" s="226" t="s">
        <v>2665</v>
      </c>
      <c r="S2" s="14" t="s">
        <v>2666</v>
      </c>
      <c r="T2" s="14" t="s">
        <v>2667</v>
      </c>
      <c r="U2" s="14">
        <v>1</v>
      </c>
      <c r="V2" s="14">
        <v>4</v>
      </c>
      <c r="W2" s="14">
        <v>12</v>
      </c>
      <c r="X2" s="87" t="s">
        <v>2668</v>
      </c>
      <c r="Y2" s="87" t="s">
        <v>2831</v>
      </c>
      <c r="Z2" s="87" t="s">
        <v>2675</v>
      </c>
      <c r="AA2" s="87" t="s">
        <v>2996</v>
      </c>
      <c r="AB2" s="87" t="s">
        <v>2997</v>
      </c>
      <c r="AC2" s="87" t="s">
        <v>2997</v>
      </c>
      <c r="AD2" s="87" t="s">
        <v>2997</v>
      </c>
      <c r="AE2" s="87" t="s">
        <v>2997</v>
      </c>
      <c r="AF2" s="87" t="s">
        <v>2997</v>
      </c>
      <c r="AG2" s="87" t="s">
        <v>2997</v>
      </c>
      <c r="AH2" s="87" t="s">
        <v>2997</v>
      </c>
      <c r="AI2" s="87" t="s">
        <v>2997</v>
      </c>
      <c r="AJ2" s="87" t="s">
        <v>2997</v>
      </c>
      <c r="AK2" s="87" t="s">
        <v>2997</v>
      </c>
      <c r="AL2" s="87" t="s">
        <v>2997</v>
      </c>
      <c r="AM2" s="101" t="str">
        <f>CHOOSE(CharGenMain!$C$212,X2,Y2,Z2,AA2,AB2,AC2,AD2,AE2,AF2,AG2,AH2,AI2,AJ2,AK2,AL2)</f>
        <v>Thread Rank Bonus to Avoid Blow, Great Leap, Wind Catcher</v>
      </c>
      <c r="AN2" s="101" t="str">
        <f>CHOOSE(CharGenMain!$C$213,X2,Y2,Z2,AA2,AB2,AC2,AD2,AE2,AF2,AG2,AH2,AI2,AJ2,AK2,AL2)</f>
        <v>Thread Rank Bonus to Avoid Blow</v>
      </c>
      <c r="AO2" s="101" t="str">
        <f>CHOOSE(CharGenMain!$C$214,X2,Y2,Z2,AA2,AB2,AC2,AD2,AE2,AF2,AG2,AH2,AI2,AJ2,AK2,AL2)</f>
        <v>Thread Rank Bonus to Avoid Blow</v>
      </c>
      <c r="AP2" s="101" t="str">
        <f>CHOOSE(CharGenMain!$C$215,X2,Y2,Z2,AA2,AB2,AC2,AD2,AE2,AF2,AG2,AH2,AI2,AJ2,AK2,AL2)</f>
        <v>Thread Rank Bonus to Avoid Blow, Great Leap</v>
      </c>
      <c r="AQ2" s="101" t="str">
        <f>CHOOSE(CharGenMain!$C$216,X2,Y2,Z2,AA2,AB2,AC2,AD2,AE2,AF2,AG2,AH2,AI2,AJ2,AK2,AL2)</f>
        <v>Thread Rank Bonus to Avoid Blow, Great Leap, Wind Catcher, Swift Kick and damage</v>
      </c>
      <c r="AR2" s="101" t="str">
        <f>CHOOSE(CharGenMain!$C$217,X2,Y2,Z2,AA2,AB2,AC2,AD2,AE2,AF2,AG2,AH2,AI2,AJ2,AK2,AL2)</f>
        <v>Thread Max Exceeded</v>
      </c>
      <c r="AS2" s="101" t="e">
        <f>CHOOSE(CharGenMain!$C$218,X2,Y2,Z2,AA2,AB2,AC2,AD2,AE2,AF2,AG2,AH2,AI2,AJ2,AK2,AL2)</f>
        <v>#VALUE!</v>
      </c>
      <c r="AT2" s="101" t="e">
        <f>CHOOSE(CharGenMain!$C$219,X2,Y2,Z2,AA2,AB2,AC2,AD2,AE2,AF2,AG2,AH2,AI2,AJ2,AK2,AL2)</f>
        <v>#VALUE!</v>
      </c>
      <c r="AU2" s="101" t="e">
        <f>CHOOSE(CharGenMain!$C$220,X2,Y2,Z2,AA2,AB2,AC2,AD2,AE2,AF2,AG2,AH2,AI2,AJ2,AK2,AL2)</f>
        <v>#VALUE!</v>
      </c>
      <c r="AV2" s="101" t="e">
        <f>CHOOSE(CharGenMain!$C$221,X2,Y2,Z2,AA2,AB2,AC2,AD2,AE2,AF2,AG2,AH2,AI2,AJ2,AK2,AL2)</f>
        <v>#VALUE!</v>
      </c>
      <c r="AW2" s="101" t="e">
        <f>CHOOSE(CharGenMain!$C$222,X2,Y2,Z2,AA2,AB2,AC2,AD2,AE2,AF2,AG2,AH2,AI2,AJ2,AK2,AL2)</f>
        <v>#VALUE!</v>
      </c>
      <c r="AX2" s="101" t="e">
        <f>CHOOSE(CharGenMain!$C$223,X2,Y2,Z2,AA2,AB2,AC2,AD2,AE2,AF2,AG2,AH2,AI2,AJ2,AK2,AL2)</f>
        <v>#VALUE!</v>
      </c>
      <c r="AY2" s="101" t="e">
        <f>CHOOSE(CharGenMain!$C$224,X2,Y2,Z2,AA2,AB2,AC2,AD2,AE2,AF2,AG2,AH2,AI2,AJ2,AK2,AL2)</f>
        <v>#VALUE!</v>
      </c>
      <c r="AZ2" s="101" t="e">
        <f>CHOOSE(CharGenMain!$C$225,X2,Y2,Z2,AA2,AB2,AC2,AD2,AE2,AF2,AG2,AH2,AI2,AJ2,AK2,AL2)</f>
        <v>#VALUE!</v>
      </c>
      <c r="BA2" s="271" t="e">
        <f>CHOOSE(CharGenMain!$C$226,X2,Y2,Z2,AA2,AB2,AC2,AD2,AE2,AF2,AG2,AH2,AI2,AJ2,AK2,AL2)</f>
        <v>#VALUE!</v>
      </c>
    </row>
    <row r="3" spans="1:53">
      <c r="A3" s="20" t="s">
        <v>2998</v>
      </c>
      <c r="B3" s="14" t="s">
        <v>2999</v>
      </c>
      <c r="C3" s="14" t="s">
        <v>5219</v>
      </c>
      <c r="D3" s="45" t="s">
        <v>3000</v>
      </c>
      <c r="F3" s="20" t="s">
        <v>2836</v>
      </c>
      <c r="G3" s="14" t="s">
        <v>2837</v>
      </c>
      <c r="H3" s="14" t="s">
        <v>5323</v>
      </c>
      <c r="I3" s="14">
        <v>3</v>
      </c>
      <c r="J3" s="14">
        <v>2</v>
      </c>
      <c r="K3" s="28" t="s">
        <v>2838</v>
      </c>
      <c r="M3" s="20" t="s">
        <v>2516</v>
      </c>
      <c r="N3" s="14" t="s">
        <v>2517</v>
      </c>
      <c r="O3" s="14" t="s">
        <v>5796</v>
      </c>
      <c r="P3" s="45" t="s">
        <v>2266</v>
      </c>
      <c r="R3" s="226" t="s">
        <v>2267</v>
      </c>
      <c r="S3" s="14" t="s">
        <v>2268</v>
      </c>
      <c r="T3" s="14" t="s">
        <v>2667</v>
      </c>
      <c r="U3" s="14">
        <v>2</v>
      </c>
      <c r="V3" s="14">
        <v>4</v>
      </c>
      <c r="W3" s="106">
        <v>13</v>
      </c>
      <c r="X3" s="206" t="s">
        <v>2269</v>
      </c>
      <c r="Y3" s="206" t="s">
        <v>2270</v>
      </c>
      <c r="Z3" s="206" t="s">
        <v>2271</v>
      </c>
      <c r="AA3" s="206" t="s">
        <v>2271</v>
      </c>
      <c r="AB3" s="87"/>
      <c r="AC3" s="87" t="s">
        <v>2997</v>
      </c>
      <c r="AD3" s="87" t="s">
        <v>2997</v>
      </c>
      <c r="AE3" s="87" t="s">
        <v>2997</v>
      </c>
      <c r="AF3" s="87" t="s">
        <v>2997</v>
      </c>
      <c r="AG3" s="87" t="s">
        <v>2997</v>
      </c>
      <c r="AH3" s="87" t="s">
        <v>2997</v>
      </c>
      <c r="AI3" s="87" t="s">
        <v>2997</v>
      </c>
      <c r="AJ3" s="87" t="s">
        <v>2997</v>
      </c>
      <c r="AK3" s="87" t="s">
        <v>2997</v>
      </c>
      <c r="AL3" s="87" t="s">
        <v>2997</v>
      </c>
      <c r="AM3" s="101" t="str">
        <f>CHOOSE(CharGenMain!$C$212,X3,Y3,Z3,AA3,AB3,AC3,AD3,AE3,AF3,AG3,AH3,AI3,AJ3,AK3,AL3)</f>
        <v>+2 soc def, +2 spell def</v>
      </c>
      <c r="AN3" s="101" t="str">
        <f>CHOOSE(CharGenMain!$C$213,X3,Y3,Z3,AA3,AB3,AC3,AD3,AE3,AF3,AG3,AH3,AI3,AJ3,AK3,AL3)</f>
        <v>+1 soc def</v>
      </c>
      <c r="AO3" s="101" t="str">
        <f>CHOOSE(CharGenMain!$C$214,X3,Y3,Z3,AA3,AB3,AC3,AD3,AE3,AF3,AG3,AH3,AI3,AJ3,AK3,AL3)</f>
        <v>+1 soc def</v>
      </c>
      <c r="AP3" s="101" t="str">
        <f>CHOOSE(CharGenMain!$C$215,X3,Y3,Z3,AA3,AB3,AC3,AD3,AE3,AF3,AG3,AH3,AI3,AJ3,AK3,AL3)</f>
        <v>+2 soc def</v>
      </c>
      <c r="AQ3" s="101" t="str">
        <f>CHOOSE(CharGenMain!$C$216,X3,Y3,Z3,AA3,AB3,AC3,AD3,AE3,AF3,AG3,AH3,AI3,AJ3,AK3,AL3)</f>
        <v>+2 soc def, +2 spell def</v>
      </c>
      <c r="AR3" s="101">
        <f>CHOOSE(CharGenMain!$C$217,X3,Y3,Z3,AA3,AB3,AC3,AD3,AE3,AF3,AG3,AH3,AI3,AJ3,AK3,AL3)</f>
        <v>0</v>
      </c>
      <c r="AS3" s="101" t="e">
        <f>CHOOSE(CharGenMain!$C$218,X3,Y3,Z3,AA3,AB3,AC3,AD3,AE3,AF3,AG3,AH3,AI3,AJ3,AK3,AL3)</f>
        <v>#VALUE!</v>
      </c>
      <c r="AT3" s="101" t="e">
        <f>CHOOSE(CharGenMain!$C$219,X3,Y3,Z3,AA3,AB3,AC3,AD3,AE3,AF3,AG3,AH3,AI3,AJ3,AK3,AL3)</f>
        <v>#VALUE!</v>
      </c>
      <c r="AU3" s="101" t="e">
        <f>CHOOSE(CharGenMain!$C$220,X3,Y3,Z3,AA3,AB3,AC3,AD3,AE3,AF3,AG3,AH3,AI3,AJ3,AK3,AL3)</f>
        <v>#VALUE!</v>
      </c>
      <c r="AV3" s="101" t="e">
        <f>CHOOSE(CharGenMain!$C$221,X3,Y3,Z3,AA3,AB3,AC3,AD3,AE3,AF3,AG3,AH3,AI3,AJ3,AK3,AL3)</f>
        <v>#VALUE!</v>
      </c>
      <c r="AW3" s="101" t="e">
        <f>CHOOSE(CharGenMain!$C$222,X3,Y3,Z3,AA3,AB3,AC3,AD3,AE3,AF3,AG3,AH3,AI3,AJ3,AK3,AL3)</f>
        <v>#VALUE!</v>
      </c>
      <c r="AX3" s="101" t="e">
        <f>CHOOSE(CharGenMain!$C$223,X3,Y3,Z3,AA3,AB3,AC3,AD3,AE3,AF3,AG3,AH3,AI3,AJ3,AK3,AL3)</f>
        <v>#VALUE!</v>
      </c>
      <c r="AY3" s="101" t="e">
        <f>CHOOSE(CharGenMain!$C$224,X3,Y3,Z3,AA3,AB3,AC3,AD3,AE3,AF3,AG3,AH3,AI3,AJ3,AK3,AL3)</f>
        <v>#VALUE!</v>
      </c>
      <c r="AZ3" s="101" t="e">
        <f>CHOOSE(CharGenMain!$C$225,X3,Y3,Z3,AA3,AB3,AC3,AD3,AE3,AF3,AG3,AH3,AI3,AJ3,AK3,AL3)</f>
        <v>#VALUE!</v>
      </c>
      <c r="BA3" s="271" t="e">
        <f>CHOOSE(CharGenMain!$C$226,X3,Y3,Z3,AA3,AB3,AC3,AD3,AE3,AF3,AG3,AH3,AI3,AJ3,AK3,AL3)</f>
        <v>#VALUE!</v>
      </c>
    </row>
    <row r="4" spans="1:53">
      <c r="A4" s="20" t="s">
        <v>2272</v>
      </c>
      <c r="B4" s="14" t="s">
        <v>2273</v>
      </c>
      <c r="C4" s="14" t="s">
        <v>5219</v>
      </c>
      <c r="D4" s="45" t="s">
        <v>2393</v>
      </c>
      <c r="F4" s="20" t="s">
        <v>2394</v>
      </c>
      <c r="G4" s="14" t="s">
        <v>2395</v>
      </c>
      <c r="H4" s="14" t="s">
        <v>5323</v>
      </c>
      <c r="I4" s="14">
        <v>1</v>
      </c>
      <c r="J4" s="14">
        <v>1</v>
      </c>
      <c r="K4" s="188" t="s">
        <v>2276</v>
      </c>
      <c r="M4" s="20" t="s">
        <v>121</v>
      </c>
      <c r="N4" s="14" t="s">
        <v>122</v>
      </c>
      <c r="O4" s="14" t="s">
        <v>123</v>
      </c>
      <c r="P4" s="45" t="s">
        <v>124</v>
      </c>
      <c r="R4" s="20" t="s">
        <v>2281</v>
      </c>
      <c r="S4" s="14" t="s">
        <v>2282</v>
      </c>
      <c r="T4" s="14" t="s">
        <v>2279</v>
      </c>
      <c r="U4" s="14">
        <v>4</v>
      </c>
      <c r="V4" s="14">
        <v>8</v>
      </c>
      <c r="W4" s="106">
        <v>24</v>
      </c>
      <c r="X4" s="206" t="s">
        <v>2283</v>
      </c>
      <c r="Y4" s="206" t="s">
        <v>2284</v>
      </c>
      <c r="Z4" s="206" t="s">
        <v>2285</v>
      </c>
      <c r="AA4" s="206" t="s">
        <v>2286</v>
      </c>
      <c r="AB4" s="206" t="s">
        <v>2558</v>
      </c>
      <c r="AC4" s="206" t="s">
        <v>2558</v>
      </c>
      <c r="AD4" s="206" t="s">
        <v>2559</v>
      </c>
      <c r="AE4" s="206" t="s">
        <v>2563</v>
      </c>
      <c r="AF4" s="87" t="s">
        <v>2997</v>
      </c>
      <c r="AG4" s="87" t="s">
        <v>2997</v>
      </c>
      <c r="AH4" s="87" t="s">
        <v>2997</v>
      </c>
      <c r="AI4" s="87" t="s">
        <v>2997</v>
      </c>
      <c r="AJ4" s="87" t="s">
        <v>2997</v>
      </c>
      <c r="AK4" s="87" t="s">
        <v>2997</v>
      </c>
      <c r="AL4" s="87" t="s">
        <v>2997</v>
      </c>
      <c r="AM4" s="101" t="str">
        <f>CHOOSE(CharGenMain!$C$212,X4,Y4,Z4,AA4,AB4,AC4,AD4,AE4,AF4,AG4,AH4,AI4,AJ4,AK4,AL4)</f>
        <v>+2 mystic, +2 spell def</v>
      </c>
      <c r="AN4" s="101" t="str">
        <f>CHOOSE(CharGenMain!$C$213,X4,Y4,Z4,AA4,AB4,AC4,AD4,AE4,AF4,AG4,AH4,AI4,AJ4,AK4,AL4)</f>
        <v>+1 mystic, +1 spell def</v>
      </c>
      <c r="AO4" s="101" t="str">
        <f>CHOOSE(CharGenMain!$C$214,X4,Y4,Z4,AA4,AB4,AC4,AD4,AE4,AF4,AG4,AH4,AI4,AJ4,AK4,AL4)</f>
        <v>+1 mystic, +1 spell def</v>
      </c>
      <c r="AP4" s="101" t="str">
        <f>CHOOSE(CharGenMain!$C$215,X4,Y4,Z4,AA4,AB4,AC4,AD4,AE4,AF4,AG4,AH4,AI4,AJ4,AK4,AL4)</f>
        <v>+2 mystic, +1 spell def</v>
      </c>
      <c r="AQ4" s="101" t="str">
        <f>CHOOSE(CharGenMain!$C$216,X4,Y4,Z4,AA4,AB4,AC4,AD4,AE4,AF4,AG4,AH4,AI4,AJ4,AK4,AL4)</f>
        <v>+2 mystic, +2 spell def, +1 soc def</v>
      </c>
      <c r="AR4" s="101" t="str">
        <f>CHOOSE(CharGenMain!$C$217,X4,Y4,Z4,AA4,AB4,AC4,AD4,AE4,AF4,AG4,AH4,AI4,AJ4,AK4,AL4)</f>
        <v>+2 mystic, +2 spell def, +1 soc def, see text</v>
      </c>
      <c r="AS4" s="101" t="e">
        <f>CHOOSE(CharGenMain!$C$218,X4,Y4,Z4,AA4,AB4,AC4,AD4,AE4,AF4,AG4,AH4,AI4,AJ4,AK4,AL4)</f>
        <v>#VALUE!</v>
      </c>
      <c r="AT4" s="101" t="e">
        <f>CHOOSE(CharGenMain!$C$219,X4,Y4,Z4,AA4,AB4,AC4,AD4,AE4,AF4,AG4,AH4,AI4,AJ4,AK4,AL4)</f>
        <v>#VALUE!</v>
      </c>
      <c r="AU4" s="101" t="e">
        <f>CHOOSE(CharGenMain!$C$220,X4,Y4,Z4,AA4,AB4,AC4,AD4,AE4,AF4,AG4,AH4,AI4,AJ4,AK4,AL4)</f>
        <v>#VALUE!</v>
      </c>
      <c r="AV4" s="101" t="e">
        <f>CHOOSE(CharGenMain!$C$221,X4,Y4,Z4,AA4,AB4,AC4,AD4,AE4,AF4,AG4,AH4,AI4,AJ4,AK4,AL4)</f>
        <v>#VALUE!</v>
      </c>
      <c r="AW4" s="101" t="e">
        <f>CHOOSE(CharGenMain!$C$222,X4,Y4,Z4,AA4,AB4,AC4,AD4,AE4,AF4,AG4,AH4,AI4,AJ4,AK4,AL4)</f>
        <v>#VALUE!</v>
      </c>
      <c r="AX4" s="101" t="e">
        <f>CHOOSE(CharGenMain!$C$223,X4,Y4,Z4,AA4,AB4,AC4,AD4,AE4,AF4,AG4,AH4,AI4,AJ4,AK4,AL4)</f>
        <v>#VALUE!</v>
      </c>
      <c r="AY4" s="101" t="e">
        <f>CHOOSE(CharGenMain!$C$224,X4,Y4,Z4,AA4,AB4,AC4,AD4,AE4,AF4,AG4,AH4,AI4,AJ4,AK4,AL4)</f>
        <v>#VALUE!</v>
      </c>
      <c r="AZ4" s="101" t="e">
        <f>CHOOSE(CharGenMain!$C$225,X4,Y4,Z4,AA4,AB4,AC4,AD4,AE4,AF4,AG4,AH4,AI4,AJ4,AK4,AL4)</f>
        <v>#VALUE!</v>
      </c>
      <c r="BA4" s="271" t="e">
        <f>CHOOSE(CharGenMain!$C$226,X4,Y4,Z4,AA4,AB4,AC4,AD4,AE4,AF4,AG4,AH4,AI4,AJ4,AK4,AL4)</f>
        <v>#VALUE!</v>
      </c>
    </row>
    <row r="5" spans="1:53">
      <c r="A5" s="20" t="s">
        <v>2564</v>
      </c>
      <c r="B5" s="14" t="s">
        <v>2565</v>
      </c>
      <c r="C5" s="14" t="s">
        <v>5219</v>
      </c>
      <c r="D5" s="45" t="s">
        <v>2566</v>
      </c>
      <c r="F5" s="20" t="s">
        <v>2567</v>
      </c>
      <c r="G5" s="14" t="s">
        <v>2568</v>
      </c>
      <c r="H5" s="14" t="s">
        <v>5323</v>
      </c>
      <c r="I5" s="14">
        <v>2</v>
      </c>
      <c r="J5" s="14">
        <v>0</v>
      </c>
      <c r="K5" s="28" t="s">
        <v>2432</v>
      </c>
      <c r="M5" s="20" t="s">
        <v>2277</v>
      </c>
      <c r="N5" s="14" t="s">
        <v>2278</v>
      </c>
      <c r="O5" s="14" t="s">
        <v>2279</v>
      </c>
      <c r="P5" s="28" t="s">
        <v>2280</v>
      </c>
      <c r="R5" s="20" t="s">
        <v>2436</v>
      </c>
      <c r="S5" s="14" t="s">
        <v>2437</v>
      </c>
      <c r="T5" s="14" t="s">
        <v>2279</v>
      </c>
      <c r="U5" s="14">
        <v>2</v>
      </c>
      <c r="V5" s="14">
        <v>7</v>
      </c>
      <c r="W5" s="14">
        <v>14</v>
      </c>
      <c r="X5" s="206" t="s">
        <v>2438</v>
      </c>
      <c r="Y5" s="206" t="s">
        <v>2439</v>
      </c>
      <c r="Z5" s="206" t="s">
        <v>2574</v>
      </c>
      <c r="AA5" s="206" t="s">
        <v>2575</v>
      </c>
      <c r="AB5" s="206" t="s">
        <v>2576</v>
      </c>
      <c r="AC5" s="206" t="s">
        <v>2577</v>
      </c>
      <c r="AD5" s="87" t="s">
        <v>2578</v>
      </c>
      <c r="AE5" s="87" t="s">
        <v>2997</v>
      </c>
      <c r="AF5" s="87" t="s">
        <v>2997</v>
      </c>
      <c r="AG5" s="87" t="s">
        <v>2997</v>
      </c>
      <c r="AH5" s="87" t="s">
        <v>2997</v>
      </c>
      <c r="AI5" s="87" t="s">
        <v>2997</v>
      </c>
      <c r="AJ5" s="87" t="s">
        <v>2997</v>
      </c>
      <c r="AK5" s="87" t="s">
        <v>2997</v>
      </c>
      <c r="AL5" s="87" t="s">
        <v>2997</v>
      </c>
      <c r="AM5" s="101" t="str">
        <f>CHOOSE(CharGenMain!$C$212,X5,Y5,Z5,AA5,AB5,AC5,AD5,AE5,AF5,AG5,AH5,AI5,AJ5,AK5,AL5)</f>
        <v>+1 spell def, +2 mystic, spell matrix</v>
      </c>
      <c r="AN5" s="101" t="str">
        <f>CHOOSE(CharGenMain!$C$213,X5,Y5,Z5,AA5,AB5,AC5,AD5,AE5,AF5,AG5,AH5,AI5,AJ5,AK5,AL5)</f>
        <v>+1 spell def</v>
      </c>
      <c r="AO5" s="101" t="str">
        <f>CHOOSE(CharGenMain!$C$214,X5,Y5,Z5,AA5,AB5,AC5,AD5,AE5,AF5,AG5,AH5,AI5,AJ5,AK5,AL5)</f>
        <v>+1 spell def</v>
      </c>
      <c r="AP5" s="101" t="str">
        <f>CHOOSE(CharGenMain!$C$215,X5,Y5,Z5,AA5,AB5,AC5,AD5,AE5,AF5,AG5,AH5,AI5,AJ5,AK5,AL5)</f>
        <v>+1 spell def, +2 mystic</v>
      </c>
      <c r="AQ5" s="101" t="str">
        <f>CHOOSE(CharGenMain!$C$216,X5,Y5,Z5,AA5,AB5,AC5,AD5,AE5,AF5,AG5,AH5,AI5,AJ5,AK5,AL5)</f>
        <v>+2 spell def, +4 mystic, spell matrix</v>
      </c>
      <c r="AR5" s="101" t="str">
        <f>CHOOSE(CharGenMain!$C$217,X5,Y5,Z5,AA5,AB5,AC5,AD5,AE5,AF5,AG5,AH5,AI5,AJ5,AK5,AL5)</f>
        <v>+2 spell def, +4 mystic, spell matrix, +2 elemental tongues</v>
      </c>
      <c r="AS5" s="101" t="e">
        <f>CHOOSE(CharGenMain!$C$218,X5,Y5,Z5,AA5,AB5,AC5,AD5,AE5,AF5,AG5,AH5,AI5,AJ5,AK5,AL5)</f>
        <v>#VALUE!</v>
      </c>
      <c r="AT5" s="101" t="e">
        <f>CHOOSE(CharGenMain!$C$219,X5,Y5,Z5,AA5,AB5,AC5,AD5,AE5,AF5,AG5,AH5,AI5,AJ5,AK5,AL5)</f>
        <v>#VALUE!</v>
      </c>
      <c r="AU5" s="101" t="e">
        <f>CHOOSE(CharGenMain!$C$220,X5,Y5,Z5,AA5,AB5,AC5,AD5,AE5,AF5,AG5,AH5,AI5,AJ5,AK5,AL5)</f>
        <v>#VALUE!</v>
      </c>
      <c r="AV5" s="101" t="e">
        <f>CHOOSE(CharGenMain!$C$221,X5,Y5,Z5,AA5,AB5,AC5,AD5,AE5,AF5,AG5,AH5,AI5,AJ5,AK5,AL5)</f>
        <v>#VALUE!</v>
      </c>
      <c r="AW5" s="101" t="e">
        <f>CHOOSE(CharGenMain!$C$222,X5,Y5,Z5,AA5,AB5,AC5,AD5,AE5,AF5,AG5,AH5,AI5,AJ5,AK5,AL5)</f>
        <v>#VALUE!</v>
      </c>
      <c r="AX5" s="101" t="e">
        <f>CHOOSE(CharGenMain!$C$223,X5,Y5,Z5,AA5,AB5,AC5,AD5,AE5,AF5,AG5,AH5,AI5,AJ5,AK5,AL5)</f>
        <v>#VALUE!</v>
      </c>
      <c r="AY5" s="101" t="e">
        <f>CHOOSE(CharGenMain!$C$224,X5,Y5,Z5,AA5,AB5,AC5,AD5,AE5,AF5,AG5,AH5,AI5,AJ5,AK5,AL5)</f>
        <v>#VALUE!</v>
      </c>
      <c r="AZ5" s="101" t="e">
        <f>CHOOSE(CharGenMain!$C$225,X5,Y5,Z5,AA5,AB5,AC5,AD5,AE5,AF5,AG5,AH5,AI5,AJ5,AK5,AL5)</f>
        <v>#VALUE!</v>
      </c>
      <c r="BA5" s="271" t="e">
        <f>CHOOSE(CharGenMain!$C$226,X5,Y5,Z5,AA5,AB5,AC5,AD5,AE5,AF5,AG5,AH5,AI5,AJ5,AK5,AL5)</f>
        <v>#VALUE!</v>
      </c>
    </row>
    <row r="6" spans="1:53">
      <c r="A6" s="20" t="s">
        <v>2579</v>
      </c>
      <c r="B6" s="14" t="s">
        <v>2506</v>
      </c>
      <c r="C6" s="14" t="s">
        <v>5219</v>
      </c>
      <c r="D6" s="45" t="s">
        <v>2751</v>
      </c>
      <c r="F6" s="20" t="s">
        <v>2753</v>
      </c>
      <c r="G6" s="14" t="s">
        <v>2837</v>
      </c>
      <c r="H6" s="14" t="s">
        <v>5323</v>
      </c>
      <c r="I6" s="14">
        <v>1</v>
      </c>
      <c r="J6" s="14">
        <v>2</v>
      </c>
      <c r="K6" s="28" t="s">
        <v>2912</v>
      </c>
      <c r="M6" s="20" t="s">
        <v>2433</v>
      </c>
      <c r="N6" s="14" t="s">
        <v>2434</v>
      </c>
      <c r="O6" s="14" t="s">
        <v>2279</v>
      </c>
      <c r="P6" s="28" t="s">
        <v>2435</v>
      </c>
      <c r="R6" s="20" t="s">
        <v>2755</v>
      </c>
      <c r="S6" s="14" t="s">
        <v>2756</v>
      </c>
      <c r="T6" s="14" t="s">
        <v>2279</v>
      </c>
      <c r="U6" s="14">
        <v>2</v>
      </c>
      <c r="V6" s="14">
        <v>5</v>
      </c>
      <c r="W6" s="106">
        <v>14</v>
      </c>
      <c r="X6" s="206" t="s">
        <v>2757</v>
      </c>
      <c r="Y6" s="206" t="s">
        <v>2758</v>
      </c>
      <c r="Z6" s="206" t="s">
        <v>2759</v>
      </c>
      <c r="AA6" s="206" t="s">
        <v>2759</v>
      </c>
      <c r="AB6" s="206" t="s">
        <v>2759</v>
      </c>
      <c r="AC6" s="87"/>
      <c r="AD6" s="87"/>
      <c r="AE6" s="87" t="s">
        <v>2997</v>
      </c>
      <c r="AF6" s="87" t="s">
        <v>2997</v>
      </c>
      <c r="AG6" s="87" t="s">
        <v>2997</v>
      </c>
      <c r="AH6" s="87" t="s">
        <v>2997</v>
      </c>
      <c r="AI6" s="87" t="s">
        <v>2997</v>
      </c>
      <c r="AJ6" s="87" t="s">
        <v>2997</v>
      </c>
      <c r="AK6" s="87" t="s">
        <v>2997</v>
      </c>
      <c r="AL6" s="87" t="s">
        <v>2997</v>
      </c>
      <c r="AM6" s="101" t="str">
        <f>CHOOSE(CharGenMain!$C$212,X6,Y6,Z6,AA6,AB6,AC6,AD6,AE6,AF6,AG6,AH6,AI6,AJ6,AK6,AL6)</f>
        <v>+3 armor, +2 mystic, healing, see text</v>
      </c>
      <c r="AN6" s="101" t="str">
        <f>CHOOSE(CharGenMain!$C$213,X6,Y6,Z6,AA6,AB6,AC6,AD6,AE6,AF6,AG6,AH6,AI6,AJ6,AK6,AL6)</f>
        <v>+3 armor</v>
      </c>
      <c r="AO6" s="101" t="str">
        <f>CHOOSE(CharGenMain!$C$214,X6,Y6,Z6,AA6,AB6,AC6,AD6,AE6,AF6,AG6,AH6,AI6,AJ6,AK6,AL6)</f>
        <v>+3 armor</v>
      </c>
      <c r="AP6" s="101" t="str">
        <f>CHOOSE(CharGenMain!$C$215,X6,Y6,Z6,AA6,AB6,AC6,AD6,AE6,AF6,AG6,AH6,AI6,AJ6,AK6,AL6)</f>
        <v>+3 armor, +2 mystic</v>
      </c>
      <c r="AQ6" s="101" t="str">
        <f>CHOOSE(CharGenMain!$C$216,X6,Y6,Z6,AA6,AB6,AC6,AD6,AE6,AF6,AG6,AH6,AI6,AJ6,AK6,AL6)</f>
        <v>+3 armor, +2 mystic, healing, see text</v>
      </c>
      <c r="AR6" s="101" t="str">
        <f>CHOOSE(CharGenMain!$C$217,X6,Y6,Z6,AA6,AB6,AC6,AD6,AE6,AF6,AG6,AH6,AI6,AJ6,AK6,AL6)</f>
        <v>+3 armor, +2 mystic, healing, see text</v>
      </c>
      <c r="AS6" s="101" t="e">
        <f>CHOOSE(CharGenMain!$C$218,X6,Y6,Z6,AA6,AB6,AC6,AD6,AE6,AF6,AG6,AH6,AI6,AJ6,AK6,AL6)</f>
        <v>#VALUE!</v>
      </c>
      <c r="AT6" s="101" t="e">
        <f>CHOOSE(CharGenMain!$C$219,X6,Y6,Z6,AA6,AB6,AC6,AD6,AE6,AF6,AG6,AH6,AI6,AJ6,AK6,AL6)</f>
        <v>#VALUE!</v>
      </c>
      <c r="AU6" s="101" t="e">
        <f>CHOOSE(CharGenMain!$C$220,X6,Y6,Z6,AA6,AB6,AC6,AD6,AE6,AF6,AG6,AH6,AI6,AJ6,AK6,AL6)</f>
        <v>#VALUE!</v>
      </c>
      <c r="AV6" s="101" t="e">
        <f>CHOOSE(CharGenMain!$C$221,X6,Y6,Z6,AA6,AB6,AC6,AD6,AE6,AF6,AG6,AH6,AI6,AJ6,AK6,AL6)</f>
        <v>#VALUE!</v>
      </c>
      <c r="AW6" s="101" t="e">
        <f>CHOOSE(CharGenMain!$C$222,X6,Y6,Z6,AA6,AB6,AC6,AD6,AE6,AF6,AG6,AH6,AI6,AJ6,AK6,AL6)</f>
        <v>#VALUE!</v>
      </c>
      <c r="AX6" s="101" t="e">
        <f>CHOOSE(CharGenMain!$C$223,X6,Y6,Z6,AA6,AB6,AC6,AD6,AE6,AF6,AG6,AH6,AI6,AJ6,AK6,AL6)</f>
        <v>#VALUE!</v>
      </c>
      <c r="AY6" s="101" t="e">
        <f>CHOOSE(CharGenMain!$C$224,X6,Y6,Z6,AA6,AB6,AC6,AD6,AE6,AF6,AG6,AH6,AI6,AJ6,AK6,AL6)</f>
        <v>#VALUE!</v>
      </c>
      <c r="AZ6" s="101" t="e">
        <f>CHOOSE(CharGenMain!$C$225,X6,Y6,Z6,AA6,AB6,AC6,AD6,AE6,AF6,AG6,AH6,AI6,AJ6,AK6,AL6)</f>
        <v>#VALUE!</v>
      </c>
      <c r="BA6" s="271" t="e">
        <f>CHOOSE(CharGenMain!$C$226,X6,Y6,Z6,AA6,AB6,AC6,AD6,AE6,AF6,AG6,AH6,AI6,AJ6,AK6,AL6)</f>
        <v>#VALUE!</v>
      </c>
    </row>
    <row r="7" spans="1:53">
      <c r="A7" s="20" t="s">
        <v>2760</v>
      </c>
      <c r="B7" s="14" t="s">
        <v>2506</v>
      </c>
      <c r="C7" s="14" t="s">
        <v>5219</v>
      </c>
      <c r="D7" s="45" t="s">
        <v>2449</v>
      </c>
      <c r="F7" s="20" t="s">
        <v>2217</v>
      </c>
      <c r="G7" s="14" t="s">
        <v>2660</v>
      </c>
      <c r="H7" s="14" t="s">
        <v>5323</v>
      </c>
      <c r="I7" s="14">
        <v>1</v>
      </c>
      <c r="J7" s="14">
        <v>2</v>
      </c>
      <c r="K7" s="28" t="s">
        <v>2218</v>
      </c>
      <c r="M7" s="20" t="s">
        <v>2913</v>
      </c>
      <c r="N7" s="14" t="s">
        <v>2914</v>
      </c>
      <c r="O7" s="14" t="s">
        <v>2279</v>
      </c>
      <c r="P7" s="28" t="s">
        <v>2915</v>
      </c>
      <c r="R7" s="226" t="s">
        <v>2221</v>
      </c>
      <c r="S7" s="14" t="s">
        <v>2222</v>
      </c>
      <c r="T7" s="14" t="s">
        <v>2223</v>
      </c>
      <c r="U7" s="14">
        <v>3</v>
      </c>
      <c r="V7" s="14">
        <v>5</v>
      </c>
      <c r="W7" s="14">
        <v>15</v>
      </c>
      <c r="X7" s="87" t="s">
        <v>2224</v>
      </c>
      <c r="Y7" s="87" t="s">
        <v>2224</v>
      </c>
      <c r="Z7" s="87" t="s">
        <v>2224</v>
      </c>
      <c r="AA7" s="87" t="s">
        <v>2224</v>
      </c>
      <c r="AB7" s="87" t="s">
        <v>2224</v>
      </c>
      <c r="AC7" s="87" t="s">
        <v>2997</v>
      </c>
      <c r="AD7" s="87" t="s">
        <v>2997</v>
      </c>
      <c r="AE7" s="87" t="s">
        <v>2997</v>
      </c>
      <c r="AF7" s="87" t="s">
        <v>2997</v>
      </c>
      <c r="AG7" s="87" t="s">
        <v>2997</v>
      </c>
      <c r="AH7" s="87" t="s">
        <v>2997</v>
      </c>
      <c r="AI7" s="87" t="s">
        <v>2997</v>
      </c>
      <c r="AJ7" s="87" t="s">
        <v>2997</v>
      </c>
      <c r="AK7" s="87" t="s">
        <v>2997</v>
      </c>
      <c r="AL7" s="87" t="s">
        <v>2997</v>
      </c>
      <c r="AM7" s="101" t="str">
        <f>CHOOSE(CharGenMain!$C$212,X7,Y7,Z7,AA7,AB7,AC7,AD7,AE7,AF7,AG7,AH7,AI7,AJ7,AK7,AL7)</f>
        <v>detects horrors, see text</v>
      </c>
      <c r="AN7" s="101" t="str">
        <f>CHOOSE(CharGenMain!$C$213,X7,Y7,Z7,AA7,AB7,AC7,AD7,AE7,AF7,AG7,AH7,AI7,AJ7,AK7,AL7)</f>
        <v>detects horrors, see text</v>
      </c>
      <c r="AO7" s="101" t="str">
        <f>CHOOSE(CharGenMain!$C$214,X7,Y7,Z7,AA7,AB7,AC7,AD7,AE7,AF7,AG7,AH7,AI7,AJ7,AK7,AL7)</f>
        <v>detects horrors, see text</v>
      </c>
      <c r="AP7" s="101" t="str">
        <f>CHOOSE(CharGenMain!$C$215,X7,Y7,Z7,AA7,AB7,AC7,AD7,AE7,AF7,AG7,AH7,AI7,AJ7,AK7,AL7)</f>
        <v>detects horrors, see text</v>
      </c>
      <c r="AQ7" s="101" t="str">
        <f>CHOOSE(CharGenMain!$C$216,X7,Y7,Z7,AA7,AB7,AC7,AD7,AE7,AF7,AG7,AH7,AI7,AJ7,AK7,AL7)</f>
        <v>detects horrors, see text</v>
      </c>
      <c r="AR7" s="101" t="str">
        <f>CHOOSE(CharGenMain!$C$217,X7,Y7,Z7,AA7,AB7,AC7,AD7,AE7,AF7,AG7,AH7,AI7,AJ7,AK7,AL7)</f>
        <v>detects horrors, see text</v>
      </c>
      <c r="AS7" s="101" t="e">
        <f>CHOOSE(CharGenMain!$C$218,X7,Y7,Z7,AA7,AB7,AC7,AD7,AE7,AF7,AG7,AH7,AI7,AJ7,AK7,AL7)</f>
        <v>#VALUE!</v>
      </c>
      <c r="AT7" s="101" t="e">
        <f>CHOOSE(CharGenMain!$C$219,X7,Y7,Z7,AA7,AB7,AC7,AD7,AE7,AF7,AG7,AH7,AI7,AJ7,AK7,AL7)</f>
        <v>#VALUE!</v>
      </c>
      <c r="AU7" s="101" t="e">
        <f>CHOOSE(CharGenMain!$C$220,X7,Y7,Z7,AA7,AB7,AC7,AD7,AE7,AF7,AG7,AH7,AI7,AJ7,AK7,AL7)</f>
        <v>#VALUE!</v>
      </c>
      <c r="AV7" s="101" t="e">
        <f>CHOOSE(CharGenMain!$C$221,X7,Y7,Z7,AA7,AB7,AC7,AD7,AE7,AF7,AG7,AH7,AI7,AJ7,AK7,AL7)</f>
        <v>#VALUE!</v>
      </c>
      <c r="AW7" s="101" t="e">
        <f>CHOOSE(CharGenMain!$C$222,X7,Y7,Z7,AA7,AB7,AC7,AD7,AE7,AF7,AG7,AH7,AI7,AJ7,AK7,AL7)</f>
        <v>#VALUE!</v>
      </c>
      <c r="AX7" s="101" t="e">
        <f>CHOOSE(CharGenMain!$C$223,X7,Y7,Z7,AA7,AB7,AC7,AD7,AE7,AF7,AG7,AH7,AI7,AJ7,AK7,AL7)</f>
        <v>#VALUE!</v>
      </c>
      <c r="AY7" s="101" t="e">
        <f>CHOOSE(CharGenMain!$C$224,X7,Y7,Z7,AA7,AB7,AC7,AD7,AE7,AF7,AG7,AH7,AI7,AJ7,AK7,AL7)</f>
        <v>#VALUE!</v>
      </c>
      <c r="AZ7" s="101" t="e">
        <f>CHOOSE(CharGenMain!$C$225,X7,Y7,Z7,AA7,AB7,AC7,AD7,AE7,AF7,AG7,AH7,AI7,AJ7,AK7,AL7)</f>
        <v>#VALUE!</v>
      </c>
      <c r="BA7" s="271" t="e">
        <f>CHOOSE(CharGenMain!$C$226,X7,Y7,Z7,AA7,AB7,AC7,AD7,AE7,AF7,AG7,AH7,AI7,AJ7,AK7,AL7)</f>
        <v>#VALUE!</v>
      </c>
    </row>
    <row r="8" spans="1:53">
      <c r="A8" s="20" t="s">
        <v>5319</v>
      </c>
      <c r="B8" s="14" t="s">
        <v>2660</v>
      </c>
      <c r="C8" s="14" t="s">
        <v>5219</v>
      </c>
      <c r="D8" s="186" t="s">
        <v>2326</v>
      </c>
      <c r="F8" s="20" t="s">
        <v>2327</v>
      </c>
      <c r="G8" s="14" t="s">
        <v>2328</v>
      </c>
      <c r="H8" s="14" t="s">
        <v>5323</v>
      </c>
      <c r="I8" s="14">
        <v>2</v>
      </c>
      <c r="J8" s="14">
        <v>2</v>
      </c>
      <c r="K8" s="28" t="s">
        <v>2226</v>
      </c>
      <c r="M8" s="20" t="s">
        <v>2219</v>
      </c>
      <c r="N8" s="14" t="s">
        <v>2220</v>
      </c>
      <c r="O8" s="14" t="s">
        <v>2279</v>
      </c>
      <c r="P8" s="28" t="s">
        <v>2435</v>
      </c>
      <c r="R8" s="226" t="s">
        <v>2230</v>
      </c>
      <c r="S8" s="14" t="s">
        <v>2666</v>
      </c>
      <c r="T8" s="14" t="s">
        <v>2667</v>
      </c>
      <c r="U8" s="14">
        <v>1</v>
      </c>
      <c r="V8" s="14">
        <v>3</v>
      </c>
      <c r="W8" s="14">
        <v>9</v>
      </c>
      <c r="X8" s="87" t="s">
        <v>2231</v>
      </c>
      <c r="Y8" s="87" t="s">
        <v>2232</v>
      </c>
      <c r="Z8" s="87" t="s">
        <v>2233</v>
      </c>
      <c r="AA8" s="87" t="s">
        <v>2997</v>
      </c>
      <c r="AB8" s="87" t="s">
        <v>2997</v>
      </c>
      <c r="AC8" s="87" t="s">
        <v>2997</v>
      </c>
      <c r="AD8" s="87" t="s">
        <v>2997</v>
      </c>
      <c r="AE8" s="87" t="s">
        <v>2997</v>
      </c>
      <c r="AF8" s="87" t="s">
        <v>2997</v>
      </c>
      <c r="AG8" s="87" t="s">
        <v>2997</v>
      </c>
      <c r="AH8" s="87" t="s">
        <v>2997</v>
      </c>
      <c r="AI8" s="87" t="s">
        <v>2997</v>
      </c>
      <c r="AJ8" s="87" t="s">
        <v>2997</v>
      </c>
      <c r="AK8" s="87" t="s">
        <v>2997</v>
      </c>
      <c r="AL8" s="87" t="s">
        <v>2997</v>
      </c>
      <c r="AM8" s="101" t="str">
        <f>CHOOSE(CharGenMain!$C$212,X8,Y8,Z8,AA8,AB8,AC8,AD8,AE8,AF8,AG8,AH8,AI8,AJ8,AK8,AL8)</f>
        <v>Thread Rank Bonus to Wound Balance, Avoid Blow, +1 phys def in melee</v>
      </c>
      <c r="AN8" s="101" t="str">
        <f>CHOOSE(CharGenMain!$C$213,X8,Y8,Z8,AA8,AB8,AC8,AD8,AE8,AF8,AG8,AH8,AI8,AJ8,AK8,AL8)</f>
        <v>Thread Rank Bonus to Wound Balance</v>
      </c>
      <c r="AO8" s="101" t="str">
        <f>CHOOSE(CharGenMain!$C$214,X8,Y8,Z8,AA8,AB8,AC8,AD8,AE8,AF8,AG8,AH8,AI8,AJ8,AK8,AL8)</f>
        <v>Thread Rank Bonus to Wound Balance</v>
      </c>
      <c r="AP8" s="101" t="str">
        <f>CHOOSE(CharGenMain!$C$215,X8,Y8,Z8,AA8,AB8,AC8,AD8,AE8,AF8,AG8,AH8,AI8,AJ8,AK8,AL8)</f>
        <v>Thread Rank Bonus to Wound Balance, Avoid Blow</v>
      </c>
      <c r="AQ8" s="101" t="str">
        <f>CHOOSE(CharGenMain!$C$216,X8,Y8,Z8,AA8,AB8,AC8,AD8,AE8,AF8,AG8,AH8,AI8,AJ8,AK8,AL8)</f>
        <v>Thread Max Exceeded</v>
      </c>
      <c r="AR8" s="101" t="str">
        <f>CHOOSE(CharGenMain!$C$217,X8,Y8,Z8,AA8,AB8,AC8,AD8,AE8,AF8,AG8,AH8,AI8,AJ8,AK8,AL8)</f>
        <v>Thread Max Exceeded</v>
      </c>
      <c r="AS8" s="101" t="e">
        <f>CHOOSE(CharGenMain!$C$218,X8,Y8,Z8,AA8,AB8,AC8,AD8,AE8,AF8,AG8,AH8,AI8,AJ8,AK8,AL8)</f>
        <v>#VALUE!</v>
      </c>
      <c r="AT8" s="101" t="e">
        <f>CHOOSE(CharGenMain!$C$219,X8,Y8,Z8,AA8,AB8,AC8,AD8,AE8,AF8,AG8,AH8,AI8,AJ8,AK8,AL8)</f>
        <v>#VALUE!</v>
      </c>
      <c r="AU8" s="101" t="e">
        <f>CHOOSE(CharGenMain!$C$220,X8,Y8,Z8,AA8,AB8,AC8,AD8,AE8,AF8,AG8,AH8,AI8,AJ8,AK8,AL8)</f>
        <v>#VALUE!</v>
      </c>
      <c r="AV8" s="101" t="e">
        <f>CHOOSE(CharGenMain!$C$221,X8,Y8,Z8,AA8,AB8,AC8,AD8,AE8,AF8,AG8,AH8,AI8,AJ8,AK8,AL8)</f>
        <v>#VALUE!</v>
      </c>
      <c r="AW8" s="101" t="e">
        <f>CHOOSE(CharGenMain!$C$222,X8,Y8,Z8,AA8,AB8,AC8,AD8,AE8,AF8,AG8,AH8,AI8,AJ8,AK8,AL8)</f>
        <v>#VALUE!</v>
      </c>
      <c r="AX8" s="101" t="e">
        <f>CHOOSE(CharGenMain!$C$223,X8,Y8,Z8,AA8,AB8,AC8,AD8,AE8,AF8,AG8,AH8,AI8,AJ8,AK8,AL8)</f>
        <v>#VALUE!</v>
      </c>
      <c r="AY8" s="101" t="e">
        <f>CHOOSE(CharGenMain!$C$224,X8,Y8,Z8,AA8,AB8,AC8,AD8,AE8,AF8,AG8,AH8,AI8,AJ8,AK8,AL8)</f>
        <v>#VALUE!</v>
      </c>
      <c r="AZ8" s="101" t="e">
        <f>CHOOSE(CharGenMain!$C$225,X8,Y8,Z8,AA8,AB8,AC8,AD8,AE8,AF8,AG8,AH8,AI8,AJ8,AK8,AL8)</f>
        <v>#VALUE!</v>
      </c>
      <c r="BA8" s="271" t="e">
        <f>CHOOSE(CharGenMain!$C$226,X8,Y8,Z8,AA8,AB8,AC8,AD8,AE8,AF8,AG8,AH8,AI8,AJ8,AK8,AL8)</f>
        <v>#VALUE!</v>
      </c>
    </row>
    <row r="9" spans="1:53">
      <c r="A9" s="20" t="s">
        <v>2234</v>
      </c>
      <c r="B9" s="14" t="s">
        <v>2347</v>
      </c>
      <c r="C9" s="14" t="s">
        <v>5219</v>
      </c>
      <c r="D9" s="45" t="s">
        <v>2496</v>
      </c>
      <c r="F9" s="20" t="s">
        <v>2497</v>
      </c>
      <c r="G9" s="14" t="s">
        <v>125</v>
      </c>
      <c r="H9" s="14" t="s">
        <v>5323</v>
      </c>
      <c r="I9" s="14" t="s">
        <v>4648</v>
      </c>
      <c r="J9" s="14">
        <v>4</v>
      </c>
      <c r="K9" s="28" t="s">
        <v>2498</v>
      </c>
      <c r="M9" s="20" t="s">
        <v>2227</v>
      </c>
      <c r="N9" s="14" t="s">
        <v>2228</v>
      </c>
      <c r="O9" s="14" t="s">
        <v>5796</v>
      </c>
      <c r="P9" s="45" t="s">
        <v>2229</v>
      </c>
      <c r="R9" s="226" t="s">
        <v>5849</v>
      </c>
      <c r="S9" s="14" t="s">
        <v>400</v>
      </c>
      <c r="T9" s="14" t="s">
        <v>2667</v>
      </c>
      <c r="U9" s="14">
        <v>2</v>
      </c>
      <c r="V9" s="14">
        <v>6</v>
      </c>
      <c r="W9" s="14">
        <v>10</v>
      </c>
      <c r="X9" s="206" t="s">
        <v>5850</v>
      </c>
      <c r="Y9" s="206" t="s">
        <v>5851</v>
      </c>
      <c r="Z9" s="206" t="s">
        <v>5726</v>
      </c>
      <c r="AA9" s="206" t="s">
        <v>5727</v>
      </c>
      <c r="AB9" s="206" t="s">
        <v>5728</v>
      </c>
      <c r="AC9" s="206" t="s">
        <v>5729</v>
      </c>
      <c r="AD9" s="87" t="s">
        <v>2997</v>
      </c>
      <c r="AE9" s="87" t="s">
        <v>2997</v>
      </c>
      <c r="AF9" s="87" t="s">
        <v>2997</v>
      </c>
      <c r="AG9" s="87" t="s">
        <v>2997</v>
      </c>
      <c r="AH9" s="87" t="s">
        <v>2997</v>
      </c>
      <c r="AI9" s="87" t="s">
        <v>2997</v>
      </c>
      <c r="AJ9" s="87" t="s">
        <v>2997</v>
      </c>
      <c r="AK9" s="87" t="s">
        <v>2997</v>
      </c>
      <c r="AL9" s="87" t="s">
        <v>2997</v>
      </c>
      <c r="AM9" s="101" t="str">
        <f>CHOOSE(CharGenMain!$C$212,X9,Y9,Z9,AA9,AB9,AC9,AD9,AE9,AF9,AG9,AH9,AI9,AJ9,AK9,AL9)</f>
        <v>+1 to Waterfall Slam</v>
      </c>
      <c r="AN9" s="101" t="str">
        <f>CHOOSE(CharGenMain!$C$213,X9,Y9,Z9,AA9,AB9,AC9,AD9,AE9,AF9,AG9,AH9,AI9,AJ9,AK9,AL9)</f>
        <v>+1 to Woodskin</v>
      </c>
      <c r="AO9" s="101" t="str">
        <f>CHOOSE(CharGenMain!$C$214,X9,Y9,Z9,AA9,AB9,AC9,AD9,AE9,AF9,AG9,AH9,AI9,AJ9,AK9,AL9)</f>
        <v>+1 to Woodskin</v>
      </c>
      <c r="AP9" s="101" t="str">
        <f>CHOOSE(CharGenMain!$C$215,X9,Y9,Z9,AA9,AB9,AC9,AD9,AE9,AF9,AG9,AH9,AI9,AJ9,AK9,AL9)</f>
        <v>+1 to Air Dance</v>
      </c>
      <c r="AQ9" s="101" t="str">
        <f>CHOOSE(CharGenMain!$C$216,X9,Y9,Z9,AA9,AB9,AC9,AD9,AE9,AF9,AG9,AH9,AI9,AJ9,AK9,AL9)</f>
        <v>+1 to Earth Skin</v>
      </c>
      <c r="AR9" s="101" t="str">
        <f>CHOOSE(CharGenMain!$C$217,X9,Y9,Z9,AA9,AB9,AC9,AD9,AE9,AF9,AG9,AH9,AI9,AJ9,AK9,AL9)</f>
        <v>+1 to Fire Heal</v>
      </c>
      <c r="AS9" s="101" t="e">
        <f>CHOOSE(CharGenMain!$C$218,X9,Y9,Z9,AA9,AB9,AC9,AD9,AE9,AF9,AG9,AH9,AI9,AJ9,AK9,AL9)</f>
        <v>#VALUE!</v>
      </c>
      <c r="AT9" s="101" t="e">
        <f>CHOOSE(CharGenMain!$C$219,X9,Y9,Z9,AA9,AB9,AC9,AD9,AE9,AF9,AG9,AH9,AI9,AJ9,AK9,AL9)</f>
        <v>#VALUE!</v>
      </c>
      <c r="AU9" s="101" t="e">
        <f>CHOOSE(CharGenMain!$C$220,X9,Y9,Z9,AA9,AB9,AC9,AD9,AE9,AF9,AG9,AH9,AI9,AJ9,AK9,AL9)</f>
        <v>#VALUE!</v>
      </c>
      <c r="AV9" s="101" t="e">
        <f>CHOOSE(CharGenMain!$C$221,X9,Y9,Z9,AA9,AB9,AC9,AD9,AE9,AF9,AG9,AH9,AI9,AJ9,AK9,AL9)</f>
        <v>#VALUE!</v>
      </c>
      <c r="AW9" s="101" t="e">
        <f>CHOOSE(CharGenMain!$C$222,X9,Y9,Z9,AA9,AB9,AC9,AD9,AE9,AF9,AG9,AH9,AI9,AJ9,AK9,AL9)</f>
        <v>#VALUE!</v>
      </c>
      <c r="AX9" s="101" t="e">
        <f>CHOOSE(CharGenMain!$C$223,X9,Y9,Z9,AA9,AB9,AC9,AD9,AE9,AF9,AG9,AH9,AI9,AJ9,AK9,AL9)</f>
        <v>#VALUE!</v>
      </c>
      <c r="AY9" s="101" t="e">
        <f>CHOOSE(CharGenMain!$C$224,X9,Y9,Z9,AA9,AB9,AC9,AD9,AE9,AF9,AG9,AH9,AI9,AJ9,AK9,AL9)</f>
        <v>#VALUE!</v>
      </c>
      <c r="AZ9" s="101" t="e">
        <f>CHOOSE(CharGenMain!$C$225,X9,Y9,Z9,AA9,AB9,AC9,AD9,AE9,AF9,AG9,AH9,AI9,AJ9,AK9,AL9)</f>
        <v>#VALUE!</v>
      </c>
      <c r="BA9" s="271" t="e">
        <f>CHOOSE(CharGenMain!$C$226,X9,Y9,Z9,AA9,AB9,AC9,AD9,AE9,AF9,AG9,AH9,AI9,AJ9,AK9,AL9)</f>
        <v>#VALUE!</v>
      </c>
    </row>
    <row r="10" spans="1:53">
      <c r="A10" s="20" t="s">
        <v>2671</v>
      </c>
      <c r="B10" s="14" t="s">
        <v>2347</v>
      </c>
      <c r="C10" s="14" t="s">
        <v>5219</v>
      </c>
      <c r="D10" s="45" t="s">
        <v>2672</v>
      </c>
      <c r="F10" s="20" t="s">
        <v>2673</v>
      </c>
      <c r="G10" s="14" t="s">
        <v>2674</v>
      </c>
      <c r="H10" s="14" t="s">
        <v>5323</v>
      </c>
      <c r="I10" s="14">
        <v>1</v>
      </c>
      <c r="J10" s="14">
        <v>1</v>
      </c>
      <c r="K10" s="28" t="s">
        <v>2834</v>
      </c>
      <c r="M10" s="20" t="s">
        <v>126</v>
      </c>
      <c r="N10" s="14" t="s">
        <v>122</v>
      </c>
      <c r="O10" s="14" t="s">
        <v>127</v>
      </c>
      <c r="P10" s="45" t="s">
        <v>42</v>
      </c>
      <c r="R10" s="20" t="s">
        <v>2503</v>
      </c>
      <c r="S10" s="14" t="s">
        <v>2504</v>
      </c>
      <c r="T10" s="14" t="s">
        <v>2279</v>
      </c>
      <c r="U10" s="14">
        <v>3</v>
      </c>
      <c r="V10" s="14">
        <v>5</v>
      </c>
      <c r="W10" s="106">
        <v>18</v>
      </c>
      <c r="X10" s="206" t="s">
        <v>2363</v>
      </c>
      <c r="Y10" s="206" t="s">
        <v>2364</v>
      </c>
      <c r="Z10" s="206" t="s">
        <v>2508</v>
      </c>
      <c r="AA10" s="206" t="s">
        <v>2669</v>
      </c>
      <c r="AB10" s="206" t="s">
        <v>2670</v>
      </c>
      <c r="AC10" s="87" t="s">
        <v>2997</v>
      </c>
      <c r="AD10" s="87" t="s">
        <v>2997</v>
      </c>
      <c r="AE10" s="87" t="s">
        <v>2997</v>
      </c>
      <c r="AF10" s="87" t="s">
        <v>2997</v>
      </c>
      <c r="AG10" s="87" t="s">
        <v>2997</v>
      </c>
      <c r="AH10" s="87" t="s">
        <v>2997</v>
      </c>
      <c r="AI10" s="87" t="s">
        <v>2997</v>
      </c>
      <c r="AJ10" s="87" t="s">
        <v>2997</v>
      </c>
      <c r="AK10" s="87" t="s">
        <v>2997</v>
      </c>
      <c r="AL10" s="87" t="s">
        <v>2997</v>
      </c>
      <c r="AM10" s="101" t="str">
        <f>CHOOSE(CharGenMain!$C$212,X10,Y10,Z10,AA10,AB10,AC10,AD10,AE10,AF10,AG10,AH10,AI10,AJ10,AK10,AL10)</f>
        <v>+1 karma step, stores karma, may use +1 karma pt</v>
      </c>
      <c r="AN10" s="101" t="str">
        <f>CHOOSE(CharGenMain!$C$213,X10,Y10,Z10,AA10,AB10,AC10,AD10,AE10,AF10,AG10,AH10,AI10,AJ10,AK10,AL10)</f>
        <v>+1 karma step</v>
      </c>
      <c r="AO10" s="101" t="str">
        <f>CHOOSE(CharGenMain!$C$214,X10,Y10,Z10,AA10,AB10,AC10,AD10,AE10,AF10,AG10,AH10,AI10,AJ10,AK10,AL10)</f>
        <v>+1 karma step</v>
      </c>
      <c r="AP10" s="101" t="str">
        <f>CHOOSE(CharGenMain!$C$215,X10,Y10,Z10,AA10,AB10,AC10,AD10,AE10,AF10,AG10,AH10,AI10,AJ10,AK10,AL10)</f>
        <v>+1 karma step, stores karma</v>
      </c>
      <c r="AQ10" s="101" t="str">
        <f>CHOOSE(CharGenMain!$C$216,X10,Y10,Z10,AA10,AB10,AC10,AD10,AE10,AF10,AG10,AH10,AI10,AJ10,AK10,AL10)</f>
        <v>+2 karma step, stores karma, may use +1 karma pt</v>
      </c>
      <c r="AR10" s="101" t="str">
        <f>CHOOSE(CharGenMain!$C$217,X10,Y10,Z10,AA10,AB10,AC10,AD10,AE10,AF10,AG10,AH10,AI10,AJ10,AK10,AL10)</f>
        <v>+2 karma step, stores karma, may use +5 karma pts</v>
      </c>
      <c r="AS10" s="101" t="e">
        <f>CHOOSE(CharGenMain!$C$218,X10,Y10,Z10,AA10,AB10,AC10,AD10,AE10,AF10,AG10,AH10,AI10,AJ10,AK10,AL10)</f>
        <v>#VALUE!</v>
      </c>
      <c r="AT10" s="101" t="e">
        <f>CHOOSE(CharGenMain!$C$219,X10,Y10,Z10,AA10,AB10,AC10,AD10,AE10,AF10,AG10,AH10,AI10,AJ10,AK10,AL10)</f>
        <v>#VALUE!</v>
      </c>
      <c r="AU10" s="101" t="e">
        <f>CHOOSE(CharGenMain!$C$220,X10,Y10,Z10,AA10,AB10,AC10,AD10,AE10,AF10,AG10,AH10,AI10,AJ10,AK10,AL10)</f>
        <v>#VALUE!</v>
      </c>
      <c r="AV10" s="101" t="e">
        <f>CHOOSE(CharGenMain!$C$221,X10,Y10,Z10,AA10,AB10,AC10,AD10,AE10,AF10,AG10,AH10,AI10,AJ10,AK10,AL10)</f>
        <v>#VALUE!</v>
      </c>
      <c r="AW10" s="101" t="e">
        <f>CHOOSE(CharGenMain!$C$222,X10,Y10,Z10,AA10,AB10,AC10,AD10,AE10,AF10,AG10,AH10,AI10,AJ10,AK10,AL10)</f>
        <v>#VALUE!</v>
      </c>
      <c r="AX10" s="101" t="e">
        <f>CHOOSE(CharGenMain!$C$223,X10,Y10,Z10,AA10,AB10,AC10,AD10,AE10,AF10,AG10,AH10,AI10,AJ10,AK10,AL10)</f>
        <v>#VALUE!</v>
      </c>
      <c r="AY10" s="101" t="e">
        <f>CHOOSE(CharGenMain!$C$224,X10,Y10,Z10,AA10,AB10,AC10,AD10,AE10,AF10,AG10,AH10,AI10,AJ10,AK10,AL10)</f>
        <v>#VALUE!</v>
      </c>
      <c r="AZ10" s="101" t="e">
        <f>CHOOSE(CharGenMain!$C$225,X10,Y10,Z10,AA10,AB10,AC10,AD10,AE10,AF10,AG10,AH10,AI10,AJ10,AK10,AL10)</f>
        <v>#VALUE!</v>
      </c>
      <c r="BA10" s="271" t="e">
        <f>CHOOSE(CharGenMain!$C$226,X10,Y10,Z10,AA10,AB10,AC10,AD10,AE10,AF10,AG10,AH10,AI10,AJ10,AK10,AL10)</f>
        <v>#VALUE!</v>
      </c>
    </row>
    <row r="11" spans="1:53">
      <c r="A11" s="20" t="s">
        <v>2680</v>
      </c>
      <c r="B11" s="14" t="s">
        <v>2681</v>
      </c>
      <c r="C11" s="14" t="s">
        <v>5219</v>
      </c>
      <c r="D11" s="186" t="s">
        <v>2265</v>
      </c>
      <c r="F11" s="20" t="s">
        <v>2386</v>
      </c>
      <c r="G11" s="14" t="s">
        <v>2228</v>
      </c>
      <c r="H11" s="14" t="s">
        <v>5323</v>
      </c>
      <c r="I11" s="14">
        <v>1</v>
      </c>
      <c r="J11" s="14">
        <v>0</v>
      </c>
      <c r="K11" s="28" t="s">
        <v>2164</v>
      </c>
      <c r="M11" s="20" t="s">
        <v>2499</v>
      </c>
      <c r="N11" s="14" t="s">
        <v>2500</v>
      </c>
      <c r="O11" s="14" t="s">
        <v>2501</v>
      </c>
      <c r="P11" s="45" t="s">
        <v>2502</v>
      </c>
      <c r="R11" s="20" t="s">
        <v>2677</v>
      </c>
      <c r="S11" s="14" t="s">
        <v>2678</v>
      </c>
      <c r="T11" s="14" t="s">
        <v>2279</v>
      </c>
      <c r="U11" s="14">
        <v>2</v>
      </c>
      <c r="V11" s="14">
        <v>4</v>
      </c>
      <c r="W11" s="106">
        <v>14</v>
      </c>
      <c r="X11" s="168" t="s">
        <v>2679</v>
      </c>
      <c r="Y11" s="168" t="s">
        <v>2679</v>
      </c>
      <c r="Z11" s="168" t="s">
        <v>2679</v>
      </c>
      <c r="AA11" s="168" t="s">
        <v>2679</v>
      </c>
      <c r="AB11" s="87" t="s">
        <v>2997</v>
      </c>
      <c r="AC11" s="87" t="s">
        <v>2997</v>
      </c>
      <c r="AD11" s="87" t="s">
        <v>2997</v>
      </c>
      <c r="AE11" s="87" t="s">
        <v>2997</v>
      </c>
      <c r="AF11" s="87" t="s">
        <v>2997</v>
      </c>
      <c r="AG11" s="87" t="s">
        <v>2997</v>
      </c>
      <c r="AH11" s="87" t="s">
        <v>2997</v>
      </c>
      <c r="AI11" s="87" t="s">
        <v>2997</v>
      </c>
      <c r="AJ11" s="87" t="s">
        <v>2997</v>
      </c>
      <c r="AK11" s="87" t="s">
        <v>2997</v>
      </c>
      <c r="AL11" s="87" t="s">
        <v>2997</v>
      </c>
      <c r="AM11" s="101" t="str">
        <f>CHOOSE(CharGenMain!$C$212,X11,Y11,Z11,AA11,AB11,AC11,AD11,AE11,AF11,AG11,AH11,AI11,AJ11,AK11,AL11)</f>
        <v>see text, perception, knowledge bonuses</v>
      </c>
      <c r="AN11" s="101" t="str">
        <f>CHOOSE(CharGenMain!$C$213,X11,Y11,Z11,AA11,AB11,AC11,AD11,AE11,AF11,AG11,AH11,AI11,AJ11,AK11,AL11)</f>
        <v>see text, perception, knowledge bonuses</v>
      </c>
      <c r="AO11" s="101" t="str">
        <f>CHOOSE(CharGenMain!$C$214,X11,Y11,Z11,AA11,AB11,AC11,AD11,AE11,AF11,AG11,AH11,AI11,AJ11,AK11,AL11)</f>
        <v>see text, perception, knowledge bonuses</v>
      </c>
      <c r="AP11" s="101" t="str">
        <f>CHOOSE(CharGenMain!$C$215,X11,Y11,Z11,AA11,AB11,AC11,AD11,AE11,AF11,AG11,AH11,AI11,AJ11,AK11,AL11)</f>
        <v>see text, perception, knowledge bonuses</v>
      </c>
      <c r="AQ11" s="101" t="str">
        <f>CHOOSE(CharGenMain!$C$216,X11,Y11,Z11,AA11,AB11,AC11,AD11,AE11,AF11,AG11,AH11,AI11,AJ11,AK11,AL11)</f>
        <v>see text, perception, knowledge bonuses</v>
      </c>
      <c r="AR11" s="101" t="str">
        <f>CHOOSE(CharGenMain!$C$217,X11,Y11,Z11,AA11,AB11,AC11,AD11,AE11,AF11,AG11,AH11,AI11,AJ11,AK11,AL11)</f>
        <v>Thread Max Exceeded</v>
      </c>
      <c r="AS11" s="101" t="e">
        <f>CHOOSE(CharGenMain!$C$218,X11,Y11,Z11,AA11,AB11,AC11,AD11,AE11,AF11,AG11,AH11,AI11,AJ11,AK11,AL11)</f>
        <v>#VALUE!</v>
      </c>
      <c r="AT11" s="101" t="e">
        <f>CHOOSE(CharGenMain!$C$219,X11,Y11,Z11,AA11,AB11,AC11,AD11,AE11,AF11,AG11,AH11,AI11,AJ11,AK11,AL11)</f>
        <v>#VALUE!</v>
      </c>
      <c r="AU11" s="101" t="e">
        <f>CHOOSE(CharGenMain!$C$220,X11,Y11,Z11,AA11,AB11,AC11,AD11,AE11,AF11,AG11,AH11,AI11,AJ11,AK11,AL11)</f>
        <v>#VALUE!</v>
      </c>
      <c r="AV11" s="101" t="e">
        <f>CHOOSE(CharGenMain!$C$221,X11,Y11,Z11,AA11,AB11,AC11,AD11,AE11,AF11,AG11,AH11,AI11,AJ11,AK11,AL11)</f>
        <v>#VALUE!</v>
      </c>
      <c r="AW11" s="101" t="e">
        <f>CHOOSE(CharGenMain!$C$222,X11,Y11,Z11,AA11,AB11,AC11,AD11,AE11,AF11,AG11,AH11,AI11,AJ11,AK11,AL11)</f>
        <v>#VALUE!</v>
      </c>
      <c r="AX11" s="101" t="e">
        <f>CHOOSE(CharGenMain!$C$223,X11,Y11,Z11,AA11,AB11,AC11,AD11,AE11,AF11,AG11,AH11,AI11,AJ11,AK11,AL11)</f>
        <v>#VALUE!</v>
      </c>
      <c r="AY11" s="101" t="e">
        <f>CHOOSE(CharGenMain!$C$224,X11,Y11,Z11,AA11,AB11,AC11,AD11,AE11,AF11,AG11,AH11,AI11,AJ11,AK11,AL11)</f>
        <v>#VALUE!</v>
      </c>
      <c r="AZ11" s="101" t="e">
        <f>CHOOSE(CharGenMain!$C$225,X11,Y11,Z11,AA11,AB11,AC11,AD11,AE11,AF11,AG11,AH11,AI11,AJ11,AK11,AL11)</f>
        <v>#VALUE!</v>
      </c>
      <c r="BA11" s="271" t="e">
        <f>CHOOSE(CharGenMain!$C$226,X11,Y11,Z11,AA11,AB11,AC11,AD11,AE11,AF11,AG11,AH11,AI11,AJ11,AK11,AL11)</f>
        <v>#VALUE!</v>
      </c>
    </row>
    <row r="12" spans="1:53">
      <c r="A12" s="20" t="s">
        <v>5321</v>
      </c>
      <c r="B12" s="14" t="s">
        <v>2660</v>
      </c>
      <c r="C12" s="14" t="s">
        <v>5219</v>
      </c>
      <c r="D12" s="186" t="s">
        <v>2169</v>
      </c>
      <c r="F12" s="20" t="s">
        <v>2170</v>
      </c>
      <c r="G12" s="14" t="s">
        <v>2171</v>
      </c>
      <c r="H12" s="14" t="s">
        <v>5323</v>
      </c>
      <c r="I12" s="14">
        <v>2</v>
      </c>
      <c r="J12" s="14">
        <v>1</v>
      </c>
      <c r="K12" s="188" t="s">
        <v>2172</v>
      </c>
      <c r="M12" s="20" t="s">
        <v>2835</v>
      </c>
      <c r="N12" s="14" t="s">
        <v>43</v>
      </c>
      <c r="O12" s="14" t="s">
        <v>5796</v>
      </c>
      <c r="P12" s="45" t="s">
        <v>2676</v>
      </c>
      <c r="R12" s="20" t="s">
        <v>2166</v>
      </c>
      <c r="S12" s="14" t="s">
        <v>2167</v>
      </c>
      <c r="T12" s="14" t="s">
        <v>2279</v>
      </c>
      <c r="U12" s="14">
        <v>4</v>
      </c>
      <c r="V12" s="14">
        <v>7</v>
      </c>
      <c r="W12" s="106">
        <v>19</v>
      </c>
      <c r="X12" s="168" t="s">
        <v>2168</v>
      </c>
      <c r="Y12" s="168" t="s">
        <v>2168</v>
      </c>
      <c r="Z12" s="168" t="s">
        <v>2168</v>
      </c>
      <c r="AA12" s="168" t="s">
        <v>2168</v>
      </c>
      <c r="AB12" s="168" t="s">
        <v>2168</v>
      </c>
      <c r="AC12" s="168" t="s">
        <v>2168</v>
      </c>
      <c r="AD12" s="168" t="s">
        <v>2168</v>
      </c>
      <c r="AE12" s="87" t="s">
        <v>2997</v>
      </c>
      <c r="AF12" s="87" t="s">
        <v>2997</v>
      </c>
      <c r="AG12" s="87" t="s">
        <v>2997</v>
      </c>
      <c r="AH12" s="87" t="s">
        <v>2997</v>
      </c>
      <c r="AI12" s="87" t="s">
        <v>2997</v>
      </c>
      <c r="AJ12" s="87" t="s">
        <v>2997</v>
      </c>
      <c r="AK12" s="87" t="s">
        <v>2997</v>
      </c>
      <c r="AL12" s="87" t="s">
        <v>2997</v>
      </c>
      <c r="AM12" s="101" t="str">
        <f>CHOOSE(CharGenMain!$C$212,X12,Y12,Z12,AA12,AB12,AC12,AD12,AE12,AF12,AG12,AH12,AI12,AJ12,AK12,AL12)</f>
        <v>see text, track horrors</v>
      </c>
      <c r="AN12" s="101" t="str">
        <f>CHOOSE(CharGenMain!$C$213,X12,Y12,Z12,AA12,AB12,AC12,AD12,AE12,AF12,AG12,AH12,AI12,AJ12,AK12,AL12)</f>
        <v>see text, track horrors</v>
      </c>
      <c r="AO12" s="101" t="str">
        <f>CHOOSE(CharGenMain!$C$214,X12,Y12,Z12,AA12,AB12,AC12,AD12,AE12,AF12,AG12,AH12,AI12,AJ12,AK12,AL12)</f>
        <v>see text, track horrors</v>
      </c>
      <c r="AP12" s="101" t="str">
        <f>CHOOSE(CharGenMain!$C$215,X12,Y12,Z12,AA12,AB12,AC12,AD12,AE12,AF12,AG12,AH12,AI12,AJ12,AK12,AL12)</f>
        <v>see text, track horrors</v>
      </c>
      <c r="AQ12" s="101" t="str">
        <f>CHOOSE(CharGenMain!$C$216,X12,Y12,Z12,AA12,AB12,AC12,AD12,AE12,AF12,AG12,AH12,AI12,AJ12,AK12,AL12)</f>
        <v>see text, track horrors</v>
      </c>
      <c r="AR12" s="101" t="str">
        <f>CHOOSE(CharGenMain!$C$217,X12,Y12,Z12,AA12,AB12,AC12,AD12,AE12,AF12,AG12,AH12,AI12,AJ12,AK12,AL12)</f>
        <v>see text, track horrors</v>
      </c>
      <c r="AS12" s="101" t="e">
        <f>CHOOSE(CharGenMain!$C$218,X12,Y12,Z12,AA12,AB12,AC12,AD12,AE12,AF12,AG12,AH12,AI12,AJ12,AK12,AL12)</f>
        <v>#VALUE!</v>
      </c>
      <c r="AT12" s="101" t="e">
        <f>CHOOSE(CharGenMain!$C$219,X12,Y12,Z12,AA12,AB12,AC12,AD12,AE12,AF12,AG12,AH12,AI12,AJ12,AK12,AL12)</f>
        <v>#VALUE!</v>
      </c>
      <c r="AU12" s="101" t="e">
        <f>CHOOSE(CharGenMain!$C$220,X12,Y12,Z12,AA12,AB12,AC12,AD12,AE12,AF12,AG12,AH12,AI12,AJ12,AK12,AL12)</f>
        <v>#VALUE!</v>
      </c>
      <c r="AV12" s="101" t="e">
        <f>CHOOSE(CharGenMain!$C$221,X12,Y12,Z12,AA12,AB12,AC12,AD12,AE12,AF12,AG12,AH12,AI12,AJ12,AK12,AL12)</f>
        <v>#VALUE!</v>
      </c>
      <c r="AW12" s="101" t="e">
        <f>CHOOSE(CharGenMain!$C$222,X12,Y12,Z12,AA12,AB12,AC12,AD12,AE12,AF12,AG12,AH12,AI12,AJ12,AK12,AL12)</f>
        <v>#VALUE!</v>
      </c>
      <c r="AX12" s="101" t="e">
        <f>CHOOSE(CharGenMain!$C$223,X12,Y12,Z12,AA12,AB12,AC12,AD12,AE12,AF12,AG12,AH12,AI12,AJ12,AK12,AL12)</f>
        <v>#VALUE!</v>
      </c>
      <c r="AY12" s="101" t="e">
        <f>CHOOSE(CharGenMain!$C$224,X12,Y12,Z12,AA12,AB12,AC12,AD12,AE12,AF12,AG12,AH12,AI12,AJ12,AK12,AL12)</f>
        <v>#VALUE!</v>
      </c>
      <c r="AZ12" s="101" t="e">
        <f>CHOOSE(CharGenMain!$C$225,X12,Y12,Z12,AA12,AB12,AC12,AD12,AE12,AF12,AG12,AH12,AI12,AJ12,AK12,AL12)</f>
        <v>#VALUE!</v>
      </c>
      <c r="BA12" s="271" t="e">
        <f>CHOOSE(CharGenMain!$C$226,X12,Y12,Z12,AA12,AB12,AC12,AD12,AE12,AF12,AG12,AH12,AI12,AJ12,AK12,AL12)</f>
        <v>#VALUE!</v>
      </c>
    </row>
    <row r="13" spans="1:53">
      <c r="A13" s="20" t="s">
        <v>2178</v>
      </c>
      <c r="B13" s="14" t="s">
        <v>2506</v>
      </c>
      <c r="C13" s="14" t="s">
        <v>5219</v>
      </c>
      <c r="D13" s="186" t="s">
        <v>2179</v>
      </c>
      <c r="F13" s="20" t="s">
        <v>2180</v>
      </c>
      <c r="G13" s="14" t="s">
        <v>2181</v>
      </c>
      <c r="H13" s="14" t="s">
        <v>5323</v>
      </c>
      <c r="I13" s="14">
        <v>2</v>
      </c>
      <c r="J13" s="14">
        <v>1</v>
      </c>
      <c r="K13" s="28" t="s">
        <v>2182</v>
      </c>
      <c r="M13" s="20" t="s">
        <v>2165</v>
      </c>
      <c r="N13" s="14" t="s">
        <v>43</v>
      </c>
      <c r="O13" s="14" t="s">
        <v>5796</v>
      </c>
      <c r="P13" s="45" t="s">
        <v>2676</v>
      </c>
      <c r="R13" s="226" t="s">
        <v>2174</v>
      </c>
      <c r="S13" s="167" t="s">
        <v>2274</v>
      </c>
      <c r="T13" s="14" t="s">
        <v>2667</v>
      </c>
      <c r="U13" s="14">
        <v>2</v>
      </c>
      <c r="V13" s="14">
        <v>5</v>
      </c>
      <c r="W13" s="14">
        <v>16</v>
      </c>
      <c r="X13" s="207" t="s">
        <v>2269</v>
      </c>
      <c r="Y13" s="207" t="s">
        <v>2270</v>
      </c>
      <c r="Z13" s="207" t="s">
        <v>2275</v>
      </c>
      <c r="AA13" s="207" t="s">
        <v>2176</v>
      </c>
      <c r="AB13" s="207" t="s">
        <v>2177</v>
      </c>
      <c r="AC13" s="87" t="s">
        <v>2997</v>
      </c>
      <c r="AD13" s="87" t="s">
        <v>2997</v>
      </c>
      <c r="AE13" s="87" t="s">
        <v>2997</v>
      </c>
      <c r="AF13" s="87" t="s">
        <v>2997</v>
      </c>
      <c r="AG13" s="87" t="s">
        <v>2997</v>
      </c>
      <c r="AH13" s="87" t="s">
        <v>2997</v>
      </c>
      <c r="AI13" s="87" t="s">
        <v>2997</v>
      </c>
      <c r="AJ13" s="87" t="s">
        <v>2997</v>
      </c>
      <c r="AK13" s="87" t="s">
        <v>2997</v>
      </c>
      <c r="AL13" s="87" t="s">
        <v>2997</v>
      </c>
      <c r="AM13" s="101" t="str">
        <f>CHOOSE(CharGenMain!$C$212,X13,Y13,Z13,AA13,AB13,AC13,AD13,AE13,AF13,AG13,AH13,AI13,AJ13,AK13,AL13)</f>
        <v>+2 soc def, unarmed attack with hair step 4 damage</v>
      </c>
      <c r="AN13" s="101" t="str">
        <f>CHOOSE(CharGenMain!$C$213,X13,Y13,Z13,AA13,AB13,AC13,AD13,AE13,AF13,AG13,AH13,AI13,AJ13,AK13,AL13)</f>
        <v>+1 soc def</v>
      </c>
      <c r="AO13" s="101" t="str">
        <f>CHOOSE(CharGenMain!$C$214,X13,Y13,Z13,AA13,AB13,AC13,AD13,AE13,AF13,AG13,AH13,AI13,AJ13,AK13,AL13)</f>
        <v>+1 soc def</v>
      </c>
      <c r="AP13" s="101" t="str">
        <f>CHOOSE(CharGenMain!$C$215,X13,Y13,Z13,AA13,AB13,AC13,AD13,AE13,AF13,AG13,AH13,AI13,AJ13,AK13,AL13)</f>
        <v>+2 soc def</v>
      </c>
      <c r="AQ13" s="101" t="str">
        <f>CHOOSE(CharGenMain!$C$216,X13,Y13,Z13,AA13,AB13,AC13,AD13,AE13,AF13,AG13,AH13,AI13,AJ13,AK13,AL13)</f>
        <v>+3 soc def, unarmed attack with hair step 4 damage and entangles</v>
      </c>
      <c r="AR13" s="101" t="str">
        <f>CHOOSE(CharGenMain!$C$217,X13,Y13,Z13,AA13,AB13,AC13,AD13,AE13,AF13,AG13,AH13,AI13,AJ13,AK13,AL13)</f>
        <v>+3 soc def, extra unarmed attack with hair step 7 damage and entangles</v>
      </c>
      <c r="AS13" s="101" t="e">
        <f>CHOOSE(CharGenMain!$C$218,X13,Y13,Z13,AA13,AB13,AC13,AD13,AE13,AF13,AG13,AH13,AI13,AJ13,AK13,AL13)</f>
        <v>#VALUE!</v>
      </c>
      <c r="AT13" s="101" t="e">
        <f>CHOOSE(CharGenMain!$C$219,X13,Y13,Z13,AA13,AB13,AC13,AD13,AE13,AF13,AG13,AH13,AI13,AJ13,AK13,AL13)</f>
        <v>#VALUE!</v>
      </c>
      <c r="AU13" s="101" t="e">
        <f>CHOOSE(CharGenMain!$C$220,X13,Y13,Z13,AA13,AB13,AC13,AD13,AE13,AF13,AG13,AH13,AI13,AJ13,AK13,AL13)</f>
        <v>#VALUE!</v>
      </c>
      <c r="AV13" s="101" t="e">
        <f>CHOOSE(CharGenMain!$C$221,X13,Y13,Z13,AA13,AB13,AC13,AD13,AE13,AF13,AG13,AH13,AI13,AJ13,AK13,AL13)</f>
        <v>#VALUE!</v>
      </c>
      <c r="AW13" s="101" t="e">
        <f>CHOOSE(CharGenMain!$C$222,X13,Y13,Z13,AA13,AB13,AC13,AD13,AE13,AF13,AG13,AH13,AI13,AJ13,AK13,AL13)</f>
        <v>#VALUE!</v>
      </c>
      <c r="AX13" s="101" t="e">
        <f>CHOOSE(CharGenMain!$C$223,X13,Y13,Z13,AA13,AB13,AC13,AD13,AE13,AF13,AG13,AH13,AI13,AJ13,AK13,AL13)</f>
        <v>#VALUE!</v>
      </c>
      <c r="AY13" s="101" t="e">
        <f>CHOOSE(CharGenMain!$C$224,X13,Y13,Z13,AA13,AB13,AC13,AD13,AE13,AF13,AG13,AH13,AI13,AJ13,AK13,AL13)</f>
        <v>#VALUE!</v>
      </c>
      <c r="AZ13" s="101" t="e">
        <f>CHOOSE(CharGenMain!$C$225,X13,Y13,Z13,AA13,AB13,AC13,AD13,AE13,AF13,AG13,AH13,AI13,AJ13,AK13,AL13)</f>
        <v>#VALUE!</v>
      </c>
      <c r="BA13" s="271" t="e">
        <f>CHOOSE(CharGenMain!$C$226,X13,Y13,Z13,AA13,AB13,AC13,AD13,AE13,AF13,AG13,AH13,AI13,AJ13,AK13,AL13)</f>
        <v>#VALUE!</v>
      </c>
    </row>
    <row r="14" spans="1:53">
      <c r="A14" s="20" t="s">
        <v>2419</v>
      </c>
      <c r="B14" s="14" t="s">
        <v>2347</v>
      </c>
      <c r="C14" s="14" t="s">
        <v>5219</v>
      </c>
      <c r="D14" s="186" t="s">
        <v>2421</v>
      </c>
      <c r="F14" s="204" t="s">
        <v>2422</v>
      </c>
      <c r="G14" s="14" t="s">
        <v>2423</v>
      </c>
      <c r="H14" s="14" t="s">
        <v>5323</v>
      </c>
      <c r="I14" s="14">
        <v>2</v>
      </c>
      <c r="J14" s="14">
        <v>1</v>
      </c>
      <c r="K14" s="28" t="s">
        <v>2424</v>
      </c>
      <c r="M14" s="20" t="s">
        <v>2173</v>
      </c>
      <c r="N14" s="14" t="s">
        <v>43</v>
      </c>
      <c r="O14" s="14" t="s">
        <v>5796</v>
      </c>
      <c r="P14" s="45" t="s">
        <v>2676</v>
      </c>
      <c r="R14" s="20" t="s">
        <v>2294</v>
      </c>
      <c r="S14" s="14" t="s">
        <v>2288</v>
      </c>
      <c r="T14" s="14" t="s">
        <v>2279</v>
      </c>
      <c r="U14" s="14">
        <v>3</v>
      </c>
      <c r="V14" s="14">
        <v>8</v>
      </c>
      <c r="W14" s="14">
        <v>18</v>
      </c>
      <c r="X14" s="87" t="s">
        <v>2287</v>
      </c>
      <c r="Y14" s="87" t="s">
        <v>2287</v>
      </c>
      <c r="Z14" s="87" t="s">
        <v>2287</v>
      </c>
      <c r="AA14" s="87" t="s">
        <v>2287</v>
      </c>
      <c r="AB14" s="87" t="s">
        <v>2287</v>
      </c>
      <c r="AC14" s="87" t="s">
        <v>2287</v>
      </c>
      <c r="AD14" s="87" t="s">
        <v>2287</v>
      </c>
      <c r="AE14" s="87" t="s">
        <v>2287</v>
      </c>
      <c r="AF14" s="87" t="s">
        <v>2997</v>
      </c>
      <c r="AG14" s="87" t="s">
        <v>2997</v>
      </c>
      <c r="AH14" s="87" t="s">
        <v>2997</v>
      </c>
      <c r="AI14" s="87" t="s">
        <v>2997</v>
      </c>
      <c r="AJ14" s="87" t="s">
        <v>2997</v>
      </c>
      <c r="AK14" s="87" t="s">
        <v>2997</v>
      </c>
      <c r="AL14" s="87" t="s">
        <v>2997</v>
      </c>
      <c r="AM14" s="101" t="str">
        <f>CHOOSE(CharGenMain!$C$212,X14,Y14,Z14,AA14,AB14,AC14,AD14,AE14,AF14,AG14,AH14,AI14,AJ14,AK14,AL14)</f>
        <v>Bonuses to group threads</v>
      </c>
      <c r="AN14" s="101" t="str">
        <f>CHOOSE(CharGenMain!$C$213,X14,Y14,Z14,AA14,AB14,AC14,AD14,AE14,AF14,AG14,AH14,AI14,AJ14,AK14,AL14)</f>
        <v>Bonuses to group threads</v>
      </c>
      <c r="AO14" s="101" t="str">
        <f>CHOOSE(CharGenMain!$C$214,X14,Y14,Z14,AA14,AB14,AC14,AD14,AE14,AF14,AG14,AH14,AI14,AJ14,AK14,AL14)</f>
        <v>Bonuses to group threads</v>
      </c>
      <c r="AP14" s="101" t="str">
        <f>CHOOSE(CharGenMain!$C$215,X14,Y14,Z14,AA14,AB14,AC14,AD14,AE14,AF14,AG14,AH14,AI14,AJ14,AK14,AL14)</f>
        <v>Bonuses to group threads</v>
      </c>
      <c r="AQ14" s="101" t="str">
        <f>CHOOSE(CharGenMain!$C$216,X14,Y14,Z14,AA14,AB14,AC14,AD14,AE14,AF14,AG14,AH14,AI14,AJ14,AK14,AL14)</f>
        <v>Bonuses to group threads</v>
      </c>
      <c r="AR14" s="101" t="str">
        <f>CHOOSE(CharGenMain!$C$217,X14,Y14,Z14,AA14,AB14,AC14,AD14,AE14,AF14,AG14,AH14,AI14,AJ14,AK14,AL14)</f>
        <v>Bonuses to group threads</v>
      </c>
      <c r="AS14" s="101" t="e">
        <f>CHOOSE(CharGenMain!$C$218,X14,Y14,Z14,AA14,AB14,AC14,AD14,AE14,AF14,AG14,AH14,AI14,AJ14,AK14,AL14)</f>
        <v>#VALUE!</v>
      </c>
      <c r="AT14" s="101" t="e">
        <f>CHOOSE(CharGenMain!$C$219,X14,Y14,Z14,AA14,AB14,AC14,AD14,AE14,AF14,AG14,AH14,AI14,AJ14,AK14,AL14)</f>
        <v>#VALUE!</v>
      </c>
      <c r="AU14" s="101" t="e">
        <f>CHOOSE(CharGenMain!$C$220,X14,Y14,Z14,AA14,AB14,AC14,AD14,AE14,AF14,AG14,AH14,AI14,AJ14,AK14,AL14)</f>
        <v>#VALUE!</v>
      </c>
      <c r="AV14" s="101" t="e">
        <f>CHOOSE(CharGenMain!$C$221,X14,Y14,Z14,AA14,AB14,AC14,AD14,AE14,AF14,AG14,AH14,AI14,AJ14,AK14,AL14)</f>
        <v>#VALUE!</v>
      </c>
      <c r="AW14" s="101" t="e">
        <f>CHOOSE(CharGenMain!$C$222,X14,Y14,Z14,AA14,AB14,AC14,AD14,AE14,AF14,AG14,AH14,AI14,AJ14,AK14,AL14)</f>
        <v>#VALUE!</v>
      </c>
      <c r="AX14" s="101" t="e">
        <f>CHOOSE(CharGenMain!$C$223,X14,Y14,Z14,AA14,AB14,AC14,AD14,AE14,AF14,AG14,AH14,AI14,AJ14,AK14,AL14)</f>
        <v>#VALUE!</v>
      </c>
      <c r="AY14" s="101" t="e">
        <f>CHOOSE(CharGenMain!$C$224,X14,Y14,Z14,AA14,AB14,AC14,AD14,AE14,AF14,AG14,AH14,AI14,AJ14,AK14,AL14)</f>
        <v>#VALUE!</v>
      </c>
      <c r="AZ14" s="101" t="e">
        <f>CHOOSE(CharGenMain!$C$225,X14,Y14,Z14,AA14,AB14,AC14,AD14,AE14,AF14,AG14,AH14,AI14,AJ14,AK14,AL14)</f>
        <v>#VALUE!</v>
      </c>
      <c r="BA14" s="271" t="e">
        <f>CHOOSE(CharGenMain!$C$226,X14,Y14,Z14,AA14,AB14,AC14,AD14,AE14,AF14,AG14,AH14,AI14,AJ14,AK14,AL14)</f>
        <v>#VALUE!</v>
      </c>
    </row>
    <row r="15" spans="1:53">
      <c r="A15" s="20" t="s">
        <v>2430</v>
      </c>
      <c r="B15" s="14" t="s">
        <v>2347</v>
      </c>
      <c r="C15" s="14" t="s">
        <v>5219</v>
      </c>
      <c r="D15" s="186" t="s">
        <v>2580</v>
      </c>
      <c r="F15" s="204" t="s">
        <v>2581</v>
      </c>
      <c r="G15" s="14" t="s">
        <v>2423</v>
      </c>
      <c r="H15" s="14" t="s">
        <v>5323</v>
      </c>
      <c r="I15" s="14">
        <v>2</v>
      </c>
      <c r="J15" s="14">
        <v>1</v>
      </c>
      <c r="K15" s="28" t="s">
        <v>2582</v>
      </c>
      <c r="M15" s="20" t="s">
        <v>2183</v>
      </c>
      <c r="N15" s="14" t="s">
        <v>2292</v>
      </c>
      <c r="O15" s="14" t="s">
        <v>5796</v>
      </c>
      <c r="P15" s="28" t="s">
        <v>2293</v>
      </c>
      <c r="R15" s="226" t="s">
        <v>2427</v>
      </c>
      <c r="S15" s="14" t="s">
        <v>2428</v>
      </c>
      <c r="T15" s="14" t="s">
        <v>2667</v>
      </c>
      <c r="U15" s="14">
        <v>1</v>
      </c>
      <c r="V15" s="14">
        <v>4</v>
      </c>
      <c r="W15" s="14">
        <v>9</v>
      </c>
      <c r="X15" s="87" t="s">
        <v>2429</v>
      </c>
      <c r="Y15" s="87" t="s">
        <v>2429</v>
      </c>
      <c r="Z15" s="87" t="s">
        <v>2429</v>
      </c>
      <c r="AA15" s="87" t="s">
        <v>2429</v>
      </c>
      <c r="AB15" s="87"/>
      <c r="AC15" s="87" t="s">
        <v>2997</v>
      </c>
      <c r="AD15" s="87" t="s">
        <v>2997</v>
      </c>
      <c r="AE15" s="87" t="s">
        <v>2997</v>
      </c>
      <c r="AF15" s="87" t="s">
        <v>2997</v>
      </c>
      <c r="AG15" s="87" t="s">
        <v>2997</v>
      </c>
      <c r="AH15" s="87" t="s">
        <v>2997</v>
      </c>
      <c r="AI15" s="87" t="s">
        <v>2997</v>
      </c>
      <c r="AJ15" s="87" t="s">
        <v>2997</v>
      </c>
      <c r="AK15" s="87" t="s">
        <v>2997</v>
      </c>
      <c r="AL15" s="87" t="s">
        <v>2997</v>
      </c>
      <c r="AM15" s="101" t="str">
        <f>CHOOSE(CharGenMain!$C$212,X15,Y15,Z15,AA15,AB15,AC15,AD15,AE15,AF15,AG15,AH15,AI15,AJ15,AK15,AL15)</f>
        <v>blinds opponents, see text</v>
      </c>
      <c r="AN15" s="101" t="str">
        <f>CHOOSE(CharGenMain!$C$213,X15,Y15,Z15,AA15,AB15,AC15,AD15,AE15,AF15,AG15,AH15,AI15,AJ15,AK15,AL15)</f>
        <v>blinds opponents, see text</v>
      </c>
      <c r="AO15" s="101" t="str">
        <f>CHOOSE(CharGenMain!$C$214,X15,Y15,Z15,AA15,AB15,AC15,AD15,AE15,AF15,AG15,AH15,AI15,AJ15,AK15,AL15)</f>
        <v>blinds opponents, see text</v>
      </c>
      <c r="AP15" s="101" t="str">
        <f>CHOOSE(CharGenMain!$C$215,X15,Y15,Z15,AA15,AB15,AC15,AD15,AE15,AF15,AG15,AH15,AI15,AJ15,AK15,AL15)</f>
        <v>blinds opponents, see text</v>
      </c>
      <c r="AQ15" s="101" t="str">
        <f>CHOOSE(CharGenMain!$C$216,X15,Y15,Z15,AA15,AB15,AC15,AD15,AE15,AF15,AG15,AH15,AI15,AJ15,AK15,AL15)</f>
        <v>blinds opponents, see text</v>
      </c>
      <c r="AR15" s="101">
        <f>CHOOSE(CharGenMain!$C$217,X15,Y15,Z15,AA15,AB15,AC15,AD15,AE15,AF15,AG15,AH15,AI15,AJ15,AK15,AL15)</f>
        <v>0</v>
      </c>
      <c r="AS15" s="101" t="e">
        <f>CHOOSE(CharGenMain!$C$218,X15,Y15,Z15,AA15,AB15,AC15,AD15,AE15,AF15,AG15,AH15,AI15,AJ15,AK15,AL15)</f>
        <v>#VALUE!</v>
      </c>
      <c r="AT15" s="101" t="e">
        <f>CHOOSE(CharGenMain!$C$219,X15,Y15,Z15,AA15,AB15,AC15,AD15,AE15,AF15,AG15,AH15,AI15,AJ15,AK15,AL15)</f>
        <v>#VALUE!</v>
      </c>
      <c r="AU15" s="101" t="e">
        <f>CHOOSE(CharGenMain!$C$220,X15,Y15,Z15,AA15,AB15,AC15,AD15,AE15,AF15,AG15,AH15,AI15,AJ15,AK15,AL15)</f>
        <v>#VALUE!</v>
      </c>
      <c r="AV15" s="101" t="e">
        <f>CHOOSE(CharGenMain!$C$221,X15,Y15,Z15,AA15,AB15,AC15,AD15,AE15,AF15,AG15,AH15,AI15,AJ15,AK15,AL15)</f>
        <v>#VALUE!</v>
      </c>
      <c r="AW15" s="101" t="e">
        <f>CHOOSE(CharGenMain!$C$222,X15,Y15,Z15,AA15,AB15,AC15,AD15,AE15,AF15,AG15,AH15,AI15,AJ15,AK15,AL15)</f>
        <v>#VALUE!</v>
      </c>
      <c r="AX15" s="101" t="e">
        <f>CHOOSE(CharGenMain!$C$223,X15,Y15,Z15,AA15,AB15,AC15,AD15,AE15,AF15,AG15,AH15,AI15,AJ15,AK15,AL15)</f>
        <v>#VALUE!</v>
      </c>
      <c r="AY15" s="101" t="e">
        <f>CHOOSE(CharGenMain!$C$224,X15,Y15,Z15,AA15,AB15,AC15,AD15,AE15,AF15,AG15,AH15,AI15,AJ15,AK15,AL15)</f>
        <v>#VALUE!</v>
      </c>
      <c r="AZ15" s="101" t="e">
        <f>CHOOSE(CharGenMain!$C$225,X15,Y15,Z15,AA15,AB15,AC15,AD15,AE15,AF15,AG15,AH15,AI15,AJ15,AK15,AL15)</f>
        <v>#VALUE!</v>
      </c>
      <c r="BA15" s="271" t="e">
        <f>CHOOSE(CharGenMain!$C$226,X15,Y15,Z15,AA15,AB15,AC15,AD15,AE15,AF15,AG15,AH15,AI15,AJ15,AK15,AL15)</f>
        <v>#VALUE!</v>
      </c>
    </row>
    <row r="16" spans="1:53">
      <c r="A16" s="20" t="s">
        <v>2446</v>
      </c>
      <c r="B16" s="14" t="s">
        <v>2447</v>
      </c>
      <c r="C16" s="14" t="s">
        <v>5219</v>
      </c>
      <c r="D16" s="186" t="s">
        <v>2114</v>
      </c>
      <c r="F16" s="204" t="s">
        <v>2115</v>
      </c>
      <c r="G16" s="14" t="s">
        <v>2423</v>
      </c>
      <c r="H16" s="14" t="s">
        <v>5323</v>
      </c>
      <c r="I16" s="14">
        <v>2</v>
      </c>
      <c r="J16" s="14">
        <v>1</v>
      </c>
      <c r="K16" s="28" t="s">
        <v>2116</v>
      </c>
      <c r="M16" s="20" t="s">
        <v>44</v>
      </c>
      <c r="N16" s="14" t="s">
        <v>122</v>
      </c>
      <c r="O16" s="14" t="s">
        <v>123</v>
      </c>
      <c r="P16" s="188" t="s">
        <v>45</v>
      </c>
      <c r="R16" s="20" t="s">
        <v>2304</v>
      </c>
      <c r="S16" s="14" t="s">
        <v>2305</v>
      </c>
      <c r="T16" s="14" t="s">
        <v>2279</v>
      </c>
      <c r="U16" s="14">
        <v>3</v>
      </c>
      <c r="V16" s="14">
        <v>6</v>
      </c>
      <c r="W16" s="14">
        <v>19</v>
      </c>
      <c r="X16" s="206" t="s">
        <v>2306</v>
      </c>
      <c r="Y16" s="206" t="s">
        <v>2586</v>
      </c>
      <c r="Z16" s="206" t="s">
        <v>2754</v>
      </c>
      <c r="AA16" s="206" t="s">
        <v>2587</v>
      </c>
      <c r="AB16" s="206" t="s">
        <v>2448</v>
      </c>
      <c r="AC16" s="206" t="s">
        <v>2216</v>
      </c>
      <c r="AD16" s="87" t="s">
        <v>2997</v>
      </c>
      <c r="AE16" s="87" t="s">
        <v>2997</v>
      </c>
      <c r="AF16" s="87" t="s">
        <v>2997</v>
      </c>
      <c r="AG16" s="87" t="s">
        <v>2997</v>
      </c>
      <c r="AH16" s="87" t="s">
        <v>2997</v>
      </c>
      <c r="AI16" s="87" t="s">
        <v>2997</v>
      </c>
      <c r="AJ16" s="87" t="s">
        <v>2997</v>
      </c>
      <c r="AK16" s="87" t="s">
        <v>2997</v>
      </c>
      <c r="AL16" s="87" t="s">
        <v>2997</v>
      </c>
      <c r="AM16" s="101" t="str">
        <f>CHOOSE(CharGenMain!$C$212,X16,Y16,Z16,AA16,AB16,AC16,AD16,AE16,AF16,AG16,AH16,AI16,AJ16,AK16,AL16)</f>
        <v>+1 spell def, +1 mystic, quill takes dication, answers questions</v>
      </c>
      <c r="AN16" s="101" t="str">
        <f>CHOOSE(CharGenMain!$C$213,X16,Y16,Z16,AA16,AB16,AC16,AD16,AE16,AF16,AG16,AH16,AI16,AJ16,AK16,AL16)</f>
        <v>+1 spell def, +1 mystic</v>
      </c>
      <c r="AO16" s="101" t="str">
        <f>CHOOSE(CharGenMain!$C$214,X16,Y16,Z16,AA16,AB16,AC16,AD16,AE16,AF16,AG16,AH16,AI16,AJ16,AK16,AL16)</f>
        <v>+1 spell def, +1 mystic</v>
      </c>
      <c r="AP16" s="101" t="str">
        <f>CHOOSE(CharGenMain!$C$215,X16,Y16,Z16,AA16,AB16,AC16,AD16,AE16,AF16,AG16,AH16,AI16,AJ16,AK16,AL16)</f>
        <v>+1 spell def, +1 mystic, quill takes dication</v>
      </c>
      <c r="AQ16" s="101" t="str">
        <f>CHOOSE(CharGenMain!$C$216,X16,Y16,Z16,AA16,AB16,AC16,AD16,AE16,AF16,AG16,AH16,AI16,AJ16,AK16,AL16)</f>
        <v>+2 spell def, +1 mystic, quill takes dication, answers questions</v>
      </c>
      <c r="AR16" s="101" t="str">
        <f>CHOOSE(CharGenMain!$C$217,X16,Y16,Z16,AA16,AB16,AC16,AD16,AE16,AF16,AG16,AH16,AI16,AJ16,AK16,AL16)</f>
        <v>+2 spell def, +1 mystic, quill takes dication, answers questions, question dead</v>
      </c>
      <c r="AS16" s="101" t="e">
        <f>CHOOSE(CharGenMain!$C$218,X16,Y16,Z16,AA16,AB16,AC16,AD16,AE16,AF16,AG16,AH16,AI16,AJ16,AK16,AL16)</f>
        <v>#VALUE!</v>
      </c>
      <c r="AT16" s="101" t="e">
        <f>CHOOSE(CharGenMain!$C$219,X16,Y16,Z16,AA16,AB16,AC16,AD16,AE16,AF16,AG16,AH16,AI16,AJ16,AK16,AL16)</f>
        <v>#VALUE!</v>
      </c>
      <c r="AU16" s="101" t="e">
        <f>CHOOSE(CharGenMain!$C$220,X16,Y16,Z16,AA16,AB16,AC16,AD16,AE16,AF16,AG16,AH16,AI16,AJ16,AK16,AL16)</f>
        <v>#VALUE!</v>
      </c>
      <c r="AV16" s="101" t="e">
        <f>CHOOSE(CharGenMain!$C$221,X16,Y16,Z16,AA16,AB16,AC16,AD16,AE16,AF16,AG16,AH16,AI16,AJ16,AK16,AL16)</f>
        <v>#VALUE!</v>
      </c>
      <c r="AW16" s="101" t="e">
        <f>CHOOSE(CharGenMain!$C$222,X16,Y16,Z16,AA16,AB16,AC16,AD16,AE16,AF16,AG16,AH16,AI16,AJ16,AK16,AL16)</f>
        <v>#VALUE!</v>
      </c>
      <c r="AX16" s="101" t="e">
        <f>CHOOSE(CharGenMain!$C$223,X16,Y16,Z16,AA16,AB16,AC16,AD16,AE16,AF16,AG16,AH16,AI16,AJ16,AK16,AL16)</f>
        <v>#VALUE!</v>
      </c>
      <c r="AY16" s="101" t="e">
        <f>CHOOSE(CharGenMain!$C$224,X16,Y16,Z16,AA16,AB16,AC16,AD16,AE16,AF16,AG16,AH16,AI16,AJ16,AK16,AL16)</f>
        <v>#VALUE!</v>
      </c>
      <c r="AZ16" s="101" t="e">
        <f>CHOOSE(CharGenMain!$C$225,X16,Y16,Z16,AA16,AB16,AC16,AD16,AE16,AF16,AG16,AH16,AI16,AJ16,AK16,AL16)</f>
        <v>#VALUE!</v>
      </c>
      <c r="BA16" s="271" t="e">
        <f>CHOOSE(CharGenMain!$C$226,X16,Y16,Z16,AA16,AB16,AC16,AD16,AE16,AF16,AG16,AH16,AI16,AJ16,AK16,AL16)</f>
        <v>#VALUE!</v>
      </c>
    </row>
    <row r="17" spans="1:104">
      <c r="A17" s="20" t="s">
        <v>2123</v>
      </c>
      <c r="B17" s="14" t="s">
        <v>2225</v>
      </c>
      <c r="C17" s="14" t="s">
        <v>5219</v>
      </c>
      <c r="D17" s="45" t="s">
        <v>2127</v>
      </c>
      <c r="F17" s="46" t="s">
        <v>5539</v>
      </c>
      <c r="G17" s="14" t="s">
        <v>2128</v>
      </c>
      <c r="H17" s="14" t="s">
        <v>5323</v>
      </c>
      <c r="I17" s="14">
        <v>2</v>
      </c>
      <c r="J17" s="14">
        <v>0</v>
      </c>
      <c r="K17" s="28" t="s">
        <v>2129</v>
      </c>
      <c r="M17" s="20" t="s">
        <v>2425</v>
      </c>
      <c r="N17" s="14" t="s">
        <v>2426</v>
      </c>
      <c r="O17" s="14" t="s">
        <v>5796</v>
      </c>
      <c r="P17" s="28" t="s">
        <v>5730</v>
      </c>
      <c r="R17" s="20" t="s">
        <v>2120</v>
      </c>
      <c r="S17" s="14" t="s">
        <v>2121</v>
      </c>
      <c r="T17" s="14" t="s">
        <v>2279</v>
      </c>
      <c r="U17" s="14">
        <v>3</v>
      </c>
      <c r="V17" s="14">
        <v>6</v>
      </c>
      <c r="W17" s="14">
        <v>18</v>
      </c>
      <c r="X17" s="87" t="s">
        <v>2122</v>
      </c>
      <c r="Y17" s="87" t="s">
        <v>2122</v>
      </c>
      <c r="Z17" s="87" t="s">
        <v>2122</v>
      </c>
      <c r="AA17" s="87" t="s">
        <v>2122</v>
      </c>
      <c r="AB17" s="87" t="s">
        <v>2122</v>
      </c>
      <c r="AC17" s="87" t="s">
        <v>2122</v>
      </c>
      <c r="AD17" s="87" t="s">
        <v>2997</v>
      </c>
      <c r="AE17" s="87" t="s">
        <v>2997</v>
      </c>
      <c r="AF17" s="87" t="s">
        <v>2997</v>
      </c>
      <c r="AG17" s="87" t="s">
        <v>2997</v>
      </c>
      <c r="AH17" s="87" t="s">
        <v>2997</v>
      </c>
      <c r="AI17" s="87" t="s">
        <v>2997</v>
      </c>
      <c r="AJ17" s="87" t="s">
        <v>2997</v>
      </c>
      <c r="AK17" s="87" t="s">
        <v>2997</v>
      </c>
      <c r="AL17" s="87" t="s">
        <v>2997</v>
      </c>
      <c r="AM17" s="101" t="str">
        <f>CHOOSE(CharGenMain!$C$212,X17,Y17,Z17,AA17,AB17,AC17,AD17,AE17,AF17,AG17,AH17,AI17,AJ17,AK17,AL17)</f>
        <v>protects against horrors, see text</v>
      </c>
      <c r="AN17" s="101" t="str">
        <f>CHOOSE(CharGenMain!$C$213,X17,Y17,Z17,AA17,AB17,AC17,AD17,AE17,AF17,AG17,AH17,AI17,AJ17,AK17,AL17)</f>
        <v>protects against horrors, see text</v>
      </c>
      <c r="AO17" s="101" t="str">
        <f>CHOOSE(CharGenMain!$C$214,X17,Y17,Z17,AA17,AB17,AC17,AD17,AE17,AF17,AG17,AH17,AI17,AJ17,AK17,AL17)</f>
        <v>protects against horrors, see text</v>
      </c>
      <c r="AP17" s="101" t="str">
        <f>CHOOSE(CharGenMain!$C$215,X17,Y17,Z17,AA17,AB17,AC17,AD17,AE17,AF17,AG17,AH17,AI17,AJ17,AK17,AL17)</f>
        <v>protects against horrors, see text</v>
      </c>
      <c r="AQ17" s="101" t="str">
        <f>CHOOSE(CharGenMain!$C$216,X17,Y17,Z17,AA17,AB17,AC17,AD17,AE17,AF17,AG17,AH17,AI17,AJ17,AK17,AL17)</f>
        <v>protects against horrors, see text</v>
      </c>
      <c r="AR17" s="101" t="str">
        <f>CHOOSE(CharGenMain!$C$217,X17,Y17,Z17,AA17,AB17,AC17,AD17,AE17,AF17,AG17,AH17,AI17,AJ17,AK17,AL17)</f>
        <v>protects against horrors, see text</v>
      </c>
      <c r="AS17" s="101" t="e">
        <f>CHOOSE(CharGenMain!$C$218,X17,Y17,Z17,AA17,AB17,AC17,AD17,AE17,AF17,AG17,AH17,AI17,AJ17,AK17,AL17)</f>
        <v>#VALUE!</v>
      </c>
      <c r="AT17" s="101" t="e">
        <f>CHOOSE(CharGenMain!$C$219,X17,Y17,Z17,AA17,AB17,AC17,AD17,AE17,AF17,AG17,AH17,AI17,AJ17,AK17,AL17)</f>
        <v>#VALUE!</v>
      </c>
      <c r="AU17" s="101" t="e">
        <f>CHOOSE(CharGenMain!$C$220,X17,Y17,Z17,AA17,AB17,AC17,AD17,AE17,AF17,AG17,AH17,AI17,AJ17,AK17,AL17)</f>
        <v>#VALUE!</v>
      </c>
      <c r="AV17" s="101" t="e">
        <f>CHOOSE(CharGenMain!$C$221,X17,Y17,Z17,AA17,AB17,AC17,AD17,AE17,AF17,AG17,AH17,AI17,AJ17,AK17,AL17)</f>
        <v>#VALUE!</v>
      </c>
      <c r="AW17" s="101" t="e">
        <f>CHOOSE(CharGenMain!$C$222,X17,Y17,Z17,AA17,AB17,AC17,AD17,AE17,AF17,AG17,AH17,AI17,AJ17,AK17,AL17)</f>
        <v>#VALUE!</v>
      </c>
      <c r="AX17" s="101" t="e">
        <f>CHOOSE(CharGenMain!$C$223,X17,Y17,Z17,AA17,AB17,AC17,AD17,AE17,AF17,AG17,AH17,AI17,AJ17,AK17,AL17)</f>
        <v>#VALUE!</v>
      </c>
      <c r="AY17" s="101" t="e">
        <f>CHOOSE(CharGenMain!$C$224,X17,Y17,Z17,AA17,AB17,AC17,AD17,AE17,AF17,AG17,AH17,AI17,AJ17,AK17,AL17)</f>
        <v>#VALUE!</v>
      </c>
      <c r="AZ17" s="101" t="e">
        <f>CHOOSE(CharGenMain!$C$225,X17,Y17,Z17,AA17,AB17,AC17,AD17,AE17,AF17,AG17,AH17,AI17,AJ17,AK17,AL17)</f>
        <v>#VALUE!</v>
      </c>
      <c r="BA17" s="271" t="e">
        <f>CHOOSE(CharGenMain!$C$226,X17,Y17,Z17,AA17,AB17,AC17,AD17,AE17,AF17,AG17,AH17,AI17,AJ17,AK17,AL17)</f>
        <v>#VALUE!</v>
      </c>
    </row>
    <row r="18" spans="1:104">
      <c r="A18" s="20" t="s">
        <v>2349</v>
      </c>
      <c r="B18" s="14" t="s">
        <v>2565</v>
      </c>
      <c r="C18" s="14" t="s">
        <v>5219</v>
      </c>
      <c r="D18" s="45" t="s">
        <v>2494</v>
      </c>
      <c r="F18" s="20" t="s">
        <v>2495</v>
      </c>
      <c r="G18" s="14" t="s">
        <v>2837</v>
      </c>
      <c r="H18" s="14" t="s">
        <v>5323</v>
      </c>
      <c r="I18" s="14">
        <v>4</v>
      </c>
      <c r="J18" s="167">
        <v>1</v>
      </c>
      <c r="K18" s="28" t="s">
        <v>2355</v>
      </c>
      <c r="M18" s="20" t="s">
        <v>2583</v>
      </c>
      <c r="N18" s="14" t="s">
        <v>2584</v>
      </c>
      <c r="O18" s="14" t="s">
        <v>5796</v>
      </c>
      <c r="P18" s="45" t="s">
        <v>2585</v>
      </c>
      <c r="R18" s="226" t="s">
        <v>2236</v>
      </c>
      <c r="S18" s="14" t="s">
        <v>2237</v>
      </c>
      <c r="T18" s="14" t="s">
        <v>2667</v>
      </c>
      <c r="U18" s="14">
        <v>1</v>
      </c>
      <c r="V18" s="14">
        <v>4</v>
      </c>
      <c r="W18" s="106">
        <v>12</v>
      </c>
      <c r="X18" s="206" t="s">
        <v>2238</v>
      </c>
      <c r="Y18" s="206" t="s">
        <v>2239</v>
      </c>
      <c r="Z18" s="206" t="s">
        <v>2240</v>
      </c>
      <c r="AA18" s="206" t="s">
        <v>2348</v>
      </c>
      <c r="AB18" s="87" t="s">
        <v>2997</v>
      </c>
      <c r="AC18" s="87" t="s">
        <v>2997</v>
      </c>
      <c r="AD18" s="87" t="s">
        <v>2997</v>
      </c>
      <c r="AE18" s="87" t="s">
        <v>2997</v>
      </c>
      <c r="AF18" s="87" t="s">
        <v>2997</v>
      </c>
      <c r="AG18" s="87" t="s">
        <v>2997</v>
      </c>
      <c r="AH18" s="87" t="s">
        <v>2997</v>
      </c>
      <c r="AI18" s="87" t="s">
        <v>2997</v>
      </c>
      <c r="AJ18" s="87" t="s">
        <v>2997</v>
      </c>
      <c r="AK18" s="87" t="s">
        <v>2997</v>
      </c>
      <c r="AL18" s="87" t="s">
        <v>2997</v>
      </c>
      <c r="AM18" s="101" t="str">
        <f>CHOOSE(CharGenMain!$C$212,X18,Y18,Z18,AA18,AB18,AC18,AD18,AE18,AF18,AG18,AH18,AI18,AJ18,AK18,AL18)</f>
        <v>+2 phys def, +1 step climbing talent</v>
      </c>
      <c r="AN18" s="101" t="str">
        <f>CHOOSE(CharGenMain!$C$213,X18,Y18,Z18,AA18,AB18,AC18,AD18,AE18,AF18,AG18,AH18,AI18,AJ18,AK18,AL18)</f>
        <v>+1 phys def</v>
      </c>
      <c r="AO18" s="101" t="str">
        <f>CHOOSE(CharGenMain!$C$214,X18,Y18,Z18,AA18,AB18,AC18,AD18,AE18,AF18,AG18,AH18,AI18,AJ18,AK18,AL18)</f>
        <v>+1 phys def</v>
      </c>
      <c r="AP18" s="101" t="str">
        <f>CHOOSE(CharGenMain!$C$215,X18,Y18,Z18,AA18,AB18,AC18,AD18,AE18,AF18,AG18,AH18,AI18,AJ18,AK18,AL18)</f>
        <v>+2 phys def</v>
      </c>
      <c r="AQ18" s="101" t="str">
        <f>CHOOSE(CharGenMain!$C$216,X18,Y18,Z18,AA18,AB18,AC18,AD18,AE18,AF18,AG18,AH18,AI18,AJ18,AK18,AL18)</f>
        <v>+3 phys def, +1 step climbing talent</v>
      </c>
      <c r="AR18" s="101" t="str">
        <f>CHOOSE(CharGenMain!$C$217,X18,Y18,Z18,AA18,AB18,AC18,AD18,AE18,AF18,AG18,AH18,AI18,AJ18,AK18,AL18)</f>
        <v>Thread Max Exceeded</v>
      </c>
      <c r="AS18" s="101" t="e">
        <f>CHOOSE(CharGenMain!$C$218,X18,Y18,Z18,AA18,AB18,AC18,AD18,AE18,AF18,AG18,AH18,AI18,AJ18,AK18,AL18)</f>
        <v>#VALUE!</v>
      </c>
      <c r="AT18" s="101" t="e">
        <f>CHOOSE(CharGenMain!$C$219,X18,Y18,Z18,AA18,AB18,AC18,AD18,AE18,AF18,AG18,AH18,AI18,AJ18,AK18,AL18)</f>
        <v>#VALUE!</v>
      </c>
      <c r="AU18" s="101" t="e">
        <f>CHOOSE(CharGenMain!$C$220,X18,Y18,Z18,AA18,AB18,AC18,AD18,AE18,AF18,AG18,AH18,AI18,AJ18,AK18,AL18)</f>
        <v>#VALUE!</v>
      </c>
      <c r="AV18" s="101" t="e">
        <f>CHOOSE(CharGenMain!$C$221,X18,Y18,Z18,AA18,AB18,AC18,AD18,AE18,AF18,AG18,AH18,AI18,AJ18,AK18,AL18)</f>
        <v>#VALUE!</v>
      </c>
      <c r="AW18" s="101" t="e">
        <f>CHOOSE(CharGenMain!$C$222,X18,Y18,Z18,AA18,AB18,AC18,AD18,AE18,AF18,AG18,AH18,AI18,AJ18,AK18,AL18)</f>
        <v>#VALUE!</v>
      </c>
      <c r="AX18" s="101" t="e">
        <f>CHOOSE(CharGenMain!$C$223,X18,Y18,Z18,AA18,AB18,AC18,AD18,AE18,AF18,AG18,AH18,AI18,AJ18,AK18,AL18)</f>
        <v>#VALUE!</v>
      </c>
      <c r="AY18" s="101" t="e">
        <f>CHOOSE(CharGenMain!$C$224,X18,Y18,Z18,AA18,AB18,AC18,AD18,AE18,AF18,AG18,AH18,AI18,AJ18,AK18,AL18)</f>
        <v>#VALUE!</v>
      </c>
      <c r="AZ18" s="101" t="e">
        <f>CHOOSE(CharGenMain!$C$225,X18,Y18,Z18,AA18,AB18,AC18,AD18,AE18,AF18,AG18,AH18,AI18,AJ18,AK18,AL18)</f>
        <v>#VALUE!</v>
      </c>
      <c r="BA18" s="271" t="e">
        <f>CHOOSE(CharGenMain!$C$226,X18,Y18,Z18,AA18,AB18,AC18,AD18,AE18,AF18,AG18,AH18,AI18,AJ18,AK18,AL18)</f>
        <v>#VALUE!</v>
      </c>
    </row>
    <row r="19" spans="1:104">
      <c r="A19" s="20" t="s">
        <v>2361</v>
      </c>
      <c r="B19" s="14" t="s">
        <v>2447</v>
      </c>
      <c r="C19" s="14" t="s">
        <v>5219</v>
      </c>
      <c r="D19" s="186" t="s">
        <v>2362</v>
      </c>
      <c r="F19" s="20" t="s">
        <v>2246</v>
      </c>
      <c r="G19" s="14" t="s">
        <v>2247</v>
      </c>
      <c r="H19" s="14" t="s">
        <v>5323</v>
      </c>
      <c r="I19" s="14">
        <v>4</v>
      </c>
      <c r="J19" s="14">
        <v>1</v>
      </c>
      <c r="K19" s="28" t="s">
        <v>2365</v>
      </c>
      <c r="M19" s="20" t="s">
        <v>2117</v>
      </c>
      <c r="N19" s="14" t="s">
        <v>2118</v>
      </c>
      <c r="O19" s="14" t="s">
        <v>2279</v>
      </c>
      <c r="P19" s="28" t="s">
        <v>2119</v>
      </c>
      <c r="R19" s="226" t="s">
        <v>2358</v>
      </c>
      <c r="S19" s="14" t="s">
        <v>2237</v>
      </c>
      <c r="T19" s="14" t="s">
        <v>2667</v>
      </c>
      <c r="U19" s="14">
        <v>2</v>
      </c>
      <c r="V19" s="14">
        <v>3</v>
      </c>
      <c r="W19" s="106">
        <v>14</v>
      </c>
      <c r="X19" s="206" t="s">
        <v>2238</v>
      </c>
      <c r="Y19" s="206" t="s">
        <v>2359</v>
      </c>
      <c r="Z19" s="206" t="s">
        <v>2360</v>
      </c>
      <c r="AA19" s="87"/>
      <c r="AB19" s="87" t="s">
        <v>2997</v>
      </c>
      <c r="AC19" s="87" t="s">
        <v>2997</v>
      </c>
      <c r="AD19" s="87" t="s">
        <v>2997</v>
      </c>
      <c r="AE19" s="87" t="s">
        <v>2997</v>
      </c>
      <c r="AF19" s="87" t="s">
        <v>2997</v>
      </c>
      <c r="AG19" s="87" t="s">
        <v>2997</v>
      </c>
      <c r="AH19" s="87" t="s">
        <v>2997</v>
      </c>
      <c r="AI19" s="87" t="s">
        <v>2997</v>
      </c>
      <c r="AJ19" s="87" t="s">
        <v>2997</v>
      </c>
      <c r="AK19" s="87" t="s">
        <v>2997</v>
      </c>
      <c r="AL19" s="87" t="s">
        <v>2997</v>
      </c>
      <c r="AM19" s="101" t="str">
        <f>CHOOSE(CharGenMain!$C$212,X19,Y19,Z19,AA19,AB19,AC19,AD19,AE19,AF19,AG19,AH19,AI19,AJ19,AK19,AL19)</f>
        <v>+2 phys def, +2 spell def</v>
      </c>
      <c r="AN19" s="101" t="str">
        <f>CHOOSE(CharGenMain!$C$213,X19,Y19,Z19,AA19,AB19,AC19,AD19,AE19,AF19,AG19,AH19,AI19,AJ19,AK19,AL19)</f>
        <v>+1 phys def</v>
      </c>
      <c r="AO19" s="101" t="str">
        <f>CHOOSE(CharGenMain!$C$214,X19,Y19,Z19,AA19,AB19,AC19,AD19,AE19,AF19,AG19,AH19,AI19,AJ19,AK19,AL19)</f>
        <v>+1 phys def</v>
      </c>
      <c r="AP19" s="101" t="str">
        <f>CHOOSE(CharGenMain!$C$215,X19,Y19,Z19,AA19,AB19,AC19,AD19,AE19,AF19,AG19,AH19,AI19,AJ19,AK19,AL19)</f>
        <v>+1 phys def, +1 spell def</v>
      </c>
      <c r="AQ19" s="101">
        <f>CHOOSE(CharGenMain!$C$216,X19,Y19,Z19,AA19,AB19,AC19,AD19,AE19,AF19,AG19,AH19,AI19,AJ19,AK19,AL19)</f>
        <v>0</v>
      </c>
      <c r="AR19" s="101" t="str">
        <f>CHOOSE(CharGenMain!$C$217,X19,Y19,Z19,AA19,AB19,AC19,AD19,AE19,AF19,AG19,AH19,AI19,AJ19,AK19,AL19)</f>
        <v>Thread Max Exceeded</v>
      </c>
      <c r="AS19" s="101" t="e">
        <f>CHOOSE(CharGenMain!$C$218,X19,Y19,Z19,AA19,AB19,AC19,AD19,AE19,AF19,AG19,AH19,AI19,AJ19,AK19,AL19)</f>
        <v>#VALUE!</v>
      </c>
      <c r="AT19" s="101" t="e">
        <f>CHOOSE(CharGenMain!$C$219,X19,Y19,Z19,AA19,AB19,AC19,AD19,AE19,AF19,AG19,AH19,AI19,AJ19,AK19,AL19)</f>
        <v>#VALUE!</v>
      </c>
      <c r="AU19" s="101" t="e">
        <f>CHOOSE(CharGenMain!$C$220,X19,Y19,Z19,AA19,AB19,AC19,AD19,AE19,AF19,AG19,AH19,AI19,AJ19,AK19,AL19)</f>
        <v>#VALUE!</v>
      </c>
      <c r="AV19" s="101" t="e">
        <f>CHOOSE(CharGenMain!$C$221,X19,Y19,Z19,AA19,AB19,AC19,AD19,AE19,AF19,AG19,AH19,AI19,AJ19,AK19,AL19)</f>
        <v>#VALUE!</v>
      </c>
      <c r="AW19" s="101" t="e">
        <f>CHOOSE(CharGenMain!$C$222,X19,Y19,Z19,AA19,AB19,AC19,AD19,AE19,AF19,AG19,AH19,AI19,AJ19,AK19,AL19)</f>
        <v>#VALUE!</v>
      </c>
      <c r="AX19" s="101" t="e">
        <f>CHOOSE(CharGenMain!$C$223,X19,Y19,Z19,AA19,AB19,AC19,AD19,AE19,AF19,AG19,AH19,AI19,AJ19,AK19,AL19)</f>
        <v>#VALUE!</v>
      </c>
      <c r="AY19" s="101" t="e">
        <f>CHOOSE(CharGenMain!$C$224,X19,Y19,Z19,AA19,AB19,AC19,AD19,AE19,AF19,AG19,AH19,AI19,AJ19,AK19,AL19)</f>
        <v>#VALUE!</v>
      </c>
      <c r="AZ19" s="101" t="e">
        <f>CHOOSE(CharGenMain!$C$225,X19,Y19,Z19,AA19,AB19,AC19,AD19,AE19,AF19,AG19,AH19,AI19,AJ19,AK19,AL19)</f>
        <v>#VALUE!</v>
      </c>
      <c r="BA19" s="271" t="e">
        <f>CHOOSE(CharGenMain!$C$226,X19,Y19,Z19,AA19,AB19,AC19,AD19,AE19,AF19,AG19,AH19,AI19,AJ19,AK19,AL19)</f>
        <v>#VALUE!</v>
      </c>
    </row>
    <row r="20" spans="1:104">
      <c r="A20" s="20" t="s">
        <v>2372</v>
      </c>
      <c r="B20" s="14" t="s">
        <v>2565</v>
      </c>
      <c r="C20" s="14" t="s">
        <v>5219</v>
      </c>
      <c r="D20" s="45" t="s">
        <v>2373</v>
      </c>
      <c r="F20" s="20" t="s">
        <v>2254</v>
      </c>
      <c r="G20" s="14" t="s">
        <v>125</v>
      </c>
      <c r="H20" s="14" t="s">
        <v>5323</v>
      </c>
      <c r="I20" s="14">
        <v>2</v>
      </c>
      <c r="J20" s="167">
        <v>1</v>
      </c>
      <c r="K20" s="28" t="s">
        <v>2509</v>
      </c>
      <c r="M20" s="20" t="s">
        <v>5731</v>
      </c>
      <c r="N20" s="14" t="s">
        <v>401</v>
      </c>
      <c r="O20" s="14" t="s">
        <v>2501</v>
      </c>
      <c r="P20" s="188" t="s">
        <v>5557</v>
      </c>
      <c r="R20" s="226" t="s">
        <v>2369</v>
      </c>
      <c r="S20" s="14" t="s">
        <v>2370</v>
      </c>
      <c r="T20" s="14" t="s">
        <v>2223</v>
      </c>
      <c r="U20" s="14">
        <v>1</v>
      </c>
      <c r="V20" s="14">
        <v>5</v>
      </c>
      <c r="W20" s="106">
        <v>9</v>
      </c>
      <c r="X20" s="206" t="s">
        <v>2238</v>
      </c>
      <c r="Y20" s="206" t="s">
        <v>2239</v>
      </c>
      <c r="Z20" s="206" t="s">
        <v>2371</v>
      </c>
      <c r="AA20" s="206" t="s">
        <v>2360</v>
      </c>
      <c r="AB20" s="206" t="s">
        <v>5733</v>
      </c>
      <c r="AC20" s="87" t="s">
        <v>2997</v>
      </c>
      <c r="AD20" s="87" t="s">
        <v>2997</v>
      </c>
      <c r="AE20" s="87" t="s">
        <v>2997</v>
      </c>
      <c r="AF20" s="87" t="s">
        <v>2997</v>
      </c>
      <c r="AG20" s="87" t="s">
        <v>2997</v>
      </c>
      <c r="AH20" s="87" t="s">
        <v>2997</v>
      </c>
      <c r="AI20" s="87" t="s">
        <v>2997</v>
      </c>
      <c r="AJ20" s="87" t="s">
        <v>2997</v>
      </c>
      <c r="AK20" s="87" t="s">
        <v>2997</v>
      </c>
      <c r="AL20" s="87" t="s">
        <v>2997</v>
      </c>
      <c r="AM20" s="101" t="str">
        <f>CHOOSE(CharGenMain!$C$212,X20,Y20,Z20,AA20,AB20,AC20,AD20,AE20,AF20,AG20,AH20,AI20,AJ20,AK20,AL20)</f>
        <v>+2 phys def, +1 spell def</v>
      </c>
      <c r="AN20" s="101" t="str">
        <f>CHOOSE(CharGenMain!$C$213,X20,Y20,Z20,AA20,AB20,AC20,AD20,AE20,AF20,AG20,AH20,AI20,AJ20,AK20,AL20)</f>
        <v>+1 phys def</v>
      </c>
      <c r="AO20" s="101" t="str">
        <f>CHOOSE(CharGenMain!$C$214,X20,Y20,Z20,AA20,AB20,AC20,AD20,AE20,AF20,AG20,AH20,AI20,AJ20,AK20,AL20)</f>
        <v>+1 phys def</v>
      </c>
      <c r="AP20" s="101" t="str">
        <f>CHOOSE(CharGenMain!$C$215,X20,Y20,Z20,AA20,AB20,AC20,AD20,AE20,AF20,AG20,AH20,AI20,AJ20,AK20,AL20)</f>
        <v>+2 phys def</v>
      </c>
      <c r="AQ20" s="101" t="str">
        <f>CHOOSE(CharGenMain!$C$216,X20,Y20,Z20,AA20,AB20,AC20,AD20,AE20,AF20,AG20,AH20,AI20,AJ20,AK20,AL20)</f>
        <v>+2 phys def, +2 spell def</v>
      </c>
      <c r="AR20" s="101" t="str">
        <f>CHOOSE(CharGenMain!$C$217,X20,Y20,Z20,AA20,AB20,AC20,AD20,AE20,AF20,AG20,AH20,AI20,AJ20,AK20,AL20)</f>
        <v>+2 phys def, +2 spell def, breathe underwater, +3 to Swimming</v>
      </c>
      <c r="AS20" s="101" t="e">
        <f>CHOOSE(CharGenMain!$C$218,X20,Y20,Z20,AA20,AB20,AC20,AD20,AE20,AF20,AG20,AH20,AI20,AJ20,AK20,AL20)</f>
        <v>#VALUE!</v>
      </c>
      <c r="AT20" s="101" t="e">
        <f>CHOOSE(CharGenMain!$C$219,X20,Y20,Z20,AA20,AB20,AC20,AD20,AE20,AF20,AG20,AH20,AI20,AJ20,AK20,AL20)</f>
        <v>#VALUE!</v>
      </c>
      <c r="AU20" s="101" t="e">
        <f>CHOOSE(CharGenMain!$C$220,X20,Y20,Z20,AA20,AB20,AC20,AD20,AE20,AF20,AG20,AH20,AI20,AJ20,AK20,AL20)</f>
        <v>#VALUE!</v>
      </c>
      <c r="AV20" s="101" t="e">
        <f>CHOOSE(CharGenMain!$C$221,X20,Y20,Z20,AA20,AB20,AC20,AD20,AE20,AF20,AG20,AH20,AI20,AJ20,AK20,AL20)</f>
        <v>#VALUE!</v>
      </c>
      <c r="AW20" s="101" t="e">
        <f>CHOOSE(CharGenMain!$C$222,X20,Y20,Z20,AA20,AB20,AC20,AD20,AE20,AF20,AG20,AH20,AI20,AJ20,AK20,AL20)</f>
        <v>#VALUE!</v>
      </c>
      <c r="AX20" s="101" t="e">
        <f>CHOOSE(CharGenMain!$C$223,X20,Y20,Z20,AA20,AB20,AC20,AD20,AE20,AF20,AG20,AH20,AI20,AJ20,AK20,AL20)</f>
        <v>#VALUE!</v>
      </c>
      <c r="AY20" s="101" t="e">
        <f>CHOOSE(CharGenMain!$C$224,X20,Y20,Z20,AA20,AB20,AC20,AD20,AE20,AF20,AG20,AH20,AI20,AJ20,AK20,AL20)</f>
        <v>#VALUE!</v>
      </c>
      <c r="AZ20" s="101" t="e">
        <f>CHOOSE(CharGenMain!$C$225,X20,Y20,Z20,AA20,AB20,AC20,AD20,AE20,AF20,AG20,AH20,AI20,AJ20,AK20,AL20)</f>
        <v>#VALUE!</v>
      </c>
      <c r="BA20" s="271" t="e">
        <f>CHOOSE(CharGenMain!$C$226,X20,Y20,Z20,AA20,AB20,AC20,AD20,AE20,AF20,AG20,AH20,AI20,AJ20,AK20,AL20)</f>
        <v>#VALUE!</v>
      </c>
    </row>
    <row r="21" spans="1:104">
      <c r="A21" s="20" t="s">
        <v>2072</v>
      </c>
      <c r="B21" s="14" t="s">
        <v>2999</v>
      </c>
      <c r="C21" s="14" t="s">
        <v>5219</v>
      </c>
      <c r="D21" s="45" t="s">
        <v>2073</v>
      </c>
      <c r="F21" s="46" t="s">
        <v>2074</v>
      </c>
      <c r="G21" s="14" t="s">
        <v>2075</v>
      </c>
      <c r="H21" s="14" t="s">
        <v>5323</v>
      </c>
      <c r="I21" s="14">
        <v>4</v>
      </c>
      <c r="J21" s="14">
        <v>0</v>
      </c>
      <c r="K21" s="28" t="s">
        <v>2175</v>
      </c>
      <c r="M21" s="204" t="s">
        <v>2130</v>
      </c>
      <c r="N21" s="14" t="s">
        <v>2131</v>
      </c>
      <c r="O21" s="14" t="s">
        <v>5796</v>
      </c>
      <c r="P21" s="45" t="s">
        <v>2235</v>
      </c>
      <c r="R21" s="20" t="s">
        <v>2512</v>
      </c>
      <c r="S21" s="14" t="s">
        <v>2378</v>
      </c>
      <c r="T21" s="14" t="s">
        <v>2279</v>
      </c>
      <c r="U21" s="14">
        <v>3</v>
      </c>
      <c r="V21" s="14">
        <v>7</v>
      </c>
      <c r="W21" s="14">
        <v>15</v>
      </c>
      <c r="X21" s="206" t="s">
        <v>2513</v>
      </c>
      <c r="Y21" s="206" t="s">
        <v>2514</v>
      </c>
      <c r="Z21" s="206" t="s">
        <v>2515</v>
      </c>
      <c r="AA21" s="206" t="s">
        <v>2515</v>
      </c>
      <c r="AB21" s="206" t="s">
        <v>2385</v>
      </c>
      <c r="AC21" s="206" t="s">
        <v>2070</v>
      </c>
      <c r="AD21" s="206" t="s">
        <v>2071</v>
      </c>
      <c r="AE21" s="87" t="s">
        <v>2997</v>
      </c>
      <c r="AF21" s="87" t="s">
        <v>2997</v>
      </c>
      <c r="AG21" s="87" t="s">
        <v>2997</v>
      </c>
      <c r="AH21" s="87" t="s">
        <v>2997</v>
      </c>
      <c r="AI21" s="87" t="s">
        <v>2997</v>
      </c>
      <c r="AJ21" s="87" t="s">
        <v>2997</v>
      </c>
      <c r="AK21" s="87" t="s">
        <v>2997</v>
      </c>
      <c r="AL21" s="87" t="s">
        <v>2997</v>
      </c>
      <c r="AM21" s="101" t="str">
        <f>CHOOSE(CharGenMain!$C$212,X21,Y21,Z21,AA21,AB21,AC21,AD21,AE21,AF21,AG21,AH21,AI21,AJ21,AK21,AL21)</f>
        <v>+1 spellcasting &amp; threadweaving, elemental powers, +1 phys def</v>
      </c>
      <c r="AN21" s="101" t="str">
        <f>CHOOSE(CharGenMain!$C$213,X21,Y21,Z21,AA21,AB21,AC21,AD21,AE21,AF21,AG21,AH21,AI21,AJ21,AK21,AL21)</f>
        <v>+1 spellcasting &amp; threadweaving</v>
      </c>
      <c r="AO21" s="101" t="str">
        <f>CHOOSE(CharGenMain!$C$214,X21,Y21,Z21,AA21,AB21,AC21,AD21,AE21,AF21,AG21,AH21,AI21,AJ21,AK21,AL21)</f>
        <v>+1 spellcasting &amp; threadweaving</v>
      </c>
      <c r="AP21" s="101" t="str">
        <f>CHOOSE(CharGenMain!$C$215,X21,Y21,Z21,AA21,AB21,AC21,AD21,AE21,AF21,AG21,AH21,AI21,AJ21,AK21,AL21)</f>
        <v>+1 spellcasting &amp; threadweaving, elemental powers</v>
      </c>
      <c r="AQ21" s="101" t="str">
        <f>CHOOSE(CharGenMain!$C$216,X21,Y21,Z21,AA21,AB21,AC21,AD21,AE21,AF21,AG21,AH21,AI21,AJ21,AK21,AL21)</f>
        <v>+1 spellcasting &amp; threadweaving, elemental powers, +1 phys def</v>
      </c>
      <c r="AR21" s="101" t="str">
        <f>CHOOSE(CharGenMain!$C$217,X21,Y21,Z21,AA21,AB21,AC21,AD21,AE21,AF21,AG21,AH21,AI21,AJ21,AK21,AL21)</f>
        <v>+1 spellcasting &amp; threadweaving, elemental powers, +1 phys def, +1 spell def</v>
      </c>
      <c r="AS21" s="101" t="e">
        <f>CHOOSE(CharGenMain!$C$218,X21,Y21,Z21,AA21,AB21,AC21,AD21,AE21,AF21,AG21,AH21,AI21,AJ21,AK21,AL21)</f>
        <v>#VALUE!</v>
      </c>
      <c r="AT21" s="101" t="e">
        <f>CHOOSE(CharGenMain!$C$219,X21,Y21,Z21,AA21,AB21,AC21,AD21,AE21,AF21,AG21,AH21,AI21,AJ21,AK21,AL21)</f>
        <v>#VALUE!</v>
      </c>
      <c r="AU21" s="101" t="e">
        <f>CHOOSE(CharGenMain!$C$220,X21,Y21,Z21,AA21,AB21,AC21,AD21,AE21,AF21,AG21,AH21,AI21,AJ21,AK21,AL21)</f>
        <v>#VALUE!</v>
      </c>
      <c r="AV21" s="101" t="e">
        <f>CHOOSE(CharGenMain!$C$221,X21,Y21,Z21,AA21,AB21,AC21,AD21,AE21,AF21,AG21,AH21,AI21,AJ21,AK21,AL21)</f>
        <v>#VALUE!</v>
      </c>
      <c r="AW21" s="101" t="e">
        <f>CHOOSE(CharGenMain!$C$222,X21,Y21,Z21,AA21,AB21,AC21,AD21,AE21,AF21,AG21,AH21,AI21,AJ21,AK21,AL21)</f>
        <v>#VALUE!</v>
      </c>
      <c r="AX21" s="101" t="e">
        <f>CHOOSE(CharGenMain!$C$223,X21,Y21,Z21,AA21,AB21,AC21,AD21,AE21,AF21,AG21,AH21,AI21,AJ21,AK21,AL21)</f>
        <v>#VALUE!</v>
      </c>
      <c r="AY21" s="101" t="e">
        <f>CHOOSE(CharGenMain!$C$224,X21,Y21,Z21,AA21,AB21,AC21,AD21,AE21,AF21,AG21,AH21,AI21,AJ21,AK21,AL21)</f>
        <v>#VALUE!</v>
      </c>
      <c r="AZ21" s="101" t="e">
        <f>CHOOSE(CharGenMain!$C$225,X21,Y21,Z21,AA21,AB21,AC21,AD21,AE21,AF21,AG21,AH21,AI21,AJ21,AK21,AL21)</f>
        <v>#VALUE!</v>
      </c>
      <c r="BA21" s="271" t="e">
        <f>CHOOSE(CharGenMain!$C$226,X21,Y21,Z21,AA21,AB21,AC21,AD21,AE21,AF21,AG21,AH21,AI21,AJ21,AK21,AL21)</f>
        <v>#VALUE!</v>
      </c>
      <c r="BC21" s="9"/>
      <c r="BD21" s="10"/>
      <c r="BE21" s="10"/>
      <c r="BF21" s="10"/>
      <c r="BG21" s="10"/>
      <c r="BH21" s="10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</row>
    <row r="22" spans="1:104">
      <c r="A22" s="20" t="s">
        <v>2188</v>
      </c>
      <c r="B22" s="14" t="s">
        <v>2347</v>
      </c>
      <c r="C22" s="14" t="s">
        <v>5219</v>
      </c>
      <c r="D22" s="186" t="s">
        <v>2189</v>
      </c>
      <c r="F22" s="46" t="s">
        <v>2190</v>
      </c>
      <c r="G22" s="14" t="s">
        <v>2191</v>
      </c>
      <c r="H22" s="14" t="s">
        <v>5323</v>
      </c>
      <c r="I22" s="14">
        <v>4</v>
      </c>
      <c r="J22" s="14">
        <v>0</v>
      </c>
      <c r="K22" s="28" t="s">
        <v>2175</v>
      </c>
      <c r="M22" s="204" t="s">
        <v>2356</v>
      </c>
      <c r="N22" s="14" t="s">
        <v>46</v>
      </c>
      <c r="O22" s="14" t="s">
        <v>2501</v>
      </c>
      <c r="P22" s="45" t="s">
        <v>2357</v>
      </c>
      <c r="R22" s="226" t="s">
        <v>5734</v>
      </c>
      <c r="S22" s="14" t="s">
        <v>402</v>
      </c>
      <c r="T22" s="14" t="s">
        <v>2667</v>
      </c>
      <c r="U22" s="14">
        <v>2</v>
      </c>
      <c r="V22" s="14">
        <v>6</v>
      </c>
      <c r="W22" s="14">
        <v>12</v>
      </c>
      <c r="X22" s="206" t="s">
        <v>5735</v>
      </c>
      <c r="Y22" s="206" t="s">
        <v>5563</v>
      </c>
      <c r="Z22" s="206" t="s">
        <v>5564</v>
      </c>
      <c r="AA22" s="206" t="s">
        <v>5565</v>
      </c>
      <c r="AB22" s="87" t="s">
        <v>5566</v>
      </c>
      <c r="AC22" s="206" t="s">
        <v>5567</v>
      </c>
      <c r="AD22" s="87" t="s">
        <v>2997</v>
      </c>
      <c r="AE22" s="87" t="s">
        <v>2997</v>
      </c>
      <c r="AF22" s="87" t="s">
        <v>2997</v>
      </c>
      <c r="AG22" s="87" t="s">
        <v>2997</v>
      </c>
      <c r="AH22" s="87" t="s">
        <v>2997</v>
      </c>
      <c r="AI22" s="87" t="s">
        <v>2997</v>
      </c>
      <c r="AJ22" s="87" t="s">
        <v>2997</v>
      </c>
      <c r="AK22" s="87" t="s">
        <v>2997</v>
      </c>
      <c r="AL22" s="87" t="s">
        <v>2997</v>
      </c>
      <c r="AM22" s="101" t="str">
        <f>CHOOSE(CharGenMain!$C$212,X22,Y22,Z22,AA22,AB22,AC22,AD22,AE22,AF22,AG22,AH22,AI22,AJ22,AK22,AL22)</f>
        <v>+6 on Strength tests except Dmg and Knkdwn</v>
      </c>
      <c r="AN22" s="101" t="str">
        <f>CHOOSE(CharGenMain!$C$213,X22,Y22,Z22,AA22,AB22,AC22,AD22,AE22,AF22,AG22,AH22,AI22,AJ22,AK22,AL22)</f>
        <v>+3 on Strength tests except Dmg and Knkdwn</v>
      </c>
      <c r="AO22" s="101" t="str">
        <f>CHOOSE(CharGenMain!$C$214,X22,Y22,Z22,AA22,AB22,AC22,AD22,AE22,AF22,AG22,AH22,AI22,AJ22,AK22,AL22)</f>
        <v>+3 on Strength tests except Dmg and Knkdwn</v>
      </c>
      <c r="AP22" s="101" t="str">
        <f>CHOOSE(CharGenMain!$C$215,X22,Y22,Z22,AA22,AB22,AC22,AD22,AE22,AF22,AG22,AH22,AI22,AJ22,AK22,AL22)</f>
        <v>+1 on Combat Dmg tests</v>
      </c>
      <c r="AQ22" s="101" t="str">
        <f>CHOOSE(CharGenMain!$C$216,X22,Y22,Z22,AA22,AB22,AC22,AD22,AE22,AF22,AG22,AH22,AI22,AJ22,AK22,AL22)</f>
        <v>+2 on Combat Dmg tests</v>
      </c>
      <c r="AR22" s="101" t="str">
        <f>CHOOSE(CharGenMain!$C$217,X22,Y22,Z22,AA22,AB22,AC22,AD22,AE22,AF22,AG22,AH22,AI22,AJ22,AK22,AL22)</f>
        <v>Wield weapons 1 size larger, see text</v>
      </c>
      <c r="AS22" s="101" t="e">
        <f>CHOOSE(CharGenMain!$C$218,X22,Y22,Z22,AA22,AB22,AC22,AD22,AE22,AF22,AG22,AH22,AI22,AJ22,AK22,AL22)</f>
        <v>#VALUE!</v>
      </c>
      <c r="AT22" s="101" t="e">
        <f>CHOOSE(CharGenMain!$C$219,X22,Y22,Z22,AA22,AB22,AC22,AD22,AE22,AF22,AG22,AH22,AI22,AJ22,AK22,AL22)</f>
        <v>#VALUE!</v>
      </c>
      <c r="AU22" s="101" t="e">
        <f>CHOOSE(CharGenMain!$C$220,X22,Y22,Z22,AA22,AB22,AC22,AD22,AE22,AF22,AG22,AH22,AI22,AJ22,AK22,AL22)</f>
        <v>#VALUE!</v>
      </c>
      <c r="AV22" s="101" t="e">
        <f>CHOOSE(CharGenMain!$C$221,X22,Y22,Z22,AA22,AB22,AC22,AD22,AE22,AF22,AG22,AH22,AI22,AJ22,AK22,AL22)</f>
        <v>#VALUE!</v>
      </c>
      <c r="AW22" s="101" t="e">
        <f>CHOOSE(CharGenMain!$C$222,X22,Y22,Z22,AA22,AB22,AC22,AD22,AE22,AF22,AG22,AH22,AI22,AJ22,AK22,AL22)</f>
        <v>#VALUE!</v>
      </c>
      <c r="AX22" s="101" t="e">
        <f>CHOOSE(CharGenMain!$C$223,X22,Y22,Z22,AA22,AB22,AC22,AD22,AE22,AF22,AG22,AH22,AI22,AJ22,AK22,AL22)</f>
        <v>#VALUE!</v>
      </c>
      <c r="AY22" s="101" t="e">
        <f>CHOOSE(CharGenMain!$C$224,X22,Y22,Z22,AA22,AB22,AC22,AD22,AE22,AF22,AG22,AH22,AI22,AJ22,AK22,AL22)</f>
        <v>#VALUE!</v>
      </c>
      <c r="AZ22" s="101" t="e">
        <f>CHOOSE(CharGenMain!$C$225,X22,Y22,Z22,AA22,AB22,AC22,AD22,AE22,AF22,AG22,AH22,AI22,AJ22,AK22,AL22)</f>
        <v>#VALUE!</v>
      </c>
      <c r="BA22" s="271" t="e">
        <f>CHOOSE(CharGenMain!$C$226,X22,Y22,Z22,AA22,AB22,AC22,AD22,AE22,AF22,AG22,AH22,AI22,AJ22,AK22,AL22)</f>
        <v>#VALUE!</v>
      </c>
    </row>
    <row r="23" spans="1:104">
      <c r="A23" s="20" t="s">
        <v>2299</v>
      </c>
      <c r="B23" s="14" t="s">
        <v>2347</v>
      </c>
      <c r="C23" s="14" t="s">
        <v>5219</v>
      </c>
      <c r="D23" s="45" t="s">
        <v>2300</v>
      </c>
      <c r="F23" s="20" t="s">
        <v>2301</v>
      </c>
      <c r="G23" s="14" t="s">
        <v>2181</v>
      </c>
      <c r="H23" s="14" t="s">
        <v>5323</v>
      </c>
      <c r="I23" s="14">
        <v>4</v>
      </c>
      <c r="J23" s="14">
        <v>1</v>
      </c>
      <c r="K23" s="188" t="s">
        <v>2200</v>
      </c>
      <c r="M23" s="20" t="s">
        <v>2366</v>
      </c>
      <c r="N23" s="14" t="s">
        <v>2367</v>
      </c>
      <c r="O23" s="14" t="s">
        <v>2501</v>
      </c>
      <c r="P23" s="45" t="s">
        <v>2368</v>
      </c>
      <c r="R23" s="226" t="s">
        <v>2185</v>
      </c>
      <c r="S23" s="14" t="s">
        <v>2237</v>
      </c>
      <c r="T23" s="14" t="s">
        <v>2667</v>
      </c>
      <c r="U23" s="14">
        <v>1</v>
      </c>
      <c r="V23" s="14">
        <v>3</v>
      </c>
      <c r="W23" s="106">
        <v>12</v>
      </c>
      <c r="X23" s="206" t="s">
        <v>2269</v>
      </c>
      <c r="Y23" s="206" t="s">
        <v>2186</v>
      </c>
      <c r="Z23" s="206" t="s">
        <v>2187</v>
      </c>
      <c r="AA23" s="87"/>
      <c r="AB23" s="87" t="s">
        <v>2997</v>
      </c>
      <c r="AC23" s="87" t="s">
        <v>2997</v>
      </c>
      <c r="AD23" s="87" t="s">
        <v>2997</v>
      </c>
      <c r="AE23" s="87" t="s">
        <v>2997</v>
      </c>
      <c r="AF23" s="87" t="s">
        <v>2997</v>
      </c>
      <c r="AG23" s="87" t="s">
        <v>2997</v>
      </c>
      <c r="AH23" s="87" t="s">
        <v>2997</v>
      </c>
      <c r="AI23" s="87" t="s">
        <v>2997</v>
      </c>
      <c r="AJ23" s="87" t="s">
        <v>2997</v>
      </c>
      <c r="AK23" s="87" t="s">
        <v>2997</v>
      </c>
      <c r="AL23" s="87" t="s">
        <v>2997</v>
      </c>
      <c r="AM23" s="101" t="str">
        <f>CHOOSE(CharGenMain!$C$212,X23,Y23,Z23,AA23,AB23,AC23,AD23,AE23,AF23,AG23,AH23,AI23,AJ23,AK23,AL23)</f>
        <v>+2 soc def, +1 charisma</v>
      </c>
      <c r="AN23" s="101" t="str">
        <f>CHOOSE(CharGenMain!$C$213,X23,Y23,Z23,AA23,AB23,AC23,AD23,AE23,AF23,AG23,AH23,AI23,AJ23,AK23,AL23)</f>
        <v>+1 soc def</v>
      </c>
      <c r="AO23" s="101" t="str">
        <f>CHOOSE(CharGenMain!$C$214,X23,Y23,Z23,AA23,AB23,AC23,AD23,AE23,AF23,AG23,AH23,AI23,AJ23,AK23,AL23)</f>
        <v>+1 soc def</v>
      </c>
      <c r="AP23" s="101" t="str">
        <f>CHOOSE(CharGenMain!$C$215,X23,Y23,Z23,AA23,AB23,AC23,AD23,AE23,AF23,AG23,AH23,AI23,AJ23,AK23,AL23)</f>
        <v>+1 soc def, +1 charisma</v>
      </c>
      <c r="AQ23" s="101">
        <f>CHOOSE(CharGenMain!$C$216,X23,Y23,Z23,AA23,AB23,AC23,AD23,AE23,AF23,AG23,AH23,AI23,AJ23,AK23,AL23)</f>
        <v>0</v>
      </c>
      <c r="AR23" s="101" t="str">
        <f>CHOOSE(CharGenMain!$C$217,X23,Y23,Z23,AA23,AB23,AC23,AD23,AE23,AF23,AG23,AH23,AI23,AJ23,AK23,AL23)</f>
        <v>Thread Max Exceeded</v>
      </c>
      <c r="AS23" s="101" t="e">
        <f>CHOOSE(CharGenMain!$C$218,X23,Y23,Z23,AA23,AB23,AC23,AD23,AE23,AF23,AG23,AH23,AI23,AJ23,AK23,AL23)</f>
        <v>#VALUE!</v>
      </c>
      <c r="AT23" s="101" t="e">
        <f>CHOOSE(CharGenMain!$C$219,X23,Y23,Z23,AA23,AB23,AC23,AD23,AE23,AF23,AG23,AH23,AI23,AJ23,AK23,AL23)</f>
        <v>#VALUE!</v>
      </c>
      <c r="AU23" s="101" t="e">
        <f>CHOOSE(CharGenMain!$C$220,X23,Y23,Z23,AA23,AB23,AC23,AD23,AE23,AF23,AG23,AH23,AI23,AJ23,AK23,AL23)</f>
        <v>#VALUE!</v>
      </c>
      <c r="AV23" s="101" t="e">
        <f>CHOOSE(CharGenMain!$C$221,X23,Y23,Z23,AA23,AB23,AC23,AD23,AE23,AF23,AG23,AH23,AI23,AJ23,AK23,AL23)</f>
        <v>#VALUE!</v>
      </c>
      <c r="AW23" s="101" t="e">
        <f>CHOOSE(CharGenMain!$C$222,X23,Y23,Z23,AA23,AB23,AC23,AD23,AE23,AF23,AG23,AH23,AI23,AJ23,AK23,AL23)</f>
        <v>#VALUE!</v>
      </c>
      <c r="AX23" s="101" t="e">
        <f>CHOOSE(CharGenMain!$C$223,X23,Y23,Z23,AA23,AB23,AC23,AD23,AE23,AF23,AG23,AH23,AI23,AJ23,AK23,AL23)</f>
        <v>#VALUE!</v>
      </c>
      <c r="AY23" s="101" t="e">
        <f>CHOOSE(CharGenMain!$C$224,X23,Y23,Z23,AA23,AB23,AC23,AD23,AE23,AF23,AG23,AH23,AI23,AJ23,AK23,AL23)</f>
        <v>#VALUE!</v>
      </c>
      <c r="AZ23" s="101" t="e">
        <f>CHOOSE(CharGenMain!$C$225,X23,Y23,Z23,AA23,AB23,AC23,AD23,AE23,AF23,AG23,AH23,AI23,AJ23,AK23,AL23)</f>
        <v>#VALUE!</v>
      </c>
      <c r="BA23" s="271" t="e">
        <f>CHOOSE(CharGenMain!$C$226,X23,Y23,Z23,AA23,AB23,AC23,AD23,AE23,AF23,AG23,AH23,AI23,AJ23,AK23,AL23)</f>
        <v>#VALUE!</v>
      </c>
    </row>
    <row r="24" spans="1:104">
      <c r="A24" s="20" t="s">
        <v>2442</v>
      </c>
      <c r="B24" s="14" t="s">
        <v>2443</v>
      </c>
      <c r="C24" s="14" t="s">
        <v>5219</v>
      </c>
      <c r="D24" s="45" t="s">
        <v>2444</v>
      </c>
      <c r="F24" s="20" t="s">
        <v>2445</v>
      </c>
      <c r="G24" s="14" t="s">
        <v>2181</v>
      </c>
      <c r="H24" s="14" t="s">
        <v>5323</v>
      </c>
      <c r="I24" s="14">
        <v>3</v>
      </c>
      <c r="J24" s="14">
        <v>1</v>
      </c>
      <c r="K24" s="188" t="s">
        <v>2017</v>
      </c>
      <c r="M24" s="20" t="s">
        <v>2510</v>
      </c>
      <c r="N24" s="14" t="s">
        <v>2292</v>
      </c>
      <c r="O24" s="14" t="s">
        <v>2501</v>
      </c>
      <c r="P24" s="45" t="s">
        <v>2511</v>
      </c>
      <c r="R24" s="20" t="s">
        <v>2296</v>
      </c>
      <c r="S24" s="14" t="s">
        <v>2289</v>
      </c>
      <c r="T24" s="14" t="s">
        <v>2279</v>
      </c>
      <c r="U24" s="14">
        <v>2</v>
      </c>
      <c r="V24" s="14">
        <v>5</v>
      </c>
      <c r="W24" s="106">
        <v>10</v>
      </c>
      <c r="X24" s="206" t="s">
        <v>2239</v>
      </c>
      <c r="Y24" s="206" t="s">
        <v>2290</v>
      </c>
      <c r="Z24" s="206" t="s">
        <v>2291</v>
      </c>
      <c r="AA24" s="206" t="s">
        <v>2420</v>
      </c>
      <c r="AB24" s="206" t="s">
        <v>2298</v>
      </c>
      <c r="AC24" s="87" t="s">
        <v>2997</v>
      </c>
      <c r="AD24" s="87" t="s">
        <v>2997</v>
      </c>
      <c r="AE24" s="87" t="s">
        <v>2997</v>
      </c>
      <c r="AF24" s="87" t="s">
        <v>2997</v>
      </c>
      <c r="AG24" s="87" t="s">
        <v>2997</v>
      </c>
      <c r="AH24" s="87" t="s">
        <v>2997</v>
      </c>
      <c r="AI24" s="87" t="s">
        <v>2997</v>
      </c>
      <c r="AJ24" s="87" t="s">
        <v>2997</v>
      </c>
      <c r="AK24" s="87" t="s">
        <v>2997</v>
      </c>
      <c r="AL24" s="87" t="s">
        <v>2997</v>
      </c>
      <c r="AM24" s="101" t="str">
        <f>CHOOSE(CharGenMain!$C$212,X24,Y24,Z24,AA24,AB24,AC24,AD24,AE24,AF24,AG24,AH24,AI24,AJ24,AK24,AL24)</f>
        <v>+2 phys def, +2 melee damage, +2 mystic</v>
      </c>
      <c r="AN24" s="101" t="str">
        <f>CHOOSE(CharGenMain!$C$213,X24,Y24,Z24,AA24,AB24,AC24,AD24,AE24,AF24,AG24,AH24,AI24,AJ24,AK24,AL24)</f>
        <v>+2 phys def</v>
      </c>
      <c r="AO24" s="101" t="str">
        <f>CHOOSE(CharGenMain!$C$214,X24,Y24,Z24,AA24,AB24,AC24,AD24,AE24,AF24,AG24,AH24,AI24,AJ24,AK24,AL24)</f>
        <v>+2 phys def</v>
      </c>
      <c r="AP24" s="101" t="str">
        <f>CHOOSE(CharGenMain!$C$215,X24,Y24,Z24,AA24,AB24,AC24,AD24,AE24,AF24,AG24,AH24,AI24,AJ24,AK24,AL24)</f>
        <v>+2 phys def, +1 melee damage</v>
      </c>
      <c r="AQ24" s="101" t="str">
        <f>CHOOSE(CharGenMain!$C$216,X24,Y24,Z24,AA24,AB24,AC24,AD24,AE24,AF24,AG24,AH24,AI24,AJ24,AK24,AL24)</f>
        <v>+2 phys def, +2 melee damage, +2 mystic, +1 recovery daily</v>
      </c>
      <c r="AR24" s="101" t="str">
        <f>CHOOSE(CharGenMain!$C$217,X24,Y24,Z24,AA24,AB24,AC24,AD24,AE24,AF24,AG24,AH24,AI24,AJ24,AK24,AL24)</f>
        <v>+2 phys def, +3 melee damage, +2 mystic, +1 recovery daily</v>
      </c>
      <c r="AS24" s="101" t="e">
        <f>CHOOSE(CharGenMain!$C$218,X24,Y24,Z24,AA24,AB24,AC24,AD24,AE24,AF24,AG24,AH24,AI24,AJ24,AK24,AL24)</f>
        <v>#VALUE!</v>
      </c>
      <c r="AT24" s="101" t="e">
        <f>CHOOSE(CharGenMain!$C$219,X24,Y24,Z24,AA24,AB24,AC24,AD24,AE24,AF24,AG24,AH24,AI24,AJ24,AK24,AL24)</f>
        <v>#VALUE!</v>
      </c>
      <c r="AU24" s="101" t="e">
        <f>CHOOSE(CharGenMain!$C$220,X24,Y24,Z24,AA24,AB24,AC24,AD24,AE24,AF24,AG24,AH24,AI24,AJ24,AK24,AL24)</f>
        <v>#VALUE!</v>
      </c>
      <c r="AV24" s="101" t="e">
        <f>CHOOSE(CharGenMain!$C$221,X24,Y24,Z24,AA24,AB24,AC24,AD24,AE24,AF24,AG24,AH24,AI24,AJ24,AK24,AL24)</f>
        <v>#VALUE!</v>
      </c>
      <c r="AW24" s="101" t="e">
        <f>CHOOSE(CharGenMain!$C$222,X24,Y24,Z24,AA24,AB24,AC24,AD24,AE24,AF24,AG24,AH24,AI24,AJ24,AK24,AL24)</f>
        <v>#VALUE!</v>
      </c>
      <c r="AX24" s="101" t="e">
        <f>CHOOSE(CharGenMain!$C$223,X24,Y24,Z24,AA24,AB24,AC24,AD24,AE24,AF24,AG24,AH24,AI24,AJ24,AK24,AL24)</f>
        <v>#VALUE!</v>
      </c>
      <c r="AY24" s="101" t="e">
        <f>CHOOSE(CharGenMain!$C$224,X24,Y24,Z24,AA24,AB24,AC24,AD24,AE24,AF24,AG24,AH24,AI24,AJ24,AK24,AL24)</f>
        <v>#VALUE!</v>
      </c>
      <c r="AZ24" s="101" t="e">
        <f>CHOOSE(CharGenMain!$C$225,X24,Y24,Z24,AA24,AB24,AC24,AD24,AE24,AF24,AG24,AH24,AI24,AJ24,AK24,AL24)</f>
        <v>#VALUE!</v>
      </c>
      <c r="BA24" s="271" t="e">
        <f>CHOOSE(CharGenMain!$C$226,X24,Y24,Z24,AA24,AB24,AC24,AD24,AE24,AF24,AG24,AH24,AI24,AJ24,AK24,AL24)</f>
        <v>#VALUE!</v>
      </c>
    </row>
    <row r="25" spans="1:104">
      <c r="A25" s="20" t="s">
        <v>2135</v>
      </c>
      <c r="B25" s="14" t="s">
        <v>2136</v>
      </c>
      <c r="C25" s="14" t="s">
        <v>2223</v>
      </c>
      <c r="D25" s="45" t="s">
        <v>2137</v>
      </c>
      <c r="F25" s="20" t="s">
        <v>2138</v>
      </c>
      <c r="G25" s="14" t="s">
        <v>2181</v>
      </c>
      <c r="H25" s="14" t="s">
        <v>5323</v>
      </c>
      <c r="I25" s="14">
        <v>2</v>
      </c>
      <c r="J25" s="14">
        <v>1</v>
      </c>
      <c r="K25" s="188" t="s">
        <v>2241</v>
      </c>
      <c r="M25" s="20" t="s">
        <v>2081</v>
      </c>
      <c r="N25" s="14" t="s">
        <v>2292</v>
      </c>
      <c r="O25" s="14" t="s">
        <v>2501</v>
      </c>
      <c r="P25" s="45" t="s">
        <v>2184</v>
      </c>
      <c r="R25" s="205" t="s">
        <v>2204</v>
      </c>
      <c r="S25" s="167" t="s">
        <v>2205</v>
      </c>
      <c r="T25" s="14" t="s">
        <v>2279</v>
      </c>
      <c r="U25" s="14">
        <v>2</v>
      </c>
      <c r="V25" s="14">
        <v>7</v>
      </c>
      <c r="W25" s="14">
        <v>14</v>
      </c>
      <c r="X25" s="168" t="s">
        <v>2206</v>
      </c>
      <c r="Y25" s="168" t="s">
        <v>2431</v>
      </c>
      <c r="Z25" s="168" t="s">
        <v>2302</v>
      </c>
      <c r="AA25" s="168" t="s">
        <v>2303</v>
      </c>
      <c r="AB25" s="168" t="s">
        <v>2308</v>
      </c>
      <c r="AC25" s="168" t="s">
        <v>2440</v>
      </c>
      <c r="AD25" s="168" t="s">
        <v>2441</v>
      </c>
      <c r="AE25" s="87" t="s">
        <v>2997</v>
      </c>
      <c r="AF25" s="87" t="s">
        <v>2997</v>
      </c>
      <c r="AG25" s="87" t="s">
        <v>2997</v>
      </c>
      <c r="AH25" s="87" t="s">
        <v>2997</v>
      </c>
      <c r="AI25" s="87" t="s">
        <v>2997</v>
      </c>
      <c r="AJ25" s="87" t="s">
        <v>2997</v>
      </c>
      <c r="AK25" s="87" t="s">
        <v>2997</v>
      </c>
      <c r="AL25" s="87" t="s">
        <v>2997</v>
      </c>
      <c r="AM25" s="101" t="str">
        <f>CHOOSE(CharGenMain!$C$212,X25,Y25,Z25,AA25,AB25,AC25,AD25,AE25,AF25,AG25,AH25,AI25,AJ25,AK25,AL25)</f>
        <v>Records telepathic dictation, produces own ink which can be invisible</v>
      </c>
      <c r="AN25" s="101" t="str">
        <f>CHOOSE(CharGenMain!$C$213,X25,Y25,Z25,AA25,AB25,AC25,AD25,AE25,AF25,AG25,AH25,AI25,AJ25,AK25,AL25)</f>
        <v>Records dictation</v>
      </c>
      <c r="AO25" s="101" t="str">
        <f>CHOOSE(CharGenMain!$C$214,X25,Y25,Z25,AA25,AB25,AC25,AD25,AE25,AF25,AG25,AH25,AI25,AJ25,AK25,AL25)</f>
        <v>Records dictation</v>
      </c>
      <c r="AP25" s="101" t="str">
        <f>CHOOSE(CharGenMain!$C$215,X25,Y25,Z25,AA25,AB25,AC25,AD25,AE25,AF25,AG25,AH25,AI25,AJ25,AK25,AL25)</f>
        <v>Records telepathic dictation</v>
      </c>
      <c r="AQ25" s="101" t="str">
        <f>CHOOSE(CharGenMain!$C$216,X25,Y25,Z25,AA25,AB25,AC25,AD25,AE25,AF25,AG25,AH25,AI25,AJ25,AK25,AL25)</f>
        <v>Write location within 10 miles and teleport, records telepathic dictation, produces own ink which can be invisible</v>
      </c>
      <c r="AR25" s="101" t="str">
        <f>CHOOSE(CharGenMain!$C$217,X25,Y25,Z25,AA25,AB25,AC25,AD25,AE25,AF25,AG25,AH25,AI25,AJ25,AK25,AL25)</f>
        <v>Write location within 50 miles and teleport, records telepathic dictation, produces own ink which can be invisible</v>
      </c>
      <c r="AS25" s="101" t="e">
        <f>CHOOSE(CharGenMain!$C$218,X25,Y25,Z25,AA25,AB25,AC25,AD25,AE25,AF25,AG25,AH25,AI25,AJ25,AK25,AL25)</f>
        <v>#VALUE!</v>
      </c>
      <c r="AT25" s="101" t="e">
        <f>CHOOSE(CharGenMain!$C$219,X25,Y25,Z25,AA25,AB25,AC25,AD25,AE25,AF25,AG25,AH25,AI25,AJ25,AK25,AL25)</f>
        <v>#VALUE!</v>
      </c>
      <c r="AU25" s="101" t="e">
        <f>CHOOSE(CharGenMain!$C$220,X25,Y25,Z25,AA25,AB25,AC25,AD25,AE25,AF25,AG25,AH25,AI25,AJ25,AK25,AL25)</f>
        <v>#VALUE!</v>
      </c>
      <c r="AV25" s="101" t="e">
        <f>CHOOSE(CharGenMain!$C$221,X25,Y25,Z25,AA25,AB25,AC25,AD25,AE25,AF25,AG25,AH25,AI25,AJ25,AK25,AL25)</f>
        <v>#VALUE!</v>
      </c>
      <c r="AW25" s="101" t="e">
        <f>CHOOSE(CharGenMain!$C$222,X25,Y25,Z25,AA25,AB25,AC25,AD25,AE25,AF25,AG25,AH25,AI25,AJ25,AK25,AL25)</f>
        <v>#VALUE!</v>
      </c>
      <c r="AX25" s="101" t="e">
        <f>CHOOSE(CharGenMain!$C$223,X25,Y25,Z25,AA25,AB25,AC25,AD25,AE25,AF25,AG25,AH25,AI25,AJ25,AK25,AL25)</f>
        <v>#VALUE!</v>
      </c>
      <c r="AY25" s="101" t="e">
        <f>CHOOSE(CharGenMain!$C$224,X25,Y25,Z25,AA25,AB25,AC25,AD25,AE25,AF25,AG25,AH25,AI25,AJ25,AK25,AL25)</f>
        <v>#VALUE!</v>
      </c>
      <c r="AZ25" s="101" t="e">
        <f>CHOOSE(CharGenMain!$C$225,X25,Y25,Z25,AA25,AB25,AC25,AD25,AE25,AF25,AG25,AH25,AI25,AJ25,AK25,AL25)</f>
        <v>#VALUE!</v>
      </c>
      <c r="BA25" s="271" t="e">
        <f>CHOOSE(CharGenMain!$C$226,X25,Y25,Z25,AA25,AB25,AC25,AD25,AE25,AF25,AG25,AH25,AI25,AJ25,AK25,AL25)</f>
        <v>#VALUE!</v>
      </c>
    </row>
    <row r="26" spans="1:104">
      <c r="A26" s="20" t="s">
        <v>2153</v>
      </c>
      <c r="B26" s="14" t="s">
        <v>2136</v>
      </c>
      <c r="C26" s="14" t="s">
        <v>2223</v>
      </c>
      <c r="D26" s="45" t="s">
        <v>2137</v>
      </c>
      <c r="F26" s="20" t="s">
        <v>2154</v>
      </c>
      <c r="G26" s="14" t="s">
        <v>47</v>
      </c>
      <c r="H26" s="14" t="s">
        <v>5323</v>
      </c>
      <c r="I26" s="14">
        <v>3</v>
      </c>
      <c r="J26" s="14">
        <v>1</v>
      </c>
      <c r="K26" s="188" t="s">
        <v>2258</v>
      </c>
      <c r="M26" s="20" t="s">
        <v>48</v>
      </c>
      <c r="N26" s="14" t="s">
        <v>122</v>
      </c>
      <c r="O26" s="14" t="s">
        <v>123</v>
      </c>
      <c r="P26" s="45" t="s">
        <v>49</v>
      </c>
      <c r="R26" s="226" t="s">
        <v>2020</v>
      </c>
      <c r="S26" s="14" t="s">
        <v>2021</v>
      </c>
      <c r="T26" s="14" t="s">
        <v>2223</v>
      </c>
      <c r="U26" s="14">
        <v>2</v>
      </c>
      <c r="V26" s="14">
        <v>7</v>
      </c>
      <c r="W26" s="14">
        <v>12</v>
      </c>
      <c r="X26" s="87" t="s">
        <v>2022</v>
      </c>
      <c r="Y26" s="206" t="s">
        <v>2124</v>
      </c>
      <c r="Z26" s="206" t="s">
        <v>2125</v>
      </c>
      <c r="AA26" s="206" t="s">
        <v>2126</v>
      </c>
      <c r="AB26" s="206" t="s">
        <v>2133</v>
      </c>
      <c r="AC26" s="206" t="s">
        <v>2134</v>
      </c>
      <c r="AD26" s="206" t="s">
        <v>2134</v>
      </c>
      <c r="AE26" s="87" t="s">
        <v>2997</v>
      </c>
      <c r="AF26" s="87" t="s">
        <v>2997</v>
      </c>
      <c r="AG26" s="87" t="s">
        <v>2997</v>
      </c>
      <c r="AH26" s="87" t="s">
        <v>2997</v>
      </c>
      <c r="AI26" s="87" t="s">
        <v>2997</v>
      </c>
      <c r="AJ26" s="87" t="s">
        <v>2997</v>
      </c>
      <c r="AK26" s="87" t="s">
        <v>2997</v>
      </c>
      <c r="AL26" s="87" t="s">
        <v>2997</v>
      </c>
      <c r="AM26" s="101" t="str">
        <f>CHOOSE(CharGenMain!$C$212,X26,Y26,Z26,AA26,AB26,AC26,AD26,AE26,AF26,AG26,AH26,AI26,AJ26,AK26,AL26)</f>
        <v>+6 step free recovery test daily, see text</v>
      </c>
      <c r="AN26" s="101" t="str">
        <f>CHOOSE(CharGenMain!$C$213,X26,Y26,Z26,AA26,AB26,AC26,AD26,AE26,AF26,AG26,AH26,AI26,AJ26,AK26,AL26)</f>
        <v>free recovery test daily</v>
      </c>
      <c r="AO26" s="101" t="str">
        <f>CHOOSE(CharGenMain!$C$214,X26,Y26,Z26,AA26,AB26,AC26,AD26,AE26,AF26,AG26,AH26,AI26,AJ26,AK26,AL26)</f>
        <v>free recovery test daily</v>
      </c>
      <c r="AP26" s="101" t="str">
        <f>CHOOSE(CharGenMain!$C$215,X26,Y26,Z26,AA26,AB26,AC26,AD26,AE26,AF26,AG26,AH26,AI26,AJ26,AK26,AL26)</f>
        <v>+3 step free recovery test daily</v>
      </c>
      <c r="AQ26" s="101" t="str">
        <f>CHOOSE(CharGenMain!$C$216,X26,Y26,Z26,AA26,AB26,AC26,AD26,AE26,AF26,AG26,AH26,AI26,AJ26,AK26,AL26)</f>
        <v>+9 step free recovery test daily, see text</v>
      </c>
      <c r="AR26" s="101" t="str">
        <f>CHOOSE(CharGenMain!$C$217,X26,Y26,Z26,AA26,AB26,AC26,AD26,AE26,AF26,AG26,AH26,AI26,AJ26,AK26,AL26)</f>
        <v>+10 step free recovery test daily, see text</v>
      </c>
      <c r="AS26" s="101" t="e">
        <f>CHOOSE(CharGenMain!$C$218,X26,Y26,Z26,AA26,AB26,AC26,AD26,AE26,AF26,AG26,AH26,AI26,AJ26,AK26,AL26)</f>
        <v>#VALUE!</v>
      </c>
      <c r="AT26" s="101" t="e">
        <f>CHOOSE(CharGenMain!$C$219,X26,Y26,Z26,AA26,AB26,AC26,AD26,AE26,AF26,AG26,AH26,AI26,AJ26,AK26,AL26)</f>
        <v>#VALUE!</v>
      </c>
      <c r="AU26" s="101" t="e">
        <f>CHOOSE(CharGenMain!$C$220,X26,Y26,Z26,AA26,AB26,AC26,AD26,AE26,AF26,AG26,AH26,AI26,AJ26,AK26,AL26)</f>
        <v>#VALUE!</v>
      </c>
      <c r="AV26" s="101" t="e">
        <f>CHOOSE(CharGenMain!$C$221,X26,Y26,Z26,AA26,AB26,AC26,AD26,AE26,AF26,AG26,AH26,AI26,AJ26,AK26,AL26)</f>
        <v>#VALUE!</v>
      </c>
      <c r="AW26" s="101" t="e">
        <f>CHOOSE(CharGenMain!$C$222,X26,Y26,Z26,AA26,AB26,AC26,AD26,AE26,AF26,AG26,AH26,AI26,AJ26,AK26,AL26)</f>
        <v>#VALUE!</v>
      </c>
      <c r="AX26" s="101" t="e">
        <f>CHOOSE(CharGenMain!$C$223,X26,Y26,Z26,AA26,AB26,AC26,AD26,AE26,AF26,AG26,AH26,AI26,AJ26,AK26,AL26)</f>
        <v>#VALUE!</v>
      </c>
      <c r="AY26" s="101" t="e">
        <f>CHOOSE(CharGenMain!$C$224,X26,Y26,Z26,AA26,AB26,AC26,AD26,AE26,AF26,AG26,AH26,AI26,AJ26,AK26,AL26)</f>
        <v>#VALUE!</v>
      </c>
      <c r="AZ26" s="101" t="e">
        <f>CHOOSE(CharGenMain!$C$225,X26,Y26,Z26,AA26,AB26,AC26,AD26,AE26,AF26,AG26,AH26,AI26,AJ26,AK26,AL26)</f>
        <v>#VALUE!</v>
      </c>
      <c r="BA26" s="271" t="e">
        <f>CHOOSE(CharGenMain!$C$226,X26,Y26,Z26,AA26,AB26,AC26,AD26,AE26,AF26,AG26,AH26,AI26,AJ26,AK26,AL26)</f>
        <v>#VALUE!</v>
      </c>
    </row>
    <row r="27" spans="1:104">
      <c r="A27" s="20" t="s">
        <v>2253</v>
      </c>
      <c r="B27" s="14" t="s">
        <v>2225</v>
      </c>
      <c r="C27" s="14" t="s">
        <v>5219</v>
      </c>
      <c r="D27" s="186" t="s">
        <v>2374</v>
      </c>
      <c r="F27" s="20" t="s">
        <v>2375</v>
      </c>
      <c r="G27" s="14" t="s">
        <v>2376</v>
      </c>
      <c r="H27" s="14" t="s">
        <v>5323</v>
      </c>
      <c r="I27" s="14">
        <v>1</v>
      </c>
      <c r="J27" s="14">
        <v>1</v>
      </c>
      <c r="K27" s="188" t="s">
        <v>2377</v>
      </c>
      <c r="M27" s="20" t="s">
        <v>5140</v>
      </c>
      <c r="N27" s="14" t="s">
        <v>2292</v>
      </c>
      <c r="O27" s="14" t="s">
        <v>2501</v>
      </c>
      <c r="P27" s="45" t="s">
        <v>2295</v>
      </c>
      <c r="R27" s="20" t="s">
        <v>2351</v>
      </c>
      <c r="S27" s="14" t="s">
        <v>2352</v>
      </c>
      <c r="T27" s="14" t="s">
        <v>2279</v>
      </c>
      <c r="U27" s="14">
        <v>2</v>
      </c>
      <c r="V27" s="14">
        <v>8</v>
      </c>
      <c r="W27" s="14">
        <v>13</v>
      </c>
      <c r="X27" s="87" t="s">
        <v>2353</v>
      </c>
      <c r="Y27" s="87" t="s">
        <v>2354</v>
      </c>
      <c r="Z27" s="87" t="s">
        <v>2243</v>
      </c>
      <c r="AA27" s="87" t="s">
        <v>2244</v>
      </c>
      <c r="AB27" s="87" t="s">
        <v>2245</v>
      </c>
      <c r="AC27" s="87" t="s">
        <v>2151</v>
      </c>
      <c r="AD27" s="87" t="s">
        <v>2151</v>
      </c>
      <c r="AE27" s="87" t="s">
        <v>2152</v>
      </c>
      <c r="AF27" s="87" t="s">
        <v>2997</v>
      </c>
      <c r="AG27" s="87" t="s">
        <v>2997</v>
      </c>
      <c r="AH27" s="87" t="s">
        <v>2997</v>
      </c>
      <c r="AI27" s="87" t="s">
        <v>2997</v>
      </c>
      <c r="AJ27" s="87" t="s">
        <v>2997</v>
      </c>
      <c r="AK27" s="87" t="s">
        <v>2997</v>
      </c>
      <c r="AL27" s="87" t="s">
        <v>2997</v>
      </c>
      <c r="AM27" s="101" t="str">
        <f>CHOOSE(CharGenMain!$C$212,X27,Y27,Z27,AA27,AB27,AC27,AD27,AE27,AF27,AG27,AH27,AI27,AJ27,AK27,AL27)</f>
        <v>mesmerizes viewers, +1 soc def, +1 char step</v>
      </c>
      <c r="AN27" s="101" t="str">
        <f>CHOOSE(CharGenMain!$C$213,X27,Y27,Z27,AA27,AB27,AC27,AD27,AE27,AF27,AG27,AH27,AI27,AJ27,AK27,AL27)</f>
        <v>mesmerizes viewers</v>
      </c>
      <c r="AO27" s="101" t="str">
        <f>CHOOSE(CharGenMain!$C$214,X27,Y27,Z27,AA27,AB27,AC27,AD27,AE27,AF27,AG27,AH27,AI27,AJ27,AK27,AL27)</f>
        <v>mesmerizes viewers</v>
      </c>
      <c r="AP27" s="101" t="str">
        <f>CHOOSE(CharGenMain!$C$215,X27,Y27,Z27,AA27,AB27,AC27,AD27,AE27,AF27,AG27,AH27,AI27,AJ27,AK27,AL27)</f>
        <v>mesmerizes viewers, +1 soc def</v>
      </c>
      <c r="AQ27" s="101" t="str">
        <f>CHOOSE(CharGenMain!$C$216,X27,Y27,Z27,AA27,AB27,AC27,AD27,AE27,AF27,AG27,AH27,AI27,AJ27,AK27,AL27)</f>
        <v>mesmerizes viewers, +2 soc def, +2 char step</v>
      </c>
      <c r="AR27" s="101" t="str">
        <f>CHOOSE(CharGenMain!$C$217,X27,Y27,Z27,AA27,AB27,AC27,AD27,AE27,AF27,AG27,AH27,AI27,AJ27,AK27,AL27)</f>
        <v>improved mesmerizes viewers, +2 soc def, +2 char step</v>
      </c>
      <c r="AS27" s="101" t="e">
        <f>CHOOSE(CharGenMain!$C$218,X27,Y27,Z27,AA27,AB27,AC27,AD27,AE27,AF27,AG27,AH27,AI27,AJ27,AK27,AL27)</f>
        <v>#VALUE!</v>
      </c>
      <c r="AT27" s="101" t="e">
        <f>CHOOSE(CharGenMain!$C$219,X27,Y27,Z27,AA27,AB27,AC27,AD27,AE27,AF27,AG27,AH27,AI27,AJ27,AK27,AL27)</f>
        <v>#VALUE!</v>
      </c>
      <c r="AU27" s="101" t="e">
        <f>CHOOSE(CharGenMain!$C$220,X27,Y27,Z27,AA27,AB27,AC27,AD27,AE27,AF27,AG27,AH27,AI27,AJ27,AK27,AL27)</f>
        <v>#VALUE!</v>
      </c>
      <c r="AV27" s="101" t="e">
        <f>CHOOSE(CharGenMain!$C$221,X27,Y27,Z27,AA27,AB27,AC27,AD27,AE27,AF27,AG27,AH27,AI27,AJ27,AK27,AL27)</f>
        <v>#VALUE!</v>
      </c>
      <c r="AW27" s="101" t="e">
        <f>CHOOSE(CharGenMain!$C$222,X27,Y27,Z27,AA27,AB27,AC27,AD27,AE27,AF27,AG27,AH27,AI27,AJ27,AK27,AL27)</f>
        <v>#VALUE!</v>
      </c>
      <c r="AX27" s="101" t="e">
        <f>CHOOSE(CharGenMain!$C$223,X27,Y27,Z27,AA27,AB27,AC27,AD27,AE27,AF27,AG27,AH27,AI27,AJ27,AK27,AL27)</f>
        <v>#VALUE!</v>
      </c>
      <c r="AY27" s="101" t="e">
        <f>CHOOSE(CharGenMain!$C$224,X27,Y27,Z27,AA27,AB27,AC27,AD27,AE27,AF27,AG27,AH27,AI27,AJ27,AK27,AL27)</f>
        <v>#VALUE!</v>
      </c>
      <c r="AZ27" s="101" t="e">
        <f>CHOOSE(CharGenMain!$C$225,X27,Y27,Z27,AA27,AB27,AC27,AD27,AE27,AF27,AG27,AH27,AI27,AJ27,AK27,AL27)</f>
        <v>#VALUE!</v>
      </c>
      <c r="BA27" s="271" t="e">
        <f>CHOOSE(CharGenMain!$C$226,X27,Y27,Z27,AA27,AB27,AC27,AD27,AE27,AF27,AG27,AH27,AI27,AJ27,AK27,AL27)</f>
        <v>#VALUE!</v>
      </c>
    </row>
    <row r="28" spans="1:104">
      <c r="A28" s="20" t="s">
        <v>2163</v>
      </c>
      <c r="B28" s="14" t="s">
        <v>2225</v>
      </c>
      <c r="C28" s="14" t="s">
        <v>5219</v>
      </c>
      <c r="D28" s="45" t="s">
        <v>1968</v>
      </c>
      <c r="F28" s="20" t="s">
        <v>1969</v>
      </c>
      <c r="G28" s="14" t="s">
        <v>2376</v>
      </c>
      <c r="H28" s="14" t="s">
        <v>5323</v>
      </c>
      <c r="I28" s="14">
        <v>1</v>
      </c>
      <c r="J28" s="14">
        <v>2</v>
      </c>
      <c r="K28" s="188" t="s">
        <v>2661</v>
      </c>
      <c r="M28" s="20" t="s">
        <v>2201</v>
      </c>
      <c r="N28" s="14" t="s">
        <v>2202</v>
      </c>
      <c r="O28" s="14" t="s">
        <v>2501</v>
      </c>
      <c r="P28" s="45" t="s">
        <v>2203</v>
      </c>
      <c r="R28" s="226" t="s">
        <v>2255</v>
      </c>
      <c r="S28" s="14" t="s">
        <v>3576</v>
      </c>
      <c r="T28" s="14" t="s">
        <v>2223</v>
      </c>
      <c r="U28" s="14">
        <v>3</v>
      </c>
      <c r="V28" s="14">
        <v>5</v>
      </c>
      <c r="W28" s="106">
        <v>12</v>
      </c>
      <c r="X28" s="206" t="s">
        <v>2248</v>
      </c>
      <c r="Y28" s="206" t="s">
        <v>2249</v>
      </c>
      <c r="Z28" s="206" t="s">
        <v>2250</v>
      </c>
      <c r="AA28" s="206" t="s">
        <v>2251</v>
      </c>
      <c r="AB28" s="206" t="s">
        <v>2252</v>
      </c>
      <c r="AC28" s="87" t="s">
        <v>2997</v>
      </c>
      <c r="AD28" s="87" t="s">
        <v>2997</v>
      </c>
      <c r="AE28" s="87" t="s">
        <v>2997</v>
      </c>
      <c r="AF28" s="87" t="s">
        <v>2997</v>
      </c>
      <c r="AG28" s="87" t="s">
        <v>2997</v>
      </c>
      <c r="AH28" s="87" t="s">
        <v>2997</v>
      </c>
      <c r="AI28" s="87" t="s">
        <v>2997</v>
      </c>
      <c r="AJ28" s="87" t="s">
        <v>2997</v>
      </c>
      <c r="AK28" s="87" t="s">
        <v>2997</v>
      </c>
      <c r="AL28" s="87" t="s">
        <v>2997</v>
      </c>
      <c r="AM28" s="101" t="str">
        <f>CHOOSE(CharGenMain!$C$212,X28,Y28,Z28,AA28,AB28,AC28,AD28,AE28,AF28,AG28,AH28,AI28,AJ28,AK28,AL28)</f>
        <v>+5 to damage tests, wound threshold +1</v>
      </c>
      <c r="AN28" s="101" t="str">
        <f>CHOOSE(CharGenMain!$C$213,X28,Y28,Z28,AA28,AB28,AC28,AD28,AE28,AF28,AG28,AH28,AI28,AJ28,AK28,AL28)</f>
        <v>+4 to damage tests</v>
      </c>
      <c r="AO28" s="101" t="str">
        <f>CHOOSE(CharGenMain!$C$214,X28,Y28,Z28,AA28,AB28,AC28,AD28,AE28,AF28,AG28,AH28,AI28,AJ28,AK28,AL28)</f>
        <v>+4 to damage tests</v>
      </c>
      <c r="AP28" s="101" t="str">
        <f>CHOOSE(CharGenMain!$C$215,X28,Y28,Z28,AA28,AB28,AC28,AD28,AE28,AF28,AG28,AH28,AI28,AJ28,AK28,AL28)</f>
        <v>+5 to damage tests</v>
      </c>
      <c r="AQ28" s="101" t="str">
        <f>CHOOSE(CharGenMain!$C$216,X28,Y28,Z28,AA28,AB28,AC28,AD28,AE28,AF28,AG28,AH28,AI28,AJ28,AK28,AL28)</f>
        <v>+5 to damage tests, wound threshold +2</v>
      </c>
      <c r="AR28" s="101" t="str">
        <f>CHOOSE(CharGenMain!$C$217,X28,Y28,Z28,AA28,AB28,AC28,AD28,AE28,AF28,AG28,AH28,AI28,AJ28,AK28,AL28)</f>
        <v>+5 to damage tests, wound threshold +2, see text</v>
      </c>
      <c r="AS28" s="101" t="e">
        <f>CHOOSE(CharGenMain!$C$218,X28,Y28,Z28,AA28,AB28,AC28,AD28,AE28,AF28,AG28,AH28,AI28,AJ28,AK28,AL28)</f>
        <v>#VALUE!</v>
      </c>
      <c r="AT28" s="101" t="e">
        <f>CHOOSE(CharGenMain!$C$219,X28,Y28,Z28,AA28,AB28,AC28,AD28,AE28,AF28,AG28,AH28,AI28,AJ28,AK28,AL28)</f>
        <v>#VALUE!</v>
      </c>
      <c r="AU28" s="101" t="e">
        <f>CHOOSE(CharGenMain!$C$220,X28,Y28,Z28,AA28,AB28,AC28,AD28,AE28,AF28,AG28,AH28,AI28,AJ28,AK28,AL28)</f>
        <v>#VALUE!</v>
      </c>
      <c r="AV28" s="101" t="e">
        <f>CHOOSE(CharGenMain!$C$221,X28,Y28,Z28,AA28,AB28,AC28,AD28,AE28,AF28,AG28,AH28,AI28,AJ28,AK28,AL28)</f>
        <v>#VALUE!</v>
      </c>
      <c r="AW28" s="101" t="e">
        <f>CHOOSE(CharGenMain!$C$222,X28,Y28,Z28,AA28,AB28,AC28,AD28,AE28,AF28,AG28,AH28,AI28,AJ28,AK28,AL28)</f>
        <v>#VALUE!</v>
      </c>
      <c r="AX28" s="101" t="e">
        <f>CHOOSE(CharGenMain!$C$223,X28,Y28,Z28,AA28,AB28,AC28,AD28,AE28,AF28,AG28,AH28,AI28,AJ28,AK28,AL28)</f>
        <v>#VALUE!</v>
      </c>
      <c r="AY28" s="101" t="e">
        <f>CHOOSE(CharGenMain!$C$224,X28,Y28,Z28,AA28,AB28,AC28,AD28,AE28,AF28,AG28,AH28,AI28,AJ28,AK28,AL28)</f>
        <v>#VALUE!</v>
      </c>
      <c r="AZ28" s="101" t="e">
        <f>CHOOSE(CharGenMain!$C$225,X28,Y28,Z28,AA28,AB28,AC28,AD28,AE28,AF28,AG28,AH28,AI28,AJ28,AK28,AL28)</f>
        <v>#VALUE!</v>
      </c>
      <c r="BA28" s="271" t="e">
        <f>CHOOSE(CharGenMain!$C$226,X28,Y28,Z28,AA28,AB28,AC28,AD28,AE28,AF28,AG28,AH28,AI28,AJ28,AK28,AL28)</f>
        <v>#VALUE!</v>
      </c>
    </row>
    <row r="29" spans="1:104">
      <c r="A29" s="20" t="s">
        <v>2078</v>
      </c>
      <c r="B29" s="14" t="s">
        <v>2079</v>
      </c>
      <c r="C29" s="14" t="s">
        <v>5219</v>
      </c>
      <c r="D29" s="45" t="s">
        <v>2080</v>
      </c>
      <c r="F29" s="20" t="s">
        <v>2084</v>
      </c>
      <c r="G29" s="14" t="s">
        <v>2837</v>
      </c>
      <c r="H29" s="14" t="s">
        <v>5323</v>
      </c>
      <c r="I29" s="14">
        <v>2</v>
      </c>
      <c r="J29" s="14">
        <v>2</v>
      </c>
      <c r="K29" s="28" t="s">
        <v>2085</v>
      </c>
      <c r="M29" s="20" t="s">
        <v>2018</v>
      </c>
      <c r="N29" s="14" t="s">
        <v>2202</v>
      </c>
      <c r="O29" s="14" t="s">
        <v>2501</v>
      </c>
      <c r="P29" s="45" t="s">
        <v>2019</v>
      </c>
      <c r="R29" s="226" t="s">
        <v>2847</v>
      </c>
      <c r="S29" s="14" t="s">
        <v>2381</v>
      </c>
      <c r="T29" s="14" t="s">
        <v>2667</v>
      </c>
      <c r="U29" s="14">
        <v>2</v>
      </c>
      <c r="V29" s="14">
        <v>4</v>
      </c>
      <c r="W29" s="106">
        <v>13</v>
      </c>
      <c r="X29" s="206" t="s">
        <v>2269</v>
      </c>
      <c r="Y29" s="206" t="s">
        <v>2382</v>
      </c>
      <c r="Z29" s="206" t="s">
        <v>2383</v>
      </c>
      <c r="AA29" s="206" t="s">
        <v>2384</v>
      </c>
      <c r="AB29" s="87" t="s">
        <v>2997</v>
      </c>
      <c r="AC29" s="87" t="s">
        <v>2997</v>
      </c>
      <c r="AD29" s="87" t="s">
        <v>2997</v>
      </c>
      <c r="AE29" s="87" t="s">
        <v>2997</v>
      </c>
      <c r="AF29" s="87" t="s">
        <v>2997</v>
      </c>
      <c r="AG29" s="87" t="s">
        <v>2997</v>
      </c>
      <c r="AH29" s="87" t="s">
        <v>2997</v>
      </c>
      <c r="AI29" s="87" t="s">
        <v>2997</v>
      </c>
      <c r="AJ29" s="87" t="s">
        <v>2997</v>
      </c>
      <c r="AK29" s="87" t="s">
        <v>2997</v>
      </c>
      <c r="AL29" s="87" t="s">
        <v>2997</v>
      </c>
      <c r="AM29" s="101" t="str">
        <f>CHOOSE(CharGenMain!$C$212,X29,Y29,Z29,AA29,AB29,AC29,AD29,AE29,AF29,AG29,AH29,AI29,AJ29,AK29,AL29)</f>
        <v>+2 soc def, +1 armor</v>
      </c>
      <c r="AN29" s="101" t="str">
        <f>CHOOSE(CharGenMain!$C$213,X29,Y29,Z29,AA29,AB29,AC29,AD29,AE29,AF29,AG29,AH29,AI29,AJ29,AK29,AL29)</f>
        <v>+1 soc def</v>
      </c>
      <c r="AO29" s="101" t="str">
        <f>CHOOSE(CharGenMain!$C$214,X29,Y29,Z29,AA29,AB29,AC29,AD29,AE29,AF29,AG29,AH29,AI29,AJ29,AK29,AL29)</f>
        <v>+1 soc def</v>
      </c>
      <c r="AP29" s="101" t="str">
        <f>CHOOSE(CharGenMain!$C$215,X29,Y29,Z29,AA29,AB29,AC29,AD29,AE29,AF29,AG29,AH29,AI29,AJ29,AK29,AL29)</f>
        <v>+1 soc def, +1 armor</v>
      </c>
      <c r="AQ29" s="101" t="str">
        <f>CHOOSE(CharGenMain!$C$216,X29,Y29,Z29,AA29,AB29,AC29,AD29,AE29,AF29,AG29,AH29,AI29,AJ29,AK29,AL29)</f>
        <v>+2 soc def, +2 armor, +1 spell def</v>
      </c>
      <c r="AR29" s="101" t="str">
        <f>CHOOSE(CharGenMain!$C$217,X29,Y29,Z29,AA29,AB29,AC29,AD29,AE29,AF29,AG29,AH29,AI29,AJ29,AK29,AL29)</f>
        <v>Thread Max Exceeded</v>
      </c>
      <c r="AS29" s="101" t="e">
        <f>CHOOSE(CharGenMain!$C$218,X29,Y29,Z29,AA29,AB29,AC29,AD29,AE29,AF29,AG29,AH29,AI29,AJ29,AK29,AL29)</f>
        <v>#VALUE!</v>
      </c>
      <c r="AT29" s="101" t="e">
        <f>CHOOSE(CharGenMain!$C$219,X29,Y29,Z29,AA29,AB29,AC29,AD29,AE29,AF29,AG29,AH29,AI29,AJ29,AK29,AL29)</f>
        <v>#VALUE!</v>
      </c>
      <c r="AU29" s="101" t="e">
        <f>CHOOSE(CharGenMain!$C$220,X29,Y29,Z29,AA29,AB29,AC29,AD29,AE29,AF29,AG29,AH29,AI29,AJ29,AK29,AL29)</f>
        <v>#VALUE!</v>
      </c>
      <c r="AV29" s="101" t="e">
        <f>CHOOSE(CharGenMain!$C$221,X29,Y29,Z29,AA29,AB29,AC29,AD29,AE29,AF29,AG29,AH29,AI29,AJ29,AK29,AL29)</f>
        <v>#VALUE!</v>
      </c>
      <c r="AW29" s="101" t="e">
        <f>CHOOSE(CharGenMain!$C$222,X29,Y29,Z29,AA29,AB29,AC29,AD29,AE29,AF29,AG29,AH29,AI29,AJ29,AK29,AL29)</f>
        <v>#VALUE!</v>
      </c>
      <c r="AX29" s="101" t="e">
        <f>CHOOSE(CharGenMain!$C$223,X29,Y29,Z29,AA29,AB29,AC29,AD29,AE29,AF29,AG29,AH29,AI29,AJ29,AK29,AL29)</f>
        <v>#VALUE!</v>
      </c>
      <c r="AY29" s="101" t="e">
        <f>CHOOSE(CharGenMain!$C$224,X29,Y29,Z29,AA29,AB29,AC29,AD29,AE29,AF29,AG29,AH29,AI29,AJ29,AK29,AL29)</f>
        <v>#VALUE!</v>
      </c>
      <c r="AZ29" s="101" t="e">
        <f>CHOOSE(CharGenMain!$C$225,X29,Y29,Z29,AA29,AB29,AC29,AD29,AE29,AF29,AG29,AH29,AI29,AJ29,AK29,AL29)</f>
        <v>#VALUE!</v>
      </c>
      <c r="BA29" s="271" t="e">
        <f>CHOOSE(CharGenMain!$C$226,X29,Y29,Z29,AA29,AB29,AC29,AD29,AE29,AF29,AG29,AH29,AI29,AJ29,AK29,AL29)</f>
        <v>#VALUE!</v>
      </c>
    </row>
    <row r="30" spans="1:104">
      <c r="A30" s="20" t="s">
        <v>5568</v>
      </c>
      <c r="B30" s="14" t="s">
        <v>403</v>
      </c>
      <c r="C30" s="14" t="s">
        <v>5219</v>
      </c>
      <c r="D30" s="45" t="s">
        <v>5569</v>
      </c>
      <c r="F30" s="20" t="s">
        <v>2195</v>
      </c>
      <c r="G30" s="14" t="s">
        <v>2196</v>
      </c>
      <c r="H30" s="14" t="s">
        <v>5323</v>
      </c>
      <c r="I30" s="14">
        <v>2</v>
      </c>
      <c r="J30" s="14">
        <v>0</v>
      </c>
      <c r="K30" s="28" t="s">
        <v>2197</v>
      </c>
      <c r="M30" s="20" t="s">
        <v>2242</v>
      </c>
      <c r="N30" s="14" t="s">
        <v>2367</v>
      </c>
      <c r="O30" s="14" t="s">
        <v>2501</v>
      </c>
      <c r="P30" s="45" t="s">
        <v>2350</v>
      </c>
      <c r="R30" s="20" t="s">
        <v>1972</v>
      </c>
      <c r="S30" s="14" t="s">
        <v>2678</v>
      </c>
      <c r="T30" s="14" t="s">
        <v>2279</v>
      </c>
      <c r="U30" s="14">
        <v>1</v>
      </c>
      <c r="V30" s="14">
        <v>4</v>
      </c>
      <c r="W30" s="106">
        <v>10</v>
      </c>
      <c r="X30" s="206" t="s">
        <v>2269</v>
      </c>
      <c r="Y30" s="206" t="s">
        <v>1973</v>
      </c>
      <c r="Z30" s="206" t="s">
        <v>2076</v>
      </c>
      <c r="AA30" s="206" t="s">
        <v>2077</v>
      </c>
      <c r="AB30" s="87" t="s">
        <v>2997</v>
      </c>
      <c r="AC30" s="87" t="s">
        <v>2997</v>
      </c>
      <c r="AD30" s="87" t="s">
        <v>2997</v>
      </c>
      <c r="AE30" s="87" t="s">
        <v>2997</v>
      </c>
      <c r="AF30" s="87" t="s">
        <v>2997</v>
      </c>
      <c r="AG30" s="87" t="s">
        <v>2997</v>
      </c>
      <c r="AH30" s="87" t="s">
        <v>2997</v>
      </c>
      <c r="AI30" s="87" t="s">
        <v>2997</v>
      </c>
      <c r="AJ30" s="87" t="s">
        <v>2997</v>
      </c>
      <c r="AK30" s="87" t="s">
        <v>2997</v>
      </c>
      <c r="AL30" s="87" t="s">
        <v>2997</v>
      </c>
      <c r="AM30" s="101" t="str">
        <f>CHOOSE(CharGenMain!$C$212,X30,Y30,Z30,AA30,AB30,AC30,AD30,AE30,AF30,AG30,AH30,AI30,AJ30,AK30,AL30)</f>
        <v>+1 soc def, +3 vs fear/intimidation, +2 heartening laugh</v>
      </c>
      <c r="AN30" s="101" t="str">
        <f>CHOOSE(CharGenMain!$C$213,X30,Y30,Z30,AA30,AB30,AC30,AD30,AE30,AF30,AG30,AH30,AI30,AJ30,AK30,AL30)</f>
        <v>+1 soc def</v>
      </c>
      <c r="AO30" s="101" t="str">
        <f>CHOOSE(CharGenMain!$C$214,X30,Y30,Z30,AA30,AB30,AC30,AD30,AE30,AF30,AG30,AH30,AI30,AJ30,AK30,AL30)</f>
        <v>+1 soc def</v>
      </c>
      <c r="AP30" s="101" t="str">
        <f>CHOOSE(CharGenMain!$C$215,X30,Y30,Z30,AA30,AB30,AC30,AD30,AE30,AF30,AG30,AH30,AI30,AJ30,AK30,AL30)</f>
        <v>+1 soc def, +3 vs fear/intimidation</v>
      </c>
      <c r="AQ30" s="101" t="str">
        <f>CHOOSE(CharGenMain!$C$216,X30,Y30,Z30,AA30,AB30,AC30,AD30,AE30,AF30,AG30,AH30,AI30,AJ30,AK30,AL30)</f>
        <v>+1 soc def, +3 vs fear/intimidation, +2 heartening laugh, psychic fortress</v>
      </c>
      <c r="AR30" s="101" t="str">
        <f>CHOOSE(CharGenMain!$C$217,X30,Y30,Z30,AA30,AB30,AC30,AD30,AE30,AF30,AG30,AH30,AI30,AJ30,AK30,AL30)</f>
        <v>Thread Max Exceeded</v>
      </c>
      <c r="AS30" s="101" t="e">
        <f>CHOOSE(CharGenMain!$C$218,X30,Y30,Z30,AA30,AB30,AC30,AD30,AE30,AF30,AG30,AH30,AI30,AJ30,AK30,AL30)</f>
        <v>#VALUE!</v>
      </c>
      <c r="AT30" s="101" t="e">
        <f>CHOOSE(CharGenMain!$C$219,X30,Y30,Z30,AA30,AB30,AC30,AD30,AE30,AF30,AG30,AH30,AI30,AJ30,AK30,AL30)</f>
        <v>#VALUE!</v>
      </c>
      <c r="AU30" s="101" t="e">
        <f>CHOOSE(CharGenMain!$C$220,X30,Y30,Z30,AA30,AB30,AC30,AD30,AE30,AF30,AG30,AH30,AI30,AJ30,AK30,AL30)</f>
        <v>#VALUE!</v>
      </c>
      <c r="AV30" s="101" t="e">
        <f>CHOOSE(CharGenMain!$C$221,X30,Y30,Z30,AA30,AB30,AC30,AD30,AE30,AF30,AG30,AH30,AI30,AJ30,AK30,AL30)</f>
        <v>#VALUE!</v>
      </c>
      <c r="AW30" s="101" t="e">
        <f>CHOOSE(CharGenMain!$C$222,X30,Y30,Z30,AA30,AB30,AC30,AD30,AE30,AF30,AG30,AH30,AI30,AJ30,AK30,AL30)</f>
        <v>#VALUE!</v>
      </c>
      <c r="AX30" s="101" t="e">
        <f>CHOOSE(CharGenMain!$C$223,X30,Y30,Z30,AA30,AB30,AC30,AD30,AE30,AF30,AG30,AH30,AI30,AJ30,AK30,AL30)</f>
        <v>#VALUE!</v>
      </c>
      <c r="AY30" s="101" t="e">
        <f>CHOOSE(CharGenMain!$C$224,X30,Y30,Z30,AA30,AB30,AC30,AD30,AE30,AF30,AG30,AH30,AI30,AJ30,AK30,AL30)</f>
        <v>#VALUE!</v>
      </c>
      <c r="AZ30" s="101" t="e">
        <f>CHOOSE(CharGenMain!$C$225,X30,Y30,Z30,AA30,AB30,AC30,AD30,AE30,AF30,AG30,AH30,AI30,AJ30,AK30,AL30)</f>
        <v>#VALUE!</v>
      </c>
      <c r="BA30" s="271" t="e">
        <f>CHOOSE(CharGenMain!$C$226,X30,Y30,Z30,AA30,AB30,AC30,AD30,AE30,AF30,AG30,AH30,AI30,AJ30,AK30,AL30)</f>
        <v>#VALUE!</v>
      </c>
    </row>
    <row r="31" spans="1:104">
      <c r="A31" s="20" t="s">
        <v>2193</v>
      </c>
      <c r="B31" s="14" t="s">
        <v>2297</v>
      </c>
      <c r="C31" s="14" t="s">
        <v>5219</v>
      </c>
      <c r="D31" s="45" t="s">
        <v>2194</v>
      </c>
      <c r="F31" s="20" t="s">
        <v>2310</v>
      </c>
      <c r="G31" s="14" t="s">
        <v>125</v>
      </c>
      <c r="H31" s="14" t="s">
        <v>5323</v>
      </c>
      <c r="I31" s="14">
        <v>6</v>
      </c>
      <c r="J31" s="14">
        <v>2</v>
      </c>
      <c r="K31" s="28" t="s">
        <v>2311</v>
      </c>
      <c r="M31" s="20" t="s">
        <v>2259</v>
      </c>
      <c r="N31" s="14" t="s">
        <v>2517</v>
      </c>
      <c r="O31" s="14" t="s">
        <v>5796</v>
      </c>
      <c r="P31" s="45" t="s">
        <v>2260</v>
      </c>
      <c r="R31" s="302" t="s">
        <v>2088</v>
      </c>
      <c r="S31" s="14" t="s">
        <v>4742</v>
      </c>
      <c r="T31" s="14" t="s">
        <v>2667</v>
      </c>
      <c r="U31" s="14">
        <v>2</v>
      </c>
      <c r="V31" s="14">
        <v>10</v>
      </c>
      <c r="W31" s="106">
        <v>15</v>
      </c>
      <c r="X31" s="87" t="s">
        <v>2192</v>
      </c>
      <c r="Y31" s="87" t="s">
        <v>2192</v>
      </c>
      <c r="Z31" s="87" t="s">
        <v>2192</v>
      </c>
      <c r="AA31" s="87" t="s">
        <v>2192</v>
      </c>
      <c r="AB31" s="87" t="s">
        <v>2192</v>
      </c>
      <c r="AC31" s="87" t="s">
        <v>2192</v>
      </c>
      <c r="AD31" s="87" t="s">
        <v>2192</v>
      </c>
      <c r="AE31" s="87" t="s">
        <v>2192</v>
      </c>
      <c r="AF31" s="87" t="s">
        <v>2192</v>
      </c>
      <c r="AG31" s="87" t="s">
        <v>2192</v>
      </c>
      <c r="AH31" s="87" t="s">
        <v>2997</v>
      </c>
      <c r="AI31" s="87" t="s">
        <v>2997</v>
      </c>
      <c r="AJ31" s="87" t="s">
        <v>2997</v>
      </c>
      <c r="AK31" s="87" t="s">
        <v>2997</v>
      </c>
      <c r="AL31" s="87" t="s">
        <v>2997</v>
      </c>
      <c r="AM31" s="101" t="str">
        <f>CHOOSE(CharGenMain!$C$212,X31,Y31,Z31,AA31,AB31,AC31,AD31,AE31,AF31,AG31,AH31,AI31,AJ31,AK31,AL31)</f>
        <v>creates cottage, see text</v>
      </c>
      <c r="AN31" s="101" t="str">
        <f>CHOOSE(CharGenMain!$C$213,X31,Y31,Z31,AA31,AB31,AC31,AD31,AE31,AF31,AG31,AH31,AI31,AJ31,AK31,AL31)</f>
        <v>creates cottage, see text</v>
      </c>
      <c r="AO31" s="101" t="str">
        <f>CHOOSE(CharGenMain!$C$214,X31,Y31,Z31,AA31,AB31,AC31,AD31,AE31,AF31,AG31,AH31,AI31,AJ31,AK31,AL31)</f>
        <v>creates cottage, see text</v>
      </c>
      <c r="AP31" s="101" t="str">
        <f>CHOOSE(CharGenMain!$C$215,X31,Y31,Z31,AA31,AB31,AC31,AD31,AE31,AF31,AG31,AH31,AI31,AJ31,AK31,AL31)</f>
        <v>creates cottage, see text</v>
      </c>
      <c r="AQ31" s="101" t="str">
        <f>CHOOSE(CharGenMain!$C$216,X31,Y31,Z31,AA31,AB31,AC31,AD31,AE31,AF31,AG31,AH31,AI31,AJ31,AK31,AL31)</f>
        <v>creates cottage, see text</v>
      </c>
      <c r="AR31" s="101" t="str">
        <f>CHOOSE(CharGenMain!$C$217,X31,Y31,Z31,AA31,AB31,AC31,AD31,AE31,AF31,AG31,AH31,AI31,AJ31,AK31,AL31)</f>
        <v>creates cottage, see text</v>
      </c>
      <c r="AS31" s="101" t="e">
        <f>CHOOSE(CharGenMain!$C$218,X31,Y31,Z31,AA31,AB31,AC31,AD31,AE31,AF31,AG31,AH31,AI31,AJ31,AK31,AL31)</f>
        <v>#VALUE!</v>
      </c>
      <c r="AT31" s="101" t="e">
        <f>CHOOSE(CharGenMain!$C$219,X31,Y31,Z31,AA31,AB31,AC31,AD31,AE31,AF31,AG31,AH31,AI31,AJ31,AK31,AL31)</f>
        <v>#VALUE!</v>
      </c>
      <c r="AU31" s="101" t="e">
        <f>CHOOSE(CharGenMain!$C$220,X31,Y31,Z31,AA31,AB31,AC31,AD31,AE31,AF31,AG31,AH31,AI31,AJ31,AK31,AL31)</f>
        <v>#VALUE!</v>
      </c>
      <c r="AV31" s="101" t="e">
        <f>CHOOSE(CharGenMain!$C$221,X31,Y31,Z31,AA31,AB31,AC31,AD31,AE31,AF31,AG31,AH31,AI31,AJ31,AK31,AL31)</f>
        <v>#VALUE!</v>
      </c>
      <c r="AW31" s="101" t="e">
        <f>CHOOSE(CharGenMain!$C$222,X31,Y31,Z31,AA31,AB31,AC31,AD31,AE31,AF31,AG31,AH31,AI31,AJ31,AK31,AL31)</f>
        <v>#VALUE!</v>
      </c>
      <c r="AX31" s="101" t="e">
        <f>CHOOSE(CharGenMain!$C$223,X31,Y31,Z31,AA31,AB31,AC31,AD31,AE31,AF31,AG31,AH31,AI31,AJ31,AK31,AL31)</f>
        <v>#VALUE!</v>
      </c>
      <c r="AY31" s="101" t="e">
        <f>CHOOSE(CharGenMain!$C$224,X31,Y31,Z31,AA31,AB31,AC31,AD31,AE31,AF31,AG31,AH31,AI31,AJ31,AK31,AL31)</f>
        <v>#VALUE!</v>
      </c>
      <c r="AZ31" s="101" t="e">
        <f>CHOOSE(CharGenMain!$C$225,X31,Y31,Z31,AA31,AB31,AC31,AD31,AE31,AF31,AG31,AH31,AI31,AJ31,AK31,AL31)</f>
        <v>#VALUE!</v>
      </c>
      <c r="BA31" s="271" t="e">
        <f>CHOOSE(CharGenMain!$C$226,X31,Y31,Z31,AA31,AB31,AC31,AD31,AE31,AF31,AG31,AH31,AI31,AJ31,AK31,AL31)</f>
        <v>#VALUE!</v>
      </c>
    </row>
    <row r="32" spans="1:104">
      <c r="A32" s="20" t="s">
        <v>5320</v>
      </c>
      <c r="B32" s="14" t="s">
        <v>2660</v>
      </c>
      <c r="C32" s="14" t="s">
        <v>5219</v>
      </c>
      <c r="D32" s="186" t="s">
        <v>2212</v>
      </c>
      <c r="F32" s="20" t="s">
        <v>2214</v>
      </c>
      <c r="G32" s="14" t="s">
        <v>2215</v>
      </c>
      <c r="H32" s="14" t="s">
        <v>5323</v>
      </c>
      <c r="I32" s="14">
        <v>2</v>
      </c>
      <c r="J32" s="14">
        <v>2</v>
      </c>
      <c r="K32" s="28" t="s">
        <v>2113</v>
      </c>
      <c r="M32" s="20" t="s">
        <v>2379</v>
      </c>
      <c r="N32" s="14" t="s">
        <v>2380</v>
      </c>
      <c r="O32" s="14" t="s">
        <v>2501</v>
      </c>
      <c r="P32" s="45" t="s">
        <v>50</v>
      </c>
      <c r="R32" s="226" t="s">
        <v>2099</v>
      </c>
      <c r="S32" s="14" t="s">
        <v>2100</v>
      </c>
      <c r="T32" s="14" t="s">
        <v>2223</v>
      </c>
      <c r="U32" s="14">
        <v>2</v>
      </c>
      <c r="V32" s="14">
        <v>6</v>
      </c>
      <c r="W32" s="14">
        <v>13</v>
      </c>
      <c r="X32" s="87" t="s">
        <v>2101</v>
      </c>
      <c r="Y32" s="87" t="s">
        <v>2102</v>
      </c>
      <c r="Z32" s="87" t="s">
        <v>2102</v>
      </c>
      <c r="AA32" s="87" t="s">
        <v>2102</v>
      </c>
      <c r="AB32" s="87" t="s">
        <v>2103</v>
      </c>
      <c r="AC32" s="87" t="s">
        <v>2211</v>
      </c>
      <c r="AD32" s="87"/>
      <c r="AE32" s="87"/>
      <c r="AF32" s="87" t="s">
        <v>2997</v>
      </c>
      <c r="AG32" s="87" t="s">
        <v>2997</v>
      </c>
      <c r="AH32" s="87" t="s">
        <v>2997</v>
      </c>
      <c r="AI32" s="87" t="s">
        <v>2997</v>
      </c>
      <c r="AJ32" s="87" t="s">
        <v>2997</v>
      </c>
      <c r="AK32" s="87" t="s">
        <v>2997</v>
      </c>
      <c r="AL32" s="87" t="s">
        <v>2997</v>
      </c>
      <c r="AM32" s="101" t="str">
        <f>CHOOSE(CharGenMain!$C$212,X32,Y32,Z32,AA32,AB32,AC32,AD32,AE32,AF32,AG32,AH32,AI32,AJ32,AK32,AL32)</f>
        <v>Casts Counterspell, see text. +1 spell def</v>
      </c>
      <c r="AN32" s="101" t="str">
        <f>CHOOSE(CharGenMain!$C$213,X32,Y32,Z32,AA32,AB32,AC32,AD32,AE32,AF32,AG32,AH32,AI32,AJ32,AK32,AL32)</f>
        <v>Casts Counterspell, see text</v>
      </c>
      <c r="AO32" s="101" t="str">
        <f>CHOOSE(CharGenMain!$C$214,X32,Y32,Z32,AA32,AB32,AC32,AD32,AE32,AF32,AG32,AH32,AI32,AJ32,AK32,AL32)</f>
        <v>Casts Counterspell, see text</v>
      </c>
      <c r="AP32" s="101" t="str">
        <f>CHOOSE(CharGenMain!$C$215,X32,Y32,Z32,AA32,AB32,AC32,AD32,AE32,AF32,AG32,AH32,AI32,AJ32,AK32,AL32)</f>
        <v>Casts Counterspell, see text. +1 spell def</v>
      </c>
      <c r="AQ32" s="101" t="str">
        <f>CHOOSE(CharGenMain!$C$216,X32,Y32,Z32,AA32,AB32,AC32,AD32,AE32,AF32,AG32,AH32,AI32,AJ32,AK32,AL32)</f>
        <v>Casts Counterspell, see text. +1 spell def</v>
      </c>
      <c r="AR32" s="101" t="str">
        <f>CHOOSE(CharGenMain!$C$217,X32,Y32,Z32,AA32,AB32,AC32,AD32,AE32,AF32,AG32,AH32,AI32,AJ32,AK32,AL32)</f>
        <v>Casts Counterspell, see text. +2 spell def</v>
      </c>
      <c r="AS32" s="101" t="e">
        <f>CHOOSE(CharGenMain!$C$218,X32,Y32,Z32,AA32,AB32,AC32,AD32,AE32,AF32,AG32,AH32,AI32,AJ32,AK32,AL32)</f>
        <v>#VALUE!</v>
      </c>
      <c r="AT32" s="101" t="e">
        <f>CHOOSE(CharGenMain!$C$219,X32,Y32,Z32,AA32,AB32,AC32,AD32,AE32,AF32,AG32,AH32,AI32,AJ32,AK32,AL32)</f>
        <v>#VALUE!</v>
      </c>
      <c r="AU32" s="101" t="e">
        <f>CHOOSE(CharGenMain!$C$220,X32,Y32,Z32,AA32,AB32,AC32,AD32,AE32,AF32,AG32,AH32,AI32,AJ32,AK32,AL32)</f>
        <v>#VALUE!</v>
      </c>
      <c r="AV32" s="101" t="e">
        <f>CHOOSE(CharGenMain!$C$221,X32,Y32,Z32,AA32,AB32,AC32,AD32,AE32,AF32,AG32,AH32,AI32,AJ32,AK32,AL32)</f>
        <v>#VALUE!</v>
      </c>
      <c r="AW32" s="101" t="e">
        <f>CHOOSE(CharGenMain!$C$222,X32,Y32,Z32,AA32,AB32,AC32,AD32,AE32,AF32,AG32,AH32,AI32,AJ32,AK32,AL32)</f>
        <v>#VALUE!</v>
      </c>
      <c r="AX32" s="101" t="e">
        <f>CHOOSE(CharGenMain!$C$223,X32,Y32,Z32,AA32,AB32,AC32,AD32,AE32,AF32,AG32,AH32,AI32,AJ32,AK32,AL32)</f>
        <v>#VALUE!</v>
      </c>
      <c r="AY32" s="101" t="e">
        <f>CHOOSE(CharGenMain!$C$224,X32,Y32,Z32,AA32,AB32,AC32,AD32,AE32,AF32,AG32,AH32,AI32,AJ32,AK32,AL32)</f>
        <v>#VALUE!</v>
      </c>
      <c r="AZ32" s="101" t="e">
        <f>CHOOSE(CharGenMain!$C$225,X32,Y32,Z32,AA32,AB32,AC32,AD32,AE32,AF32,AG32,AH32,AI32,AJ32,AK32,AL32)</f>
        <v>#VALUE!</v>
      </c>
      <c r="BA32" s="271" t="e">
        <f>CHOOSE(CharGenMain!$C$226,X32,Y32,Z32,AA32,AB32,AC32,AD32,AE32,AF32,AG32,AH32,AI32,AJ32,AK32,AL32)</f>
        <v>#VALUE!</v>
      </c>
    </row>
    <row r="33" spans="1:53">
      <c r="A33" s="20" t="s">
        <v>2307</v>
      </c>
      <c r="B33" s="14" t="s">
        <v>2225</v>
      </c>
      <c r="C33" s="14" t="s">
        <v>5219</v>
      </c>
      <c r="D33" s="186" t="s">
        <v>2314</v>
      </c>
      <c r="F33" s="20" t="s">
        <v>1919</v>
      </c>
      <c r="G33" s="14" t="s">
        <v>1920</v>
      </c>
      <c r="H33" s="14" t="s">
        <v>5323</v>
      </c>
      <c r="I33" s="14">
        <v>1</v>
      </c>
      <c r="J33" s="14">
        <v>0</v>
      </c>
      <c r="K33" s="28" t="s">
        <v>1921</v>
      </c>
      <c r="M33" s="20" t="s">
        <v>1970</v>
      </c>
      <c r="N33" s="14" t="s">
        <v>2517</v>
      </c>
      <c r="O33" s="14" t="s">
        <v>5796</v>
      </c>
      <c r="P33" s="45" t="s">
        <v>1971</v>
      </c>
      <c r="R33" s="20" t="s">
        <v>2209</v>
      </c>
      <c r="S33" s="14" t="s">
        <v>2210</v>
      </c>
      <c r="T33" s="14" t="s">
        <v>2279</v>
      </c>
      <c r="U33" s="14">
        <v>1</v>
      </c>
      <c r="V33" s="14">
        <v>7</v>
      </c>
      <c r="W33" s="14">
        <v>8</v>
      </c>
      <c r="X33" s="87" t="s">
        <v>2309</v>
      </c>
      <c r="Y33" s="87" t="s">
        <v>2309</v>
      </c>
      <c r="Z33" s="87" t="s">
        <v>2309</v>
      </c>
      <c r="AA33" s="87" t="s">
        <v>2309</v>
      </c>
      <c r="AB33" s="87" t="s">
        <v>2309</v>
      </c>
      <c r="AC33" s="87" t="s">
        <v>2309</v>
      </c>
      <c r="AD33" s="87" t="s">
        <v>2309</v>
      </c>
      <c r="AE33" s="87" t="s">
        <v>2309</v>
      </c>
      <c r="AF33" s="87" t="s">
        <v>2997</v>
      </c>
      <c r="AG33" s="87" t="s">
        <v>2997</v>
      </c>
      <c r="AH33" s="87" t="s">
        <v>2997</v>
      </c>
      <c r="AI33" s="87" t="s">
        <v>2997</v>
      </c>
      <c r="AJ33" s="87" t="s">
        <v>2997</v>
      </c>
      <c r="AK33" s="87" t="s">
        <v>2997</v>
      </c>
      <c r="AL33" s="87" t="s">
        <v>2997</v>
      </c>
      <c r="AM33" s="101" t="str">
        <f>CHOOSE(CharGenMain!$C$212,X33,Y33,Z33,AA33,AB33,AC33,AD33,AE33,AF33,AG33,AH33,AI33,AJ33,AK33,AL33)</f>
        <v>powers vs theives, see text</v>
      </c>
      <c r="AN33" s="101" t="str">
        <f>CHOOSE(CharGenMain!$C$213,X33,Y33,Z33,AA33,AB33,AC33,AD33,AE33,AF33,AG33,AH33,AI33,AJ33,AK33,AL33)</f>
        <v>powers vs theives, see text</v>
      </c>
      <c r="AO33" s="101" t="str">
        <f>CHOOSE(CharGenMain!$C$214,X33,Y33,Z33,AA33,AB33,AC33,AD33,AE33,AF33,AG33,AH33,AI33,AJ33,AK33,AL33)</f>
        <v>powers vs theives, see text</v>
      </c>
      <c r="AP33" s="101" t="str">
        <f>CHOOSE(CharGenMain!$C$215,X33,Y33,Z33,AA33,AB33,AC33,AD33,AE33,AF33,AG33,AH33,AI33,AJ33,AK33,AL33)</f>
        <v>powers vs theives, see text</v>
      </c>
      <c r="AQ33" s="101" t="str">
        <f>CHOOSE(CharGenMain!$C$216,X33,Y33,Z33,AA33,AB33,AC33,AD33,AE33,AF33,AG33,AH33,AI33,AJ33,AK33,AL33)</f>
        <v>powers vs theives, see text</v>
      </c>
      <c r="AR33" s="101" t="str">
        <f>CHOOSE(CharGenMain!$C$217,X33,Y33,Z33,AA33,AB33,AC33,AD33,AE33,AF33,AG33,AH33,AI33,AJ33,AK33,AL33)</f>
        <v>powers vs theives, see text</v>
      </c>
      <c r="AS33" s="101" t="e">
        <f>CHOOSE(CharGenMain!$C$218,X33,Y33,Z33,AA33,AB33,AC33,AD33,AE33,AF33,AG33,AH33,AI33,AJ33,AK33,AL33)</f>
        <v>#VALUE!</v>
      </c>
      <c r="AT33" s="101" t="e">
        <f>CHOOSE(CharGenMain!$C$219,X33,Y33,Z33,AA33,AB33,AC33,AD33,AE33,AF33,AG33,AH33,AI33,AJ33,AK33,AL33)</f>
        <v>#VALUE!</v>
      </c>
      <c r="AU33" s="101" t="e">
        <f>CHOOSE(CharGenMain!$C$220,X33,Y33,Z33,AA33,AB33,AC33,AD33,AE33,AF33,AG33,AH33,AI33,AJ33,AK33,AL33)</f>
        <v>#VALUE!</v>
      </c>
      <c r="AV33" s="101" t="e">
        <f>CHOOSE(CharGenMain!$C$221,X33,Y33,Z33,AA33,AB33,AC33,AD33,AE33,AF33,AG33,AH33,AI33,AJ33,AK33,AL33)</f>
        <v>#VALUE!</v>
      </c>
      <c r="AW33" s="101" t="e">
        <f>CHOOSE(CharGenMain!$C$222,X33,Y33,Z33,AA33,AB33,AC33,AD33,AE33,AF33,AG33,AH33,AI33,AJ33,AK33,AL33)</f>
        <v>#VALUE!</v>
      </c>
      <c r="AX33" s="101" t="e">
        <f>CHOOSE(CharGenMain!$C$223,X33,Y33,Z33,AA33,AB33,AC33,AD33,AE33,AF33,AG33,AH33,AI33,AJ33,AK33,AL33)</f>
        <v>#VALUE!</v>
      </c>
      <c r="AY33" s="101" t="e">
        <f>CHOOSE(CharGenMain!$C$224,X33,Y33,Z33,AA33,AB33,AC33,AD33,AE33,AF33,AG33,AH33,AI33,AJ33,AK33,AL33)</f>
        <v>#VALUE!</v>
      </c>
      <c r="AZ33" s="101" t="e">
        <f>CHOOSE(CharGenMain!$C$225,X33,Y33,Z33,AA33,AB33,AC33,AD33,AE33,AF33,AG33,AH33,AI33,AJ33,AK33,AL33)</f>
        <v>#VALUE!</v>
      </c>
      <c r="BA33" s="271" t="e">
        <f>CHOOSE(CharGenMain!$C$226,X33,Y33,Z33,AA33,AB33,AC33,AD33,AE33,AF33,AG33,AH33,AI33,AJ33,AK33,AL33)</f>
        <v>#VALUE!</v>
      </c>
    </row>
    <row r="34" spans="1:53">
      <c r="A34" s="20" t="s">
        <v>1917</v>
      </c>
      <c r="B34" s="14" t="s">
        <v>2443</v>
      </c>
      <c r="C34" s="14" t="s">
        <v>5219</v>
      </c>
      <c r="D34" s="45" t="s">
        <v>1918</v>
      </c>
      <c r="F34" s="20" t="s">
        <v>2029</v>
      </c>
      <c r="G34" s="14" t="s">
        <v>125</v>
      </c>
      <c r="H34" s="14" t="s">
        <v>5323</v>
      </c>
      <c r="I34" s="14">
        <v>1</v>
      </c>
      <c r="J34" s="14">
        <v>2</v>
      </c>
      <c r="K34" s="28" t="s">
        <v>2030</v>
      </c>
      <c r="M34" s="20" t="s">
        <v>2086</v>
      </c>
      <c r="N34" s="14" t="s">
        <v>2087</v>
      </c>
      <c r="O34" s="14" t="s">
        <v>2279</v>
      </c>
      <c r="P34" s="28" t="s">
        <v>2435</v>
      </c>
      <c r="R34" s="226" t="s">
        <v>1915</v>
      </c>
      <c r="S34" s="14" t="s">
        <v>2381</v>
      </c>
      <c r="T34" s="14" t="s">
        <v>2667</v>
      </c>
      <c r="U34" s="14">
        <v>3</v>
      </c>
      <c r="V34" s="14">
        <v>3</v>
      </c>
      <c r="W34" s="14">
        <v>18</v>
      </c>
      <c r="X34" s="87" t="s">
        <v>1916</v>
      </c>
      <c r="Y34" s="87" t="s">
        <v>1916</v>
      </c>
      <c r="Z34" s="87" t="s">
        <v>1916</v>
      </c>
      <c r="AA34" s="87" t="s">
        <v>2997</v>
      </c>
      <c r="AB34" s="87" t="s">
        <v>2997</v>
      </c>
      <c r="AC34" s="87" t="s">
        <v>2997</v>
      </c>
      <c r="AD34" s="87" t="s">
        <v>2997</v>
      </c>
      <c r="AE34" s="87" t="s">
        <v>2997</v>
      </c>
      <c r="AF34" s="87" t="s">
        <v>2997</v>
      </c>
      <c r="AG34" s="87" t="s">
        <v>2997</v>
      </c>
      <c r="AH34" s="87" t="s">
        <v>2997</v>
      </c>
      <c r="AI34" s="87" t="s">
        <v>2997</v>
      </c>
      <c r="AJ34" s="87" t="s">
        <v>2997</v>
      </c>
      <c r="AK34" s="87" t="s">
        <v>2997</v>
      </c>
      <c r="AL34" s="87" t="s">
        <v>2997</v>
      </c>
      <c r="AM34" s="101" t="str">
        <f>CHOOSE(CharGenMain!$C$212,X34,Y34,Z34,AA34,AB34,AC34,AD34,AE34,AF34,AG34,AH34,AI34,AJ34,AK34,AL34)</f>
        <v>hides astral images, see text</v>
      </c>
      <c r="AN34" s="101" t="str">
        <f>CHOOSE(CharGenMain!$C$213,X34,Y34,Z34,AA34,AB34,AC34,AD34,AE34,AF34,AG34,AH34,AI34,AJ34,AK34,AL34)</f>
        <v>hides astral images, see text</v>
      </c>
      <c r="AO34" s="101" t="str">
        <f>CHOOSE(CharGenMain!$C$214,X34,Y34,Z34,AA34,AB34,AC34,AD34,AE34,AF34,AG34,AH34,AI34,AJ34,AK34,AL34)</f>
        <v>hides astral images, see text</v>
      </c>
      <c r="AP34" s="101" t="str">
        <f>CHOOSE(CharGenMain!$C$215,X34,Y34,Z34,AA34,AB34,AC34,AD34,AE34,AF34,AG34,AH34,AI34,AJ34,AK34,AL34)</f>
        <v>hides astral images, see text</v>
      </c>
      <c r="AQ34" s="101" t="str">
        <f>CHOOSE(CharGenMain!$C$216,X34,Y34,Z34,AA34,AB34,AC34,AD34,AE34,AF34,AG34,AH34,AI34,AJ34,AK34,AL34)</f>
        <v>Thread Max Exceeded</v>
      </c>
      <c r="AR34" s="101" t="str">
        <f>CHOOSE(CharGenMain!$C$217,X34,Y34,Z34,AA34,AB34,AC34,AD34,AE34,AF34,AG34,AH34,AI34,AJ34,AK34,AL34)</f>
        <v>Thread Max Exceeded</v>
      </c>
      <c r="AS34" s="101" t="e">
        <f>CHOOSE(CharGenMain!$C$218,X34,Y34,Z34,AA34,AB34,AC34,AD34,AE34,AF34,AG34,AH34,AI34,AJ34,AK34,AL34)</f>
        <v>#VALUE!</v>
      </c>
      <c r="AT34" s="101" t="e">
        <f>CHOOSE(CharGenMain!$C$219,X34,Y34,Z34,AA34,AB34,AC34,AD34,AE34,AF34,AG34,AH34,AI34,AJ34,AK34,AL34)</f>
        <v>#VALUE!</v>
      </c>
      <c r="AU34" s="101" t="e">
        <f>CHOOSE(CharGenMain!$C$220,X34,Y34,Z34,AA34,AB34,AC34,AD34,AE34,AF34,AG34,AH34,AI34,AJ34,AK34,AL34)</f>
        <v>#VALUE!</v>
      </c>
      <c r="AV34" s="101" t="e">
        <f>CHOOSE(CharGenMain!$C$221,X34,Y34,Z34,AA34,AB34,AC34,AD34,AE34,AF34,AG34,AH34,AI34,AJ34,AK34,AL34)</f>
        <v>#VALUE!</v>
      </c>
      <c r="AW34" s="101" t="e">
        <f>CHOOSE(CharGenMain!$C$222,X34,Y34,Z34,AA34,AB34,AC34,AD34,AE34,AF34,AG34,AH34,AI34,AJ34,AK34,AL34)</f>
        <v>#VALUE!</v>
      </c>
      <c r="AX34" s="101" t="e">
        <f>CHOOSE(CharGenMain!$C$223,X34,Y34,Z34,AA34,AB34,AC34,AD34,AE34,AF34,AG34,AH34,AI34,AJ34,AK34,AL34)</f>
        <v>#VALUE!</v>
      </c>
      <c r="AY34" s="101" t="e">
        <f>CHOOSE(CharGenMain!$C$224,X34,Y34,Z34,AA34,AB34,AC34,AD34,AE34,AF34,AG34,AH34,AI34,AJ34,AK34,AL34)</f>
        <v>#VALUE!</v>
      </c>
      <c r="AZ34" s="101" t="e">
        <f>CHOOSE(CharGenMain!$C$225,X34,Y34,Z34,AA34,AB34,AC34,AD34,AE34,AF34,AG34,AH34,AI34,AJ34,AK34,AL34)</f>
        <v>#VALUE!</v>
      </c>
      <c r="BA34" s="271" t="e">
        <f>CHOOSE(CharGenMain!$C$226,X34,Y34,Z34,AA34,AB34,AC34,AD34,AE34,AF34,AG34,AH34,AI34,AJ34,AK34,AL34)</f>
        <v>#VALUE!</v>
      </c>
    </row>
    <row r="35" spans="1:53">
      <c r="A35" s="20" t="s">
        <v>5570</v>
      </c>
      <c r="B35" s="14" t="s">
        <v>2565</v>
      </c>
      <c r="C35" s="14" t="s">
        <v>5219</v>
      </c>
      <c r="D35" s="186" t="s">
        <v>2028</v>
      </c>
      <c r="F35" s="20" t="s">
        <v>2150</v>
      </c>
      <c r="G35" s="14" t="s">
        <v>47</v>
      </c>
      <c r="H35" s="14" t="s">
        <v>5323</v>
      </c>
      <c r="I35" s="14">
        <v>3</v>
      </c>
      <c r="J35" s="106" t="s">
        <v>2044</v>
      </c>
      <c r="K35" s="28" t="s">
        <v>2045</v>
      </c>
      <c r="M35" s="20" t="s">
        <v>2198</v>
      </c>
      <c r="N35" s="14" t="s">
        <v>2517</v>
      </c>
      <c r="O35" s="14" t="s">
        <v>5796</v>
      </c>
      <c r="P35" s="45" t="s">
        <v>2199</v>
      </c>
      <c r="R35" s="226" t="s">
        <v>5857</v>
      </c>
      <c r="S35" s="14" t="s">
        <v>5858</v>
      </c>
      <c r="T35" s="14" t="s">
        <v>2667</v>
      </c>
      <c r="U35" s="14">
        <v>1</v>
      </c>
      <c r="V35" s="14">
        <v>2</v>
      </c>
      <c r="W35" s="14">
        <v>11</v>
      </c>
      <c r="X35" s="87" t="s">
        <v>5859</v>
      </c>
      <c r="Y35" s="87" t="s">
        <v>5860</v>
      </c>
      <c r="Z35" s="87" t="s">
        <v>2997</v>
      </c>
      <c r="AA35" s="87" t="s">
        <v>2997</v>
      </c>
      <c r="AB35" s="87" t="s">
        <v>2997</v>
      </c>
      <c r="AC35" s="87" t="s">
        <v>2997</v>
      </c>
      <c r="AD35" s="87" t="s">
        <v>2997</v>
      </c>
      <c r="AE35" s="87" t="s">
        <v>2997</v>
      </c>
      <c r="AF35" s="87" t="s">
        <v>2997</v>
      </c>
      <c r="AG35" s="87" t="s">
        <v>2997</v>
      </c>
      <c r="AH35" s="87" t="s">
        <v>2997</v>
      </c>
      <c r="AI35" s="87" t="s">
        <v>2997</v>
      </c>
      <c r="AJ35" s="87" t="s">
        <v>2997</v>
      </c>
      <c r="AK35" s="87" t="s">
        <v>2997</v>
      </c>
      <c r="AL35" s="87" t="s">
        <v>2997</v>
      </c>
      <c r="AM35" s="101" t="str">
        <f>CHOOSE(CharGenMain!$C$212,X35,Y35,Z35,AA35,AB35,AC35,AD35,AE35,AF35,AG35,AH35,AI35,AJ35,AK35,AL35)</f>
        <v>Thread Max Exceeded</v>
      </c>
      <c r="AN35" s="101" t="str">
        <f>CHOOSE(CharGenMain!$C$213,X35,Y35,Z35,AA35,AB35,AC35,AD35,AE35,AF35,AG35,AH35,AI35,AJ35,AK35,AL35)</f>
        <v>Receive messages from twin lamp, see text</v>
      </c>
      <c r="AO35" s="101" t="str">
        <f>CHOOSE(CharGenMain!$C$214,X35,Y35,Z35,AA35,AB35,AC35,AD35,AE35,AF35,AG35,AH35,AI35,AJ35,AK35,AL35)</f>
        <v>Receive messages from twin lamp, see text</v>
      </c>
      <c r="AP35" s="101" t="str">
        <f>CHOOSE(CharGenMain!$C$215,X35,Y35,Z35,AA35,AB35,AC35,AD35,AE35,AF35,AG35,AH35,AI35,AJ35,AK35,AL35)</f>
        <v>Send messages to twin lamp, see text</v>
      </c>
      <c r="AQ35" s="101" t="str">
        <f>CHOOSE(CharGenMain!$C$216,X35,Y35,Z35,AA35,AB35,AC35,AD35,AE35,AF35,AG35,AH35,AI35,AJ35,AK35,AL35)</f>
        <v>Thread Max Exceeded</v>
      </c>
      <c r="AR35" s="101" t="str">
        <f>CHOOSE(CharGenMain!$C$217,X35,Y35,Z35,AA35,AB35,AC35,AD35,AE35,AF35,AG35,AH35,AI35,AJ35,AK35,AL35)</f>
        <v>Thread Max Exceeded</v>
      </c>
      <c r="AS35" s="101" t="e">
        <f>CHOOSE(CharGenMain!$C$218,X35,Y35,Z35,AA35,AB35,AC35,AD35,AE35,AF35,AG35,AH35,AI35,AJ35,AK35,AL35)</f>
        <v>#VALUE!</v>
      </c>
      <c r="AT35" s="101" t="e">
        <f>CHOOSE(CharGenMain!$C$219,X35,Y35,Z35,AA35,AB35,AC35,AD35,AE35,AF35,AG35,AH35,AI35,AJ35,AK35,AL35)</f>
        <v>#VALUE!</v>
      </c>
      <c r="AU35" s="101" t="e">
        <f>CHOOSE(CharGenMain!$C$220,X35,Y35,Z35,AA35,AB35,AC35,AD35,AE35,AF35,AG35,AH35,AI35,AJ35,AK35,AL35)</f>
        <v>#VALUE!</v>
      </c>
      <c r="AV35" s="101" t="e">
        <f>CHOOSE(CharGenMain!$C$221,X35,Y35,Z35,AA35,AB35,AC35,AD35,AE35,AF35,AG35,AH35,AI35,AJ35,AK35,AL35)</f>
        <v>#VALUE!</v>
      </c>
      <c r="AW35" s="101" t="e">
        <f>CHOOSE(CharGenMain!$C$222,X35,Y35,Z35,AA35,AB35,AC35,AD35,AE35,AF35,AG35,AH35,AI35,AJ35,AK35,AL35)</f>
        <v>#VALUE!</v>
      </c>
      <c r="AX35" s="101" t="e">
        <f>CHOOSE(CharGenMain!$C$223,X35,Y35,Z35,AA35,AB35,AC35,AD35,AE35,AF35,AG35,AH35,AI35,AJ35,AK35,AL35)</f>
        <v>#VALUE!</v>
      </c>
      <c r="AY35" s="101" t="e">
        <f>CHOOSE(CharGenMain!$C$224,X35,Y35,Z35,AA35,AB35,AC35,AD35,AE35,AF35,AG35,AH35,AI35,AJ35,AK35,AL35)</f>
        <v>#VALUE!</v>
      </c>
      <c r="AZ35" s="101" t="e">
        <f>CHOOSE(CharGenMain!$C$225,X35,Y35,Z35,AA35,AB35,AC35,AD35,AE35,AF35,AG35,AH35,AI35,AJ35,AK35,AL35)</f>
        <v>#VALUE!</v>
      </c>
      <c r="BA35" s="271" t="e">
        <f>CHOOSE(CharGenMain!$C$226,X35,Y35,Z35,AA35,AB35,AC35,AD35,AE35,AF35,AG35,AH35,AI35,AJ35,AK35,AL35)</f>
        <v>#VALUE!</v>
      </c>
    </row>
    <row r="36" spans="1:53">
      <c r="A36" s="20" t="s">
        <v>2148</v>
      </c>
      <c r="B36" s="14" t="s">
        <v>2447</v>
      </c>
      <c r="C36" s="14" t="s">
        <v>5219</v>
      </c>
      <c r="D36" s="186" t="s">
        <v>2149</v>
      </c>
      <c r="F36" s="20" t="s">
        <v>2162</v>
      </c>
      <c r="G36" s="14" t="s">
        <v>2181</v>
      </c>
      <c r="H36" s="14" t="s">
        <v>5323</v>
      </c>
      <c r="I36" s="14">
        <v>2</v>
      </c>
      <c r="J36" s="14">
        <v>2</v>
      </c>
      <c r="K36" s="28" t="s">
        <v>2064</v>
      </c>
      <c r="M36" s="20" t="s">
        <v>2207</v>
      </c>
      <c r="N36" s="14" t="s">
        <v>2208</v>
      </c>
      <c r="O36" s="14" t="s">
        <v>2279</v>
      </c>
      <c r="P36" s="28" t="s">
        <v>2578</v>
      </c>
      <c r="R36" s="226" t="s">
        <v>1924</v>
      </c>
      <c r="S36" s="14" t="s">
        <v>1925</v>
      </c>
      <c r="T36" s="14" t="s">
        <v>2223</v>
      </c>
      <c r="U36" s="14">
        <v>2</v>
      </c>
      <c r="V36" s="14">
        <v>7</v>
      </c>
      <c r="W36" s="14">
        <v>12</v>
      </c>
      <c r="X36" s="87" t="s">
        <v>2023</v>
      </c>
      <c r="Y36" s="87" t="s">
        <v>2024</v>
      </c>
      <c r="Z36" s="87" t="s">
        <v>2024</v>
      </c>
      <c r="AA36" s="87" t="s">
        <v>2025</v>
      </c>
      <c r="AB36" s="87" t="s">
        <v>2025</v>
      </c>
      <c r="AC36" s="87" t="s">
        <v>2026</v>
      </c>
      <c r="AD36" s="87" t="s">
        <v>2132</v>
      </c>
      <c r="AE36" s="87"/>
      <c r="AF36" s="87"/>
      <c r="AG36" s="87" t="s">
        <v>2997</v>
      </c>
      <c r="AH36" s="87" t="s">
        <v>2997</v>
      </c>
      <c r="AI36" s="87" t="s">
        <v>2997</v>
      </c>
      <c r="AJ36" s="87" t="s">
        <v>2997</v>
      </c>
      <c r="AK36" s="87" t="s">
        <v>2997</v>
      </c>
      <c r="AL36" s="87" t="s">
        <v>2997</v>
      </c>
      <c r="AM36" s="101" t="str">
        <f>CHOOSE(CharGenMain!$C$212,X36,Y36,Z36,AA36,AB36,AC36,AD36,AE36,AF36,AG36,AH36,AI36,AJ36,AK36,AL36)</f>
        <v>Captures spells, see text.  +2 spellcasting</v>
      </c>
      <c r="AN36" s="101" t="str">
        <f>CHOOSE(CharGenMain!$C$213,X36,Y36,Z36,AA36,AB36,AC36,AD36,AE36,AF36,AG36,AH36,AI36,AJ36,AK36,AL36)</f>
        <v>Captures spells, see text.  +1 spellcasting</v>
      </c>
      <c r="AO36" s="101" t="str">
        <f>CHOOSE(CharGenMain!$C$214,X36,Y36,Z36,AA36,AB36,AC36,AD36,AE36,AF36,AG36,AH36,AI36,AJ36,AK36,AL36)</f>
        <v>Captures spells, see text.  +1 spellcasting</v>
      </c>
      <c r="AP36" s="101" t="str">
        <f>CHOOSE(CharGenMain!$C$215,X36,Y36,Z36,AA36,AB36,AC36,AD36,AE36,AF36,AG36,AH36,AI36,AJ36,AK36,AL36)</f>
        <v>Captures spells, see text.  +2 spellcasting</v>
      </c>
      <c r="AQ36" s="101" t="str">
        <f>CHOOSE(CharGenMain!$C$216,X36,Y36,Z36,AA36,AB36,AC36,AD36,AE36,AF36,AG36,AH36,AI36,AJ36,AK36,AL36)</f>
        <v>Captures spells, see text.  +3 spellcasting</v>
      </c>
      <c r="AR36" s="101" t="str">
        <f>CHOOSE(CharGenMain!$C$217,X36,Y36,Z36,AA36,AB36,AC36,AD36,AE36,AF36,AG36,AH36,AI36,AJ36,AK36,AL36)</f>
        <v>Captures spells, see text.  +3 spellcasting</v>
      </c>
      <c r="AS36" s="101" t="e">
        <f>CHOOSE(CharGenMain!$C$218,X36,Y36,Z36,AA36,AB36,AC36,AD36,AE36,AF36,AG36,AH36,AI36,AJ36,AK36,AL36)</f>
        <v>#VALUE!</v>
      </c>
      <c r="AT36" s="101" t="e">
        <f>CHOOSE(CharGenMain!$C$219,X36,Y36,Z36,AA36,AB36,AC36,AD36,AE36,AF36,AG36,AH36,AI36,AJ36,AK36,AL36)</f>
        <v>#VALUE!</v>
      </c>
      <c r="AU36" s="101" t="e">
        <f>CHOOSE(CharGenMain!$C$220,X36,Y36,Z36,AA36,AB36,AC36,AD36,AE36,AF36,AG36,AH36,AI36,AJ36,AK36,AL36)</f>
        <v>#VALUE!</v>
      </c>
      <c r="AV36" s="101" t="e">
        <f>CHOOSE(CharGenMain!$C$221,X36,Y36,Z36,AA36,AB36,AC36,AD36,AE36,AF36,AG36,AH36,AI36,AJ36,AK36,AL36)</f>
        <v>#VALUE!</v>
      </c>
      <c r="AW36" s="101" t="e">
        <f>CHOOSE(CharGenMain!$C$222,X36,Y36,Z36,AA36,AB36,AC36,AD36,AE36,AF36,AG36,AH36,AI36,AJ36,AK36,AL36)</f>
        <v>#VALUE!</v>
      </c>
      <c r="AX36" s="101" t="e">
        <f>CHOOSE(CharGenMain!$C$223,X36,Y36,Z36,AA36,AB36,AC36,AD36,AE36,AF36,AG36,AH36,AI36,AJ36,AK36,AL36)</f>
        <v>#VALUE!</v>
      </c>
      <c r="AY36" s="101" t="e">
        <f>CHOOSE(CharGenMain!$C$224,X36,Y36,Z36,AA36,AB36,AC36,AD36,AE36,AF36,AG36,AH36,AI36,AJ36,AK36,AL36)</f>
        <v>#VALUE!</v>
      </c>
      <c r="AZ36" s="101" t="e">
        <f>CHOOSE(CharGenMain!$C$225,X36,Y36,Z36,AA36,AB36,AC36,AD36,AE36,AF36,AG36,AH36,AI36,AJ36,AK36,AL36)</f>
        <v>#VALUE!</v>
      </c>
      <c r="BA36" s="271" t="e">
        <f>CHOOSE(CharGenMain!$C$226,X36,Y36,Z36,AA36,AB36,AC36,AD36,AE36,AF36,AG36,AH36,AI36,AJ36,AK36,AL36)</f>
        <v>#VALUE!</v>
      </c>
    </row>
    <row r="37" spans="1:53">
      <c r="A37" s="20" t="s">
        <v>2257</v>
      </c>
      <c r="B37" s="14" t="s">
        <v>2225</v>
      </c>
      <c r="C37" s="14" t="s">
        <v>5219</v>
      </c>
      <c r="D37" s="45" t="s">
        <v>2161</v>
      </c>
      <c r="F37" s="20" t="s">
        <v>4972</v>
      </c>
      <c r="G37" s="14" t="s">
        <v>1852</v>
      </c>
      <c r="H37" s="14" t="s">
        <v>5323</v>
      </c>
      <c r="I37" s="14">
        <v>3</v>
      </c>
      <c r="J37" s="14">
        <v>2</v>
      </c>
      <c r="K37" s="188" t="s">
        <v>1853</v>
      </c>
      <c r="M37" s="20" t="s">
        <v>2014</v>
      </c>
      <c r="N37" s="14" t="s">
        <v>2015</v>
      </c>
      <c r="O37" s="14" t="s">
        <v>5796</v>
      </c>
      <c r="P37" s="45" t="s">
        <v>2016</v>
      </c>
      <c r="R37" s="20" t="s">
        <v>2143</v>
      </c>
      <c r="S37" s="14" t="s">
        <v>2144</v>
      </c>
      <c r="T37" s="14" t="s">
        <v>2279</v>
      </c>
      <c r="U37" s="14">
        <v>2</v>
      </c>
      <c r="V37" s="14">
        <v>7</v>
      </c>
      <c r="W37" s="106">
        <v>15</v>
      </c>
      <c r="X37" s="206" t="s">
        <v>2145</v>
      </c>
      <c r="Y37" s="206" t="s">
        <v>2146</v>
      </c>
      <c r="Z37" s="206" t="s">
        <v>2147</v>
      </c>
      <c r="AA37" s="206" t="s">
        <v>2147</v>
      </c>
      <c r="AB37" s="206" t="s">
        <v>2147</v>
      </c>
      <c r="AC37" s="206" t="s">
        <v>2147</v>
      </c>
      <c r="AD37" s="206" t="s">
        <v>2147</v>
      </c>
      <c r="AE37" s="87" t="s">
        <v>2997</v>
      </c>
      <c r="AF37" s="87" t="s">
        <v>2997</v>
      </c>
      <c r="AG37" s="87" t="s">
        <v>2997</v>
      </c>
      <c r="AH37" s="87" t="s">
        <v>2997</v>
      </c>
      <c r="AI37" s="87" t="s">
        <v>2997</v>
      </c>
      <c r="AJ37" s="87" t="s">
        <v>2997</v>
      </c>
      <c r="AK37" s="87" t="s">
        <v>2997</v>
      </c>
      <c r="AL37" s="87" t="s">
        <v>2997</v>
      </c>
      <c r="AM37" s="101" t="str">
        <f>CHOOSE(CharGenMain!$C$212,X37,Y37,Z37,AA37,AB37,AC37,AD37,AE37,AF37,AG37,AH37,AI37,AJ37,AK37,AL37)</f>
        <v>+2 elementalist spellcasting, see text</v>
      </c>
      <c r="AN37" s="101" t="str">
        <f>CHOOSE(CharGenMain!$C$213,X37,Y37,Z37,AA37,AB37,AC37,AD37,AE37,AF37,AG37,AH37,AI37,AJ37,AK37,AL37)</f>
        <v>+1 elementalist spellcasting</v>
      </c>
      <c r="AO37" s="101" t="str">
        <f>CHOOSE(CharGenMain!$C$214,X37,Y37,Z37,AA37,AB37,AC37,AD37,AE37,AF37,AG37,AH37,AI37,AJ37,AK37,AL37)</f>
        <v>+1 elementalist spellcasting</v>
      </c>
      <c r="AP37" s="101" t="str">
        <f>CHOOSE(CharGenMain!$C$215,X37,Y37,Z37,AA37,AB37,AC37,AD37,AE37,AF37,AG37,AH37,AI37,AJ37,AK37,AL37)</f>
        <v>+2 elementalist spellcasting</v>
      </c>
      <c r="AQ37" s="101" t="str">
        <f>CHOOSE(CharGenMain!$C$216,X37,Y37,Z37,AA37,AB37,AC37,AD37,AE37,AF37,AG37,AH37,AI37,AJ37,AK37,AL37)</f>
        <v>+2 elementalist spellcasting, see text</v>
      </c>
      <c r="AR37" s="101" t="str">
        <f>CHOOSE(CharGenMain!$C$217,X37,Y37,Z37,AA37,AB37,AC37,AD37,AE37,AF37,AG37,AH37,AI37,AJ37,AK37,AL37)</f>
        <v>+2 elementalist spellcasting, see text</v>
      </c>
      <c r="AS37" s="101" t="e">
        <f>CHOOSE(CharGenMain!$C$218,X37,Y37,Z37,AA37,AB37,AC37,AD37,AE37,AF37,AG37,AH37,AI37,AJ37,AK37,AL37)</f>
        <v>#VALUE!</v>
      </c>
      <c r="AT37" s="101" t="e">
        <f>CHOOSE(CharGenMain!$C$219,X37,Y37,Z37,AA37,AB37,AC37,AD37,AE37,AF37,AG37,AH37,AI37,AJ37,AK37,AL37)</f>
        <v>#VALUE!</v>
      </c>
      <c r="AU37" s="101" t="e">
        <f>CHOOSE(CharGenMain!$C$220,X37,Y37,Z37,AA37,AB37,AC37,AD37,AE37,AF37,AG37,AH37,AI37,AJ37,AK37,AL37)</f>
        <v>#VALUE!</v>
      </c>
      <c r="AV37" s="101" t="e">
        <f>CHOOSE(CharGenMain!$C$221,X37,Y37,Z37,AA37,AB37,AC37,AD37,AE37,AF37,AG37,AH37,AI37,AJ37,AK37,AL37)</f>
        <v>#VALUE!</v>
      </c>
      <c r="AW37" s="101" t="e">
        <f>CHOOSE(CharGenMain!$C$222,X37,Y37,Z37,AA37,AB37,AC37,AD37,AE37,AF37,AG37,AH37,AI37,AJ37,AK37,AL37)</f>
        <v>#VALUE!</v>
      </c>
      <c r="AX37" s="101" t="e">
        <f>CHOOSE(CharGenMain!$C$223,X37,Y37,Z37,AA37,AB37,AC37,AD37,AE37,AF37,AG37,AH37,AI37,AJ37,AK37,AL37)</f>
        <v>#VALUE!</v>
      </c>
      <c r="AY37" s="101" t="e">
        <f>CHOOSE(CharGenMain!$C$224,X37,Y37,Z37,AA37,AB37,AC37,AD37,AE37,AF37,AG37,AH37,AI37,AJ37,AK37,AL37)</f>
        <v>#VALUE!</v>
      </c>
      <c r="AZ37" s="101" t="e">
        <f>CHOOSE(CharGenMain!$C$225,X37,Y37,Z37,AA37,AB37,AC37,AD37,AE37,AF37,AG37,AH37,AI37,AJ37,AK37,AL37)</f>
        <v>#VALUE!</v>
      </c>
      <c r="BA37" s="271" t="e">
        <f>CHOOSE(CharGenMain!$C$226,X37,Y37,Z37,AA37,AB37,AC37,AD37,AE37,AF37,AG37,AH37,AI37,AJ37,AK37,AL37)</f>
        <v>#VALUE!</v>
      </c>
    </row>
    <row r="38" spans="1:53">
      <c r="A38" s="20" t="s">
        <v>1966</v>
      </c>
      <c r="B38" s="14" t="s">
        <v>1967</v>
      </c>
      <c r="C38" s="14" t="s">
        <v>5219</v>
      </c>
      <c r="D38" s="186" t="s">
        <v>1851</v>
      </c>
      <c r="F38" s="20" t="s">
        <v>1975</v>
      </c>
      <c r="G38" s="14" t="s">
        <v>51</v>
      </c>
      <c r="H38" s="14" t="s">
        <v>5323</v>
      </c>
      <c r="I38" s="14" t="s">
        <v>3884</v>
      </c>
      <c r="J38" s="14">
        <v>2</v>
      </c>
      <c r="K38" s="28" t="s">
        <v>1976</v>
      </c>
      <c r="M38" s="20" t="s">
        <v>1922</v>
      </c>
      <c r="N38" s="14" t="s">
        <v>2367</v>
      </c>
      <c r="O38" s="14" t="s">
        <v>2501</v>
      </c>
      <c r="P38" s="45" t="s">
        <v>1923</v>
      </c>
      <c r="R38" s="20" t="s">
        <v>2049</v>
      </c>
      <c r="S38" s="14" t="s">
        <v>2050</v>
      </c>
      <c r="T38" s="14" t="s">
        <v>2279</v>
      </c>
      <c r="U38" s="14">
        <v>4</v>
      </c>
      <c r="V38" s="14">
        <v>6</v>
      </c>
      <c r="W38" s="14">
        <v>24</v>
      </c>
      <c r="X38" s="87" t="s">
        <v>2261</v>
      </c>
      <c r="Y38" s="87" t="s">
        <v>2262</v>
      </c>
      <c r="Z38" s="87" t="s">
        <v>2263</v>
      </c>
      <c r="AA38" s="87" t="s">
        <v>2264</v>
      </c>
      <c r="AB38" s="87" t="s">
        <v>2062</v>
      </c>
      <c r="AC38" s="87" t="s">
        <v>2256</v>
      </c>
      <c r="AD38" s="87" t="s">
        <v>2997</v>
      </c>
      <c r="AE38" s="87" t="s">
        <v>2997</v>
      </c>
      <c r="AF38" s="87" t="s">
        <v>2997</v>
      </c>
      <c r="AG38" s="87" t="s">
        <v>2997</v>
      </c>
      <c r="AH38" s="87" t="s">
        <v>2997</v>
      </c>
      <c r="AI38" s="87" t="s">
        <v>2997</v>
      </c>
      <c r="AJ38" s="87" t="s">
        <v>2997</v>
      </c>
      <c r="AK38" s="87" t="s">
        <v>2997</v>
      </c>
      <c r="AL38" s="87" t="s">
        <v>2997</v>
      </c>
      <c r="AM38" s="101" t="str">
        <f>CHOOSE(CharGenMain!$C$212,X38,Y38,Z38,AA38,AB38,AC38,AD38,AE38,AF38,AG38,AH38,AI38,AJ38,AK38,AL38)</f>
        <v>Charisma step +3, soc def +4</v>
      </c>
      <c r="AN38" s="101" t="str">
        <f>CHOOSE(CharGenMain!$C$213,X38,Y38,Z38,AA38,AB38,AC38,AD38,AE38,AF38,AG38,AH38,AI38,AJ38,AK38,AL38)</f>
        <v>Charisma step +1, soc def +2</v>
      </c>
      <c r="AO38" s="101" t="str">
        <f>CHOOSE(CharGenMain!$C$214,X38,Y38,Z38,AA38,AB38,AC38,AD38,AE38,AF38,AG38,AH38,AI38,AJ38,AK38,AL38)</f>
        <v>Charisma step +1, soc def +2</v>
      </c>
      <c r="AP38" s="101" t="str">
        <f>CHOOSE(CharGenMain!$C$215,X38,Y38,Z38,AA38,AB38,AC38,AD38,AE38,AF38,AG38,AH38,AI38,AJ38,AK38,AL38)</f>
        <v>Charisma step +2, soc def +3</v>
      </c>
      <c r="AQ38" s="101" t="str">
        <f>CHOOSE(CharGenMain!$C$216,X38,Y38,Z38,AA38,AB38,AC38,AD38,AE38,AF38,AG38,AH38,AI38,AJ38,AK38,AL38)</f>
        <v>Charisma step +5, soc def +5</v>
      </c>
      <c r="AR38" s="101" t="str">
        <f>CHOOSE(CharGenMain!$C$217,X38,Y38,Z38,AA38,AB38,AC38,AD38,AE38,AF38,AG38,AH38,AI38,AJ38,AK38,AL38)</f>
        <v>Charisma step +6, soc def +6</v>
      </c>
      <c r="AS38" s="101" t="e">
        <f>CHOOSE(CharGenMain!$C$218,X38,Y38,Z38,AA38,AB38,AC38,AD38,AE38,AF38,AG38,AH38,AI38,AJ38,AK38,AL38)</f>
        <v>#VALUE!</v>
      </c>
      <c r="AT38" s="101" t="e">
        <f>CHOOSE(CharGenMain!$C$219,X38,Y38,Z38,AA38,AB38,AC38,AD38,AE38,AF38,AG38,AH38,AI38,AJ38,AK38,AL38)</f>
        <v>#VALUE!</v>
      </c>
      <c r="AU38" s="101" t="e">
        <f>CHOOSE(CharGenMain!$C$220,X38,Y38,Z38,AA38,AB38,AC38,AD38,AE38,AF38,AG38,AH38,AI38,AJ38,AK38,AL38)</f>
        <v>#VALUE!</v>
      </c>
      <c r="AV38" s="101" t="e">
        <f>CHOOSE(CharGenMain!$C$221,X38,Y38,Z38,AA38,AB38,AC38,AD38,AE38,AF38,AG38,AH38,AI38,AJ38,AK38,AL38)</f>
        <v>#VALUE!</v>
      </c>
      <c r="AW38" s="101" t="e">
        <f>CHOOSE(CharGenMain!$C$222,X38,Y38,Z38,AA38,AB38,AC38,AD38,AE38,AF38,AG38,AH38,AI38,AJ38,AK38,AL38)</f>
        <v>#VALUE!</v>
      </c>
      <c r="AX38" s="101" t="e">
        <f>CHOOSE(CharGenMain!$C$223,X38,Y38,Z38,AA38,AB38,AC38,AD38,AE38,AF38,AG38,AH38,AI38,AJ38,AK38,AL38)</f>
        <v>#VALUE!</v>
      </c>
      <c r="AY38" s="101" t="e">
        <f>CHOOSE(CharGenMain!$C$224,X38,Y38,Z38,AA38,AB38,AC38,AD38,AE38,AF38,AG38,AH38,AI38,AJ38,AK38,AL38)</f>
        <v>#VALUE!</v>
      </c>
      <c r="AZ38" s="101" t="e">
        <f>CHOOSE(CharGenMain!$C$225,X38,Y38,Z38,AA38,AB38,AC38,AD38,AE38,AF38,AG38,AH38,AI38,AJ38,AK38,AL38)</f>
        <v>#VALUE!</v>
      </c>
      <c r="BA38" s="271" t="e">
        <f>CHOOSE(CharGenMain!$C$226,X38,Y38,Z38,AA38,AB38,AC38,AD38,AE38,AF38,AG38,AH38,AI38,AJ38,AK38,AL38)</f>
        <v>#VALUE!</v>
      </c>
    </row>
    <row r="39" spans="1:53">
      <c r="A39" s="20" t="s">
        <v>5317</v>
      </c>
      <c r="B39" s="14" t="s">
        <v>2660</v>
      </c>
      <c r="C39" s="14" t="s">
        <v>5219</v>
      </c>
      <c r="D39" s="45" t="s">
        <v>1974</v>
      </c>
      <c r="F39" s="20" t="s">
        <v>2094</v>
      </c>
      <c r="G39" s="14" t="s">
        <v>1852</v>
      </c>
      <c r="H39" s="14" t="s">
        <v>5323</v>
      </c>
      <c r="I39" s="14">
        <v>4</v>
      </c>
      <c r="J39" s="14">
        <v>1</v>
      </c>
      <c r="K39" s="188" t="s">
        <v>2200</v>
      </c>
      <c r="M39" s="20" t="s">
        <v>2031</v>
      </c>
      <c r="N39" s="14" t="s">
        <v>2228</v>
      </c>
      <c r="O39" s="14" t="s">
        <v>5796</v>
      </c>
      <c r="P39" s="45" t="s">
        <v>2142</v>
      </c>
      <c r="R39" s="20" t="s">
        <v>2068</v>
      </c>
      <c r="S39" s="14" t="s">
        <v>2069</v>
      </c>
      <c r="T39" s="14" t="s">
        <v>2279</v>
      </c>
      <c r="U39" s="14">
        <v>3</v>
      </c>
      <c r="V39" s="14">
        <v>5</v>
      </c>
      <c r="W39" s="14">
        <v>16</v>
      </c>
      <c r="X39" s="168" t="s">
        <v>1965</v>
      </c>
      <c r="Y39" s="168" t="s">
        <v>1965</v>
      </c>
      <c r="Z39" s="168" t="s">
        <v>1965</v>
      </c>
      <c r="AA39" s="168" t="s">
        <v>1965</v>
      </c>
      <c r="AB39" s="168" t="s">
        <v>1965</v>
      </c>
      <c r="AC39" s="87" t="s">
        <v>2997</v>
      </c>
      <c r="AD39" s="87" t="s">
        <v>2997</v>
      </c>
      <c r="AE39" s="87" t="s">
        <v>2997</v>
      </c>
      <c r="AF39" s="87" t="s">
        <v>2997</v>
      </c>
      <c r="AG39" s="87" t="s">
        <v>2997</v>
      </c>
      <c r="AH39" s="87" t="s">
        <v>2997</v>
      </c>
      <c r="AI39" s="87" t="s">
        <v>2997</v>
      </c>
      <c r="AJ39" s="87" t="s">
        <v>2997</v>
      </c>
      <c r="AK39" s="87" t="s">
        <v>2997</v>
      </c>
      <c r="AL39" s="87" t="s">
        <v>2997</v>
      </c>
      <c r="AM39" s="101" t="str">
        <f>CHOOSE(CharGenMain!$C$212,X39,Y39,Z39,AA39,AB39,AC39,AD39,AE39,AF39,AG39,AH39,AI39,AJ39,AK39,AL39)</f>
        <v>Shapes Parlainth, see text</v>
      </c>
      <c r="AN39" s="101" t="str">
        <f>CHOOSE(CharGenMain!$C$213,X39,Y39,Z39,AA39,AB39,AC39,AD39,AE39,AF39,AG39,AH39,AI39,AJ39,AK39,AL39)</f>
        <v>Shapes Parlainth, see text</v>
      </c>
      <c r="AO39" s="101" t="str">
        <f>CHOOSE(CharGenMain!$C$214,X39,Y39,Z39,AA39,AB39,AC39,AD39,AE39,AF39,AG39,AH39,AI39,AJ39,AK39,AL39)</f>
        <v>Shapes Parlainth, see text</v>
      </c>
      <c r="AP39" s="101" t="str">
        <f>CHOOSE(CharGenMain!$C$215,X39,Y39,Z39,AA39,AB39,AC39,AD39,AE39,AF39,AG39,AH39,AI39,AJ39,AK39,AL39)</f>
        <v>Shapes Parlainth, see text</v>
      </c>
      <c r="AQ39" s="101" t="str">
        <f>CHOOSE(CharGenMain!$C$216,X39,Y39,Z39,AA39,AB39,AC39,AD39,AE39,AF39,AG39,AH39,AI39,AJ39,AK39,AL39)</f>
        <v>Shapes Parlainth, see text</v>
      </c>
      <c r="AR39" s="101" t="str">
        <f>CHOOSE(CharGenMain!$C$217,X39,Y39,Z39,AA39,AB39,AC39,AD39,AE39,AF39,AG39,AH39,AI39,AJ39,AK39,AL39)</f>
        <v>Shapes Parlainth, see text</v>
      </c>
      <c r="AS39" s="101" t="e">
        <f>CHOOSE(CharGenMain!$C$218,X39,Y39,Z39,AA39,AB39,AC39,AD39,AE39,AF39,AG39,AH39,AI39,AJ39,AK39,AL39)</f>
        <v>#VALUE!</v>
      </c>
      <c r="AT39" s="101" t="e">
        <f>CHOOSE(CharGenMain!$C$219,X39,Y39,Z39,AA39,AB39,AC39,AD39,AE39,AF39,AG39,AH39,AI39,AJ39,AK39,AL39)</f>
        <v>#VALUE!</v>
      </c>
      <c r="AU39" s="101" t="e">
        <f>CHOOSE(CharGenMain!$C$220,X39,Y39,Z39,AA39,AB39,AC39,AD39,AE39,AF39,AG39,AH39,AI39,AJ39,AK39,AL39)</f>
        <v>#VALUE!</v>
      </c>
      <c r="AV39" s="101" t="e">
        <f>CHOOSE(CharGenMain!$C$221,X39,Y39,Z39,AA39,AB39,AC39,AD39,AE39,AF39,AG39,AH39,AI39,AJ39,AK39,AL39)</f>
        <v>#VALUE!</v>
      </c>
      <c r="AW39" s="101" t="e">
        <f>CHOOSE(CharGenMain!$C$222,X39,Y39,Z39,AA39,AB39,AC39,AD39,AE39,AF39,AG39,AH39,AI39,AJ39,AK39,AL39)</f>
        <v>#VALUE!</v>
      </c>
      <c r="AX39" s="101" t="e">
        <f>CHOOSE(CharGenMain!$C$223,X39,Y39,Z39,AA39,AB39,AC39,AD39,AE39,AF39,AG39,AH39,AI39,AJ39,AK39,AL39)</f>
        <v>#VALUE!</v>
      </c>
      <c r="AY39" s="101" t="e">
        <f>CHOOSE(CharGenMain!$C$224,X39,Y39,Z39,AA39,AB39,AC39,AD39,AE39,AF39,AG39,AH39,AI39,AJ39,AK39,AL39)</f>
        <v>#VALUE!</v>
      </c>
      <c r="AZ39" s="101" t="e">
        <f>CHOOSE(CharGenMain!$C$225,X39,Y39,Z39,AA39,AB39,AC39,AD39,AE39,AF39,AG39,AH39,AI39,AJ39,AK39,AL39)</f>
        <v>#VALUE!</v>
      </c>
      <c r="BA39" s="271" t="e">
        <f>CHOOSE(CharGenMain!$C$226,X39,Y39,Z39,AA39,AB39,AC39,AD39,AE39,AF39,AG39,AH39,AI39,AJ39,AK39,AL39)</f>
        <v>#VALUE!</v>
      </c>
    </row>
    <row r="40" spans="1:53">
      <c r="A40" s="20" t="s">
        <v>2092</v>
      </c>
      <c r="B40" s="14" t="s">
        <v>2660</v>
      </c>
      <c r="C40" s="14" t="s">
        <v>5219</v>
      </c>
      <c r="D40" s="186" t="s">
        <v>2093</v>
      </c>
      <c r="F40" s="20" t="s">
        <v>2109</v>
      </c>
      <c r="G40" s="14" t="s">
        <v>1852</v>
      </c>
      <c r="H40" s="14" t="s">
        <v>5323</v>
      </c>
      <c r="I40" s="14">
        <v>3</v>
      </c>
      <c r="J40" s="14">
        <v>1</v>
      </c>
      <c r="K40" s="188" t="s">
        <v>2017</v>
      </c>
      <c r="M40" s="204" t="s">
        <v>2046</v>
      </c>
      <c r="N40" s="14" t="s">
        <v>2047</v>
      </c>
      <c r="O40" s="14" t="s">
        <v>5796</v>
      </c>
      <c r="P40" s="186" t="s">
        <v>2048</v>
      </c>
      <c r="R40" s="226" t="s">
        <v>1855</v>
      </c>
      <c r="S40" s="14" t="s">
        <v>1856</v>
      </c>
      <c r="T40" s="14" t="s">
        <v>2667</v>
      </c>
      <c r="U40" s="14">
        <v>2</v>
      </c>
      <c r="V40" s="14">
        <v>3</v>
      </c>
      <c r="W40" s="14">
        <v>6</v>
      </c>
      <c r="X40" s="168" t="s">
        <v>1857</v>
      </c>
      <c r="Y40" s="168" t="s">
        <v>1858</v>
      </c>
      <c r="Z40" s="168" t="s">
        <v>1859</v>
      </c>
      <c r="AA40" s="87" t="s">
        <v>2997</v>
      </c>
      <c r="AB40" s="87" t="s">
        <v>2997</v>
      </c>
      <c r="AC40" s="87" t="s">
        <v>2997</v>
      </c>
      <c r="AD40" s="87" t="s">
        <v>2997</v>
      </c>
      <c r="AE40" s="87" t="s">
        <v>2997</v>
      </c>
      <c r="AF40" s="87" t="s">
        <v>2997</v>
      </c>
      <c r="AG40" s="87" t="s">
        <v>2997</v>
      </c>
      <c r="AH40" s="87" t="s">
        <v>2997</v>
      </c>
      <c r="AI40" s="87" t="s">
        <v>2997</v>
      </c>
      <c r="AJ40" s="87" t="s">
        <v>2997</v>
      </c>
      <c r="AK40" s="87" t="s">
        <v>2997</v>
      </c>
      <c r="AL40" s="87" t="s">
        <v>2997</v>
      </c>
      <c r="AM40" s="101" t="str">
        <f>CHOOSE(CharGenMain!$C$212,X40,Y40,Z40,AA40,AB40,AC40,AD40,AE40,AF40,AG40,AH40,AI40,AJ40,AK40,AL40)</f>
        <v>Produces documents of dictation</v>
      </c>
      <c r="AN40" s="101" t="str">
        <f>CHOOSE(CharGenMain!$C$213,X40,Y40,Z40,AA40,AB40,AC40,AD40,AE40,AF40,AG40,AH40,AI40,AJ40,AK40,AL40)</f>
        <v>Duplicates Documents</v>
      </c>
      <c r="AO40" s="101" t="str">
        <f>CHOOSE(CharGenMain!$C$214,X40,Y40,Z40,AA40,AB40,AC40,AD40,AE40,AF40,AG40,AH40,AI40,AJ40,AK40,AL40)</f>
        <v>Duplicates Documents</v>
      </c>
      <c r="AP40" s="101" t="str">
        <f>CHOOSE(CharGenMain!$C$215,X40,Y40,Z40,AA40,AB40,AC40,AD40,AE40,AF40,AG40,AH40,AI40,AJ40,AK40,AL40)</f>
        <v>Produces replicas of documents seen</v>
      </c>
      <c r="AQ40" s="101" t="str">
        <f>CHOOSE(CharGenMain!$C$216,X40,Y40,Z40,AA40,AB40,AC40,AD40,AE40,AF40,AG40,AH40,AI40,AJ40,AK40,AL40)</f>
        <v>Thread Max Exceeded</v>
      </c>
      <c r="AR40" s="101" t="str">
        <f>CHOOSE(CharGenMain!$C$217,X40,Y40,Z40,AA40,AB40,AC40,AD40,AE40,AF40,AG40,AH40,AI40,AJ40,AK40,AL40)</f>
        <v>Thread Max Exceeded</v>
      </c>
      <c r="AS40" s="101" t="e">
        <f>CHOOSE(CharGenMain!$C$218,X40,Y40,Z40,AA40,AB40,AC40,AD40,AE40,AF40,AG40,AH40,AI40,AJ40,AK40,AL40)</f>
        <v>#VALUE!</v>
      </c>
      <c r="AT40" s="101" t="e">
        <f>CHOOSE(CharGenMain!$C$219,X40,Y40,Z40,AA40,AB40,AC40,AD40,AE40,AF40,AG40,AH40,AI40,AJ40,AK40,AL40)</f>
        <v>#VALUE!</v>
      </c>
      <c r="AU40" s="101" t="e">
        <f>CHOOSE(CharGenMain!$C$220,X40,Y40,Z40,AA40,AB40,AC40,AD40,AE40,AF40,AG40,AH40,AI40,AJ40,AK40,AL40)</f>
        <v>#VALUE!</v>
      </c>
      <c r="AV40" s="101" t="e">
        <f>CHOOSE(CharGenMain!$C$221,X40,Y40,Z40,AA40,AB40,AC40,AD40,AE40,AF40,AG40,AH40,AI40,AJ40,AK40,AL40)</f>
        <v>#VALUE!</v>
      </c>
      <c r="AW40" s="101" t="e">
        <f>CHOOSE(CharGenMain!$C$222,X40,Y40,Z40,AA40,AB40,AC40,AD40,AE40,AF40,AG40,AH40,AI40,AJ40,AK40,AL40)</f>
        <v>#VALUE!</v>
      </c>
      <c r="AX40" s="101" t="e">
        <f>CHOOSE(CharGenMain!$C$223,X40,Y40,Z40,AA40,AB40,AC40,AD40,AE40,AF40,AG40,AH40,AI40,AJ40,AK40,AL40)</f>
        <v>#VALUE!</v>
      </c>
      <c r="AY40" s="101" t="e">
        <f>CHOOSE(CharGenMain!$C$224,X40,Y40,Z40,AA40,AB40,AC40,AD40,AE40,AF40,AG40,AH40,AI40,AJ40,AK40,AL40)</f>
        <v>#VALUE!</v>
      </c>
      <c r="AZ40" s="101" t="e">
        <f>CHOOSE(CharGenMain!$C$225,X40,Y40,Z40,AA40,AB40,AC40,AD40,AE40,AF40,AG40,AH40,AI40,AJ40,AK40,AL40)</f>
        <v>#VALUE!</v>
      </c>
      <c r="BA40" s="271" t="e">
        <f>CHOOSE(CharGenMain!$C$226,X40,Y40,Z40,AA40,AB40,AC40,AD40,AE40,AF40,AG40,AH40,AI40,AJ40,AK40,AL40)</f>
        <v>#VALUE!</v>
      </c>
    </row>
    <row r="41" spans="1:53">
      <c r="A41" s="20" t="s">
        <v>5322</v>
      </c>
      <c r="B41" s="14" t="s">
        <v>2660</v>
      </c>
      <c r="C41" s="14" t="s">
        <v>5219</v>
      </c>
      <c r="D41" s="45" t="s">
        <v>2110</v>
      </c>
      <c r="F41" s="20" t="s">
        <v>2013</v>
      </c>
      <c r="G41" s="14" t="s">
        <v>47</v>
      </c>
      <c r="H41" s="14" t="s">
        <v>5323</v>
      </c>
      <c r="I41" s="14">
        <v>1</v>
      </c>
      <c r="J41" s="14">
        <v>3</v>
      </c>
      <c r="K41" s="188" t="s">
        <v>1913</v>
      </c>
      <c r="M41" s="204" t="s">
        <v>2065</v>
      </c>
      <c r="N41" s="14" t="s">
        <v>2066</v>
      </c>
      <c r="O41" s="14" t="s">
        <v>5796</v>
      </c>
      <c r="P41" s="45" t="s">
        <v>2067</v>
      </c>
      <c r="R41" s="226" t="s">
        <v>2083</v>
      </c>
      <c r="S41" s="167" t="s">
        <v>1861</v>
      </c>
      <c r="T41" s="14" t="s">
        <v>2667</v>
      </c>
      <c r="U41" s="14">
        <v>3</v>
      </c>
      <c r="V41" s="14">
        <v>6</v>
      </c>
      <c r="W41" s="14">
        <v>19</v>
      </c>
      <c r="X41" s="207" t="s">
        <v>2438</v>
      </c>
      <c r="Y41" s="207" t="s">
        <v>1862</v>
      </c>
      <c r="Z41" s="207" t="s">
        <v>1863</v>
      </c>
      <c r="AA41" s="207" t="s">
        <v>1977</v>
      </c>
      <c r="AB41" s="207" t="s">
        <v>1978</v>
      </c>
      <c r="AC41" s="207" t="s">
        <v>2091</v>
      </c>
      <c r="AD41" s="87" t="s">
        <v>2997</v>
      </c>
      <c r="AE41" s="87" t="s">
        <v>2997</v>
      </c>
      <c r="AF41" s="87" t="s">
        <v>2997</v>
      </c>
      <c r="AG41" s="87" t="s">
        <v>2997</v>
      </c>
      <c r="AH41" s="87" t="s">
        <v>2997</v>
      </c>
      <c r="AI41" s="87" t="s">
        <v>2997</v>
      </c>
      <c r="AJ41" s="87" t="s">
        <v>2997</v>
      </c>
      <c r="AK41" s="87" t="s">
        <v>2997</v>
      </c>
      <c r="AL41" s="87" t="s">
        <v>2997</v>
      </c>
      <c r="AM41" s="101" t="str">
        <f>CHOOSE(CharGenMain!$C$212,X41,Y41,Z41,AA41,AB41,AC41,AD41,AE41,AF41,AG41,AH41,AI41,AJ41,AK41,AL41)</f>
        <v>+1 phys def, +1 spell def, +1 soc def</v>
      </c>
      <c r="AN41" s="101" t="str">
        <f>CHOOSE(CharGenMain!$C$213,X41,Y41,Z41,AA41,AB41,AC41,AD41,AE41,AF41,AG41,AH41,AI41,AJ41,AK41,AL41)</f>
        <v>+1 spell def</v>
      </c>
      <c r="AO41" s="101" t="str">
        <f>CHOOSE(CharGenMain!$C$214,X41,Y41,Z41,AA41,AB41,AC41,AD41,AE41,AF41,AG41,AH41,AI41,AJ41,AK41,AL41)</f>
        <v>+1 spell def</v>
      </c>
      <c r="AP41" s="101" t="str">
        <f>CHOOSE(CharGenMain!$C$215,X41,Y41,Z41,AA41,AB41,AC41,AD41,AE41,AF41,AG41,AH41,AI41,AJ41,AK41,AL41)</f>
        <v>+1 spell def, +1 soc def</v>
      </c>
      <c r="AQ41" s="101" t="str">
        <f>CHOOSE(CharGenMain!$C$216,X41,Y41,Z41,AA41,AB41,AC41,AD41,AE41,AF41,AG41,AH41,AI41,AJ41,AK41,AL41)</f>
        <v>+1 phys def, +1 spell def, +1 soc def, +1 myst arm</v>
      </c>
      <c r="AR41" s="101" t="str">
        <f>CHOOSE(CharGenMain!$C$217,X41,Y41,Z41,AA41,AB41,AC41,AD41,AE41,AF41,AG41,AH41,AI41,AJ41,AK41,AL41)</f>
        <v>+1 phys def, +1 spell def, +1 soc def, +1 phys arm, +1 myst arm</v>
      </c>
      <c r="AS41" s="101" t="e">
        <f>CHOOSE(CharGenMain!$C$218,X41,Y41,Z41,AA41,AB41,AC41,AD41,AE41,AF41,AG41,AH41,AI41,AJ41,AK41,AL41)</f>
        <v>#VALUE!</v>
      </c>
      <c r="AT41" s="101" t="e">
        <f>CHOOSE(CharGenMain!$C$219,X41,Y41,Z41,AA41,AB41,AC41,AD41,AE41,AF41,AG41,AH41,AI41,AJ41,AK41,AL41)</f>
        <v>#VALUE!</v>
      </c>
      <c r="AU41" s="101" t="e">
        <f>CHOOSE(CharGenMain!$C$220,X41,Y41,Z41,AA41,AB41,AC41,AD41,AE41,AF41,AG41,AH41,AI41,AJ41,AK41,AL41)</f>
        <v>#VALUE!</v>
      </c>
      <c r="AV41" s="101" t="e">
        <f>CHOOSE(CharGenMain!$C$221,X41,Y41,Z41,AA41,AB41,AC41,AD41,AE41,AF41,AG41,AH41,AI41,AJ41,AK41,AL41)</f>
        <v>#VALUE!</v>
      </c>
      <c r="AW41" s="101" t="e">
        <f>CHOOSE(CharGenMain!$C$222,X41,Y41,Z41,AA41,AB41,AC41,AD41,AE41,AF41,AG41,AH41,AI41,AJ41,AK41,AL41)</f>
        <v>#VALUE!</v>
      </c>
      <c r="AX41" s="101" t="e">
        <f>CHOOSE(CharGenMain!$C$223,X41,Y41,Z41,AA41,AB41,AC41,AD41,AE41,AF41,AG41,AH41,AI41,AJ41,AK41,AL41)</f>
        <v>#VALUE!</v>
      </c>
      <c r="AY41" s="101" t="e">
        <f>CHOOSE(CharGenMain!$C$224,X41,Y41,Z41,AA41,AB41,AC41,AD41,AE41,AF41,AG41,AH41,AI41,AJ41,AK41,AL41)</f>
        <v>#VALUE!</v>
      </c>
      <c r="AZ41" s="101" t="e">
        <f>CHOOSE(CharGenMain!$C$225,X41,Y41,Z41,AA41,AB41,AC41,AD41,AE41,AF41,AG41,AH41,AI41,AJ41,AK41,AL41)</f>
        <v>#VALUE!</v>
      </c>
      <c r="BA41" s="271" t="e">
        <f>CHOOSE(CharGenMain!$C$226,X41,Y41,Z41,AA41,AB41,AC41,AD41,AE41,AF41,AG41,AH41,AI41,AJ41,AK41,AL41)</f>
        <v>#VALUE!</v>
      </c>
    </row>
    <row r="42" spans="1:53">
      <c r="A42" s="20" t="s">
        <v>2011</v>
      </c>
      <c r="B42" s="14" t="s">
        <v>2443</v>
      </c>
      <c r="C42" s="14" t="s">
        <v>5219</v>
      </c>
      <c r="D42" s="45" t="s">
        <v>2012</v>
      </c>
      <c r="F42" s="20" t="s">
        <v>1805</v>
      </c>
      <c r="G42" s="14" t="s">
        <v>2181</v>
      </c>
      <c r="H42" s="14" t="s">
        <v>5323</v>
      </c>
      <c r="I42" s="14">
        <v>3</v>
      </c>
      <c r="J42" s="14">
        <v>1</v>
      </c>
      <c r="K42" s="188" t="s">
        <v>1806</v>
      </c>
      <c r="M42" s="204" t="s">
        <v>1854</v>
      </c>
      <c r="N42" s="14" t="s">
        <v>2066</v>
      </c>
      <c r="O42" s="14" t="s">
        <v>5796</v>
      </c>
      <c r="P42" s="45" t="s">
        <v>2067</v>
      </c>
      <c r="R42" s="226" t="s">
        <v>2096</v>
      </c>
      <c r="S42" s="167" t="s">
        <v>1861</v>
      </c>
      <c r="T42" s="14" t="s">
        <v>2667</v>
      </c>
      <c r="U42" s="14">
        <v>3</v>
      </c>
      <c r="V42" s="14">
        <v>6</v>
      </c>
      <c r="W42" s="14">
        <v>15</v>
      </c>
      <c r="X42" s="168" t="s">
        <v>2097</v>
      </c>
      <c r="Y42" s="168" t="s">
        <v>2098</v>
      </c>
      <c r="Z42" s="168" t="s">
        <v>1996</v>
      </c>
      <c r="AA42" s="168" t="s">
        <v>1997</v>
      </c>
      <c r="AB42" s="168" t="s">
        <v>1998</v>
      </c>
      <c r="AC42" s="168" t="s">
        <v>2213</v>
      </c>
      <c r="AD42" s="87" t="s">
        <v>2997</v>
      </c>
      <c r="AE42" s="87" t="s">
        <v>2997</v>
      </c>
      <c r="AF42" s="87" t="s">
        <v>2997</v>
      </c>
      <c r="AG42" s="87" t="s">
        <v>2997</v>
      </c>
      <c r="AH42" s="87" t="s">
        <v>2997</v>
      </c>
      <c r="AI42" s="87" t="s">
        <v>2997</v>
      </c>
      <c r="AJ42" s="87" t="s">
        <v>2997</v>
      </c>
      <c r="AK42" s="87" t="s">
        <v>2997</v>
      </c>
      <c r="AL42" s="87" t="s">
        <v>2997</v>
      </c>
      <c r="AM42" s="101" t="str">
        <f>CHOOSE(CharGenMain!$C$212,X42,Y42,Z42,AA42,AB42,AC42,AD42,AE42,AF42,AG42,AH42,AI42,AJ42,AK42,AL42)</f>
        <v>Matrix object +1 casting, +1 threadweave</v>
      </c>
      <c r="AN42" s="101" t="str">
        <f>CHOOSE(CharGenMain!$C$213,X42,Y42,Z42,AA42,AB42,AC42,AD42,AE42,AF42,AG42,AH42,AI42,AJ42,AK42,AL42)</f>
        <v>Matrix object</v>
      </c>
      <c r="AO42" s="101" t="str">
        <f>CHOOSE(CharGenMain!$C$214,X42,Y42,Z42,AA42,AB42,AC42,AD42,AE42,AF42,AG42,AH42,AI42,AJ42,AK42,AL42)</f>
        <v>Matrix object</v>
      </c>
      <c r="AP42" s="101" t="str">
        <f>CHOOSE(CharGenMain!$C$215,X42,Y42,Z42,AA42,AB42,AC42,AD42,AE42,AF42,AG42,AH42,AI42,AJ42,AK42,AL42)</f>
        <v>Matrix object +1 casting</v>
      </c>
      <c r="AQ42" s="101" t="str">
        <f>CHOOSE(CharGenMain!$C$216,X42,Y42,Z42,AA42,AB42,AC42,AD42,AE42,AF42,AG42,AH42,AI42,AJ42,AK42,AL42)</f>
        <v>Matrix object +1 casting, +1 threadweave, +1 effect</v>
      </c>
      <c r="AR42" s="101" t="str">
        <f>CHOOSE(CharGenMain!$C$217,X42,Y42,Z42,AA42,AB42,AC42,AD42,AE42,AF42,AG42,AH42,AI42,AJ42,AK42,AL42)</f>
        <v>Matrix object +1 casting, +1 threadweave, +1 effect, 2 strain = shared matrix</v>
      </c>
      <c r="AS42" s="101" t="e">
        <f>CHOOSE(CharGenMain!$C$218,X42,Y42,Z42,AA42,AB42,AC42,AD42,AE42,AF42,AG42,AH42,AI42,AJ42,AK42,AL42)</f>
        <v>#VALUE!</v>
      </c>
      <c r="AT42" s="101" t="e">
        <f>CHOOSE(CharGenMain!$C$219,X42,Y42,Z42,AA42,AB42,AC42,AD42,AE42,AF42,AG42,AH42,AI42,AJ42,AK42,AL42)</f>
        <v>#VALUE!</v>
      </c>
      <c r="AU42" s="101" t="e">
        <f>CHOOSE(CharGenMain!$C$220,X42,Y42,Z42,AA42,AB42,AC42,AD42,AE42,AF42,AG42,AH42,AI42,AJ42,AK42,AL42)</f>
        <v>#VALUE!</v>
      </c>
      <c r="AV42" s="101" t="e">
        <f>CHOOSE(CharGenMain!$C$221,X42,Y42,Z42,AA42,AB42,AC42,AD42,AE42,AF42,AG42,AH42,AI42,AJ42,AK42,AL42)</f>
        <v>#VALUE!</v>
      </c>
      <c r="AW42" s="101" t="e">
        <f>CHOOSE(CharGenMain!$C$222,X42,Y42,Z42,AA42,AB42,AC42,AD42,AE42,AF42,AG42,AH42,AI42,AJ42,AK42,AL42)</f>
        <v>#VALUE!</v>
      </c>
      <c r="AX42" s="101" t="e">
        <f>CHOOSE(CharGenMain!$C$223,X42,Y42,Z42,AA42,AB42,AC42,AD42,AE42,AF42,AG42,AH42,AI42,AJ42,AK42,AL42)</f>
        <v>#VALUE!</v>
      </c>
      <c r="AY42" s="101" t="e">
        <f>CHOOSE(CharGenMain!$C$224,X42,Y42,Z42,AA42,AB42,AC42,AD42,AE42,AF42,AG42,AH42,AI42,AJ42,AK42,AL42)</f>
        <v>#VALUE!</v>
      </c>
      <c r="AZ42" s="101" t="e">
        <f>CHOOSE(CharGenMain!$C$225,X42,Y42,Z42,AA42,AB42,AC42,AD42,AE42,AF42,AG42,AH42,AI42,AJ42,AK42,AL42)</f>
        <v>#VALUE!</v>
      </c>
      <c r="BA42" s="271" t="e">
        <f>CHOOSE(CharGenMain!$C$226,X42,Y42,Z42,AA42,AB42,AC42,AD42,AE42,AF42,AG42,AH42,AI42,AJ42,AK42,AL42)</f>
        <v>#VALUE!</v>
      </c>
    </row>
    <row r="43" spans="1:53">
      <c r="A43" s="20" t="s">
        <v>1803</v>
      </c>
      <c r="B43" s="14" t="s">
        <v>2565</v>
      </c>
      <c r="C43" s="14" t="s">
        <v>5219</v>
      </c>
      <c r="D43" s="45" t="s">
        <v>1804</v>
      </c>
      <c r="F43" s="20" t="s">
        <v>1809</v>
      </c>
      <c r="G43" s="14" t="s">
        <v>1810</v>
      </c>
      <c r="H43" s="14" t="s">
        <v>5323</v>
      </c>
      <c r="I43" s="14">
        <v>3</v>
      </c>
      <c r="J43" s="14">
        <v>1</v>
      </c>
      <c r="K43" s="188" t="s">
        <v>1811</v>
      </c>
      <c r="M43" s="204" t="s">
        <v>2082</v>
      </c>
      <c r="N43" s="14" t="s">
        <v>2066</v>
      </c>
      <c r="O43" s="14" t="s">
        <v>5796</v>
      </c>
      <c r="P43" s="45" t="s">
        <v>2067</v>
      </c>
      <c r="R43" s="226" t="s">
        <v>2313</v>
      </c>
      <c r="S43" s="14" t="s">
        <v>2111</v>
      </c>
      <c r="T43" s="14" t="s">
        <v>2223</v>
      </c>
      <c r="U43" s="14">
        <v>3</v>
      </c>
      <c r="V43" s="14">
        <v>6</v>
      </c>
      <c r="W43" s="106">
        <v>19</v>
      </c>
      <c r="X43" s="206" t="s">
        <v>2004</v>
      </c>
      <c r="Y43" s="206" t="s">
        <v>2112</v>
      </c>
      <c r="Z43" s="206" t="s">
        <v>2007</v>
      </c>
      <c r="AA43" s="206" t="s">
        <v>2008</v>
      </c>
      <c r="AB43" s="206" t="s">
        <v>2009</v>
      </c>
      <c r="AC43" s="206" t="s">
        <v>2010</v>
      </c>
      <c r="AD43" s="87" t="s">
        <v>2997</v>
      </c>
      <c r="AE43" s="87" t="s">
        <v>2997</v>
      </c>
      <c r="AF43" s="87" t="s">
        <v>2997</v>
      </c>
      <c r="AG43" s="87" t="s">
        <v>2997</v>
      </c>
      <c r="AH43" s="87" t="s">
        <v>2997</v>
      </c>
      <c r="AI43" s="87" t="s">
        <v>2997</v>
      </c>
      <c r="AJ43" s="87" t="s">
        <v>2997</v>
      </c>
      <c r="AK43" s="87" t="s">
        <v>2997</v>
      </c>
      <c r="AL43" s="87" t="s">
        <v>2997</v>
      </c>
      <c r="AM43" s="101" t="str">
        <f>CHOOSE(CharGenMain!$C$212,X43,Y43,Z43,AA43,AB43,AC43,AD43,AE43,AF43,AG43,AH43,AI43,AJ43,AK43,AL43)</f>
        <v>+2 step avoid blow, +1 step silent walk</v>
      </c>
      <c r="AN43" s="101" t="str">
        <f>CHOOSE(CharGenMain!$C$213,X43,Y43,Z43,AA43,AB43,AC43,AD43,AE43,AF43,AG43,AH43,AI43,AJ43,AK43,AL43)</f>
        <v>+1 step avoid blow</v>
      </c>
      <c r="AO43" s="101" t="str">
        <f>CHOOSE(CharGenMain!$C$214,X43,Y43,Z43,AA43,AB43,AC43,AD43,AE43,AF43,AG43,AH43,AI43,AJ43,AK43,AL43)</f>
        <v>+1 step avoid blow</v>
      </c>
      <c r="AP43" s="101" t="str">
        <f>CHOOSE(CharGenMain!$C$215,X43,Y43,Z43,AA43,AB43,AC43,AD43,AE43,AF43,AG43,AH43,AI43,AJ43,AK43,AL43)</f>
        <v>+2 step avoid blow</v>
      </c>
      <c r="AQ43" s="101" t="str">
        <f>CHOOSE(CharGenMain!$C$216,X43,Y43,Z43,AA43,AB43,AC43,AD43,AE43,AF43,AG43,AH43,AI43,AJ43,AK43,AL43)</f>
        <v>+2 step avoid blow, +2 step silent walk</v>
      </c>
      <c r="AR43" s="101" t="str">
        <f>CHOOSE(CharGenMain!$C$217,X43,Y43,Z43,AA43,AB43,AC43,AD43,AE43,AF43,AG43,AH43,AI43,AJ43,AK43,AL43)</f>
        <v>+3 step avoid blow, +3 step silent walk</v>
      </c>
      <c r="AS43" s="101" t="e">
        <f>CHOOSE(CharGenMain!$C$218,X43,Y43,Z43,AA43,AB43,AC43,AD43,AE43,AF43,AG43,AH43,AI43,AJ43,AK43,AL43)</f>
        <v>#VALUE!</v>
      </c>
      <c r="AT43" s="101" t="e">
        <f>CHOOSE(CharGenMain!$C$219,X43,Y43,Z43,AA43,AB43,AC43,AD43,AE43,AF43,AG43,AH43,AI43,AJ43,AK43,AL43)</f>
        <v>#VALUE!</v>
      </c>
      <c r="AU43" s="101" t="e">
        <f>CHOOSE(CharGenMain!$C$220,X43,Y43,Z43,AA43,AB43,AC43,AD43,AE43,AF43,AG43,AH43,AI43,AJ43,AK43,AL43)</f>
        <v>#VALUE!</v>
      </c>
      <c r="AV43" s="101" t="e">
        <f>CHOOSE(CharGenMain!$C$221,X43,Y43,Z43,AA43,AB43,AC43,AD43,AE43,AF43,AG43,AH43,AI43,AJ43,AK43,AL43)</f>
        <v>#VALUE!</v>
      </c>
      <c r="AW43" s="101" t="e">
        <f>CHOOSE(CharGenMain!$C$222,X43,Y43,Z43,AA43,AB43,AC43,AD43,AE43,AF43,AG43,AH43,AI43,AJ43,AK43,AL43)</f>
        <v>#VALUE!</v>
      </c>
      <c r="AX43" s="101" t="e">
        <f>CHOOSE(CharGenMain!$C$223,X43,Y43,Z43,AA43,AB43,AC43,AD43,AE43,AF43,AG43,AH43,AI43,AJ43,AK43,AL43)</f>
        <v>#VALUE!</v>
      </c>
      <c r="AY43" s="101" t="e">
        <f>CHOOSE(CharGenMain!$C$224,X43,Y43,Z43,AA43,AB43,AC43,AD43,AE43,AF43,AG43,AH43,AI43,AJ43,AK43,AL43)</f>
        <v>#VALUE!</v>
      </c>
      <c r="AZ43" s="101" t="e">
        <f>CHOOSE(CharGenMain!$C$225,X43,Y43,Z43,AA43,AB43,AC43,AD43,AE43,AF43,AG43,AH43,AI43,AJ43,AK43,AL43)</f>
        <v>#VALUE!</v>
      </c>
      <c r="BA43" s="271" t="e">
        <f>CHOOSE(CharGenMain!$C$226,X43,Y43,Z43,AA43,AB43,AC43,AD43,AE43,AF43,AG43,AH43,AI43,AJ43,AK43,AL43)</f>
        <v>#VALUE!</v>
      </c>
    </row>
    <row r="44" spans="1:53">
      <c r="A44" s="20" t="s">
        <v>1813</v>
      </c>
      <c r="B44" s="14" t="s">
        <v>2225</v>
      </c>
      <c r="C44" s="14" t="s">
        <v>5219</v>
      </c>
      <c r="D44" s="186" t="s">
        <v>1808</v>
      </c>
      <c r="F44" s="20" t="s">
        <v>2039</v>
      </c>
      <c r="G44" s="14" t="s">
        <v>51</v>
      </c>
      <c r="H44" s="14" t="s">
        <v>5323</v>
      </c>
      <c r="I44" s="14">
        <v>3</v>
      </c>
      <c r="J44" s="14">
        <v>3</v>
      </c>
      <c r="K44" s="28" t="s">
        <v>2040</v>
      </c>
      <c r="M44" s="204" t="s">
        <v>2095</v>
      </c>
      <c r="N44" s="14" t="s">
        <v>2066</v>
      </c>
      <c r="O44" s="14" t="s">
        <v>5796</v>
      </c>
      <c r="P44" s="45" t="s">
        <v>2067</v>
      </c>
      <c r="R44" s="226" t="s">
        <v>1800</v>
      </c>
      <c r="S44" s="14" t="s">
        <v>1801</v>
      </c>
      <c r="T44" s="14" t="s">
        <v>2223</v>
      </c>
      <c r="U44" s="14">
        <v>2</v>
      </c>
      <c r="V44" s="14">
        <v>9</v>
      </c>
      <c r="W44" s="14">
        <v>12</v>
      </c>
      <c r="X44" s="87" t="s">
        <v>1802</v>
      </c>
      <c r="Y44" s="87" t="s">
        <v>1802</v>
      </c>
      <c r="Z44" s="87" t="s">
        <v>1802</v>
      </c>
      <c r="AA44" s="87" t="s">
        <v>1802</v>
      </c>
      <c r="AB44" s="87" t="s">
        <v>1802</v>
      </c>
      <c r="AC44" s="87" t="s">
        <v>1802</v>
      </c>
      <c r="AD44" s="87" t="s">
        <v>1802</v>
      </c>
      <c r="AE44" s="87" t="s">
        <v>1802</v>
      </c>
      <c r="AF44" s="87" t="s">
        <v>1802</v>
      </c>
      <c r="AG44" s="87" t="s">
        <v>2997</v>
      </c>
      <c r="AH44" s="87" t="s">
        <v>2997</v>
      </c>
      <c r="AI44" s="87" t="s">
        <v>2997</v>
      </c>
      <c r="AJ44" s="87" t="s">
        <v>2997</v>
      </c>
      <c r="AK44" s="87" t="s">
        <v>2997</v>
      </c>
      <c r="AL44" s="87" t="s">
        <v>2997</v>
      </c>
      <c r="AM44" s="101" t="str">
        <f>CHOOSE(CharGenMain!$C$212,X44,Y44,Z44,AA44,AB44,AC44,AD44,AE44,AF44,AG44,AH44,AI44,AJ44,AK44,AL44)</f>
        <v>bonuses to mount, see text</v>
      </c>
      <c r="AN44" s="101" t="str">
        <f>CHOOSE(CharGenMain!$C$213,X44,Y44,Z44,AA44,AB44,AC44,AD44,AE44,AF44,AG44,AH44,AI44,AJ44,AK44,AL44)</f>
        <v>bonuses to mount, see text</v>
      </c>
      <c r="AO44" s="101" t="str">
        <f>CHOOSE(CharGenMain!$C$214,X44,Y44,Z44,AA44,AB44,AC44,AD44,AE44,AF44,AG44,AH44,AI44,AJ44,AK44,AL44)</f>
        <v>bonuses to mount, see text</v>
      </c>
      <c r="AP44" s="101" t="str">
        <f>CHOOSE(CharGenMain!$C$215,X44,Y44,Z44,AA44,AB44,AC44,AD44,AE44,AF44,AG44,AH44,AI44,AJ44,AK44,AL44)</f>
        <v>bonuses to mount, see text</v>
      </c>
      <c r="AQ44" s="101" t="str">
        <f>CHOOSE(CharGenMain!$C$216,X44,Y44,Z44,AA44,AB44,AC44,AD44,AE44,AF44,AG44,AH44,AI44,AJ44,AK44,AL44)</f>
        <v>bonuses to mount, see text</v>
      </c>
      <c r="AR44" s="101" t="str">
        <f>CHOOSE(CharGenMain!$C$217,X44,Y44,Z44,AA44,AB44,AC44,AD44,AE44,AF44,AG44,AH44,AI44,AJ44,AK44,AL44)</f>
        <v>bonuses to mount, see text</v>
      </c>
      <c r="AS44" s="101" t="e">
        <f>CHOOSE(CharGenMain!$C$218,X44,Y44,Z44,AA44,AB44,AC44,AD44,AE44,AF44,AG44,AH44,AI44,AJ44,AK44,AL44)</f>
        <v>#VALUE!</v>
      </c>
      <c r="AT44" s="101" t="e">
        <f>CHOOSE(CharGenMain!$C$219,X44,Y44,Z44,AA44,AB44,AC44,AD44,AE44,AF44,AG44,AH44,AI44,AJ44,AK44,AL44)</f>
        <v>#VALUE!</v>
      </c>
      <c r="AU44" s="101" t="e">
        <f>CHOOSE(CharGenMain!$C$220,X44,Y44,Z44,AA44,AB44,AC44,AD44,AE44,AF44,AG44,AH44,AI44,AJ44,AK44,AL44)</f>
        <v>#VALUE!</v>
      </c>
      <c r="AV44" s="101" t="e">
        <f>CHOOSE(CharGenMain!$C$221,X44,Y44,Z44,AA44,AB44,AC44,AD44,AE44,AF44,AG44,AH44,AI44,AJ44,AK44,AL44)</f>
        <v>#VALUE!</v>
      </c>
      <c r="AW44" s="101" t="e">
        <f>CHOOSE(CharGenMain!$C$222,X44,Y44,Z44,AA44,AB44,AC44,AD44,AE44,AF44,AG44,AH44,AI44,AJ44,AK44,AL44)</f>
        <v>#VALUE!</v>
      </c>
      <c r="AX44" s="101" t="e">
        <f>CHOOSE(CharGenMain!$C$223,X44,Y44,Z44,AA44,AB44,AC44,AD44,AE44,AF44,AG44,AH44,AI44,AJ44,AK44,AL44)</f>
        <v>#VALUE!</v>
      </c>
      <c r="AY44" s="101" t="e">
        <f>CHOOSE(CharGenMain!$C$224,X44,Y44,Z44,AA44,AB44,AC44,AD44,AE44,AF44,AG44,AH44,AI44,AJ44,AK44,AL44)</f>
        <v>#VALUE!</v>
      </c>
      <c r="AZ44" s="101" t="e">
        <f>CHOOSE(CharGenMain!$C$225,X44,Y44,Z44,AA44,AB44,AC44,AD44,AE44,AF44,AG44,AH44,AI44,AJ44,AK44,AL44)</f>
        <v>#VALUE!</v>
      </c>
      <c r="BA44" s="271" t="e">
        <f>CHOOSE(CharGenMain!$C$226,X44,Y44,Z44,AA44,AB44,AC44,AD44,AE44,AF44,AG44,AH44,AI44,AJ44,AK44,AL44)</f>
        <v>#VALUE!</v>
      </c>
    </row>
    <row r="45" spans="1:53">
      <c r="A45" s="20" t="s">
        <v>2141</v>
      </c>
      <c r="B45" s="14" t="s">
        <v>2565</v>
      </c>
      <c r="C45" s="14" t="s">
        <v>5219</v>
      </c>
      <c r="D45" s="45" t="s">
        <v>2038</v>
      </c>
      <c r="F45" s="20" t="s">
        <v>1959</v>
      </c>
      <c r="G45" s="14" t="s">
        <v>51</v>
      </c>
      <c r="H45" s="14" t="s">
        <v>5323</v>
      </c>
      <c r="I45" s="14">
        <v>2</v>
      </c>
      <c r="J45" s="14">
        <v>2</v>
      </c>
      <c r="K45" s="28" t="s">
        <v>1960</v>
      </c>
      <c r="M45" s="204" t="s">
        <v>2312</v>
      </c>
      <c r="N45" s="14" t="s">
        <v>2066</v>
      </c>
      <c r="O45" s="14" t="s">
        <v>5796</v>
      </c>
      <c r="P45" s="45" t="s">
        <v>2067</v>
      </c>
      <c r="R45" s="226" t="s">
        <v>1926</v>
      </c>
      <c r="S45" s="14" t="s">
        <v>1927</v>
      </c>
      <c r="T45" s="14" t="s">
        <v>2667</v>
      </c>
      <c r="U45" s="14">
        <v>1</v>
      </c>
      <c r="V45" s="14">
        <v>3</v>
      </c>
      <c r="W45" s="14">
        <v>9</v>
      </c>
      <c r="X45" s="87" t="s">
        <v>1928</v>
      </c>
      <c r="Y45" s="87" t="s">
        <v>1929</v>
      </c>
      <c r="Z45" s="87" t="s">
        <v>2027</v>
      </c>
      <c r="AA45" s="87" t="s">
        <v>2997</v>
      </c>
      <c r="AB45" s="87" t="s">
        <v>2997</v>
      </c>
      <c r="AC45" s="87" t="s">
        <v>2997</v>
      </c>
      <c r="AD45" s="87" t="s">
        <v>2997</v>
      </c>
      <c r="AE45" s="87" t="s">
        <v>2997</v>
      </c>
      <c r="AF45" s="87" t="s">
        <v>2997</v>
      </c>
      <c r="AG45" s="87" t="s">
        <v>2997</v>
      </c>
      <c r="AH45" s="87" t="s">
        <v>2997</v>
      </c>
      <c r="AI45" s="87" t="s">
        <v>2997</v>
      </c>
      <c r="AJ45" s="87" t="s">
        <v>2997</v>
      </c>
      <c r="AK45" s="87" t="s">
        <v>2997</v>
      </c>
      <c r="AL45" s="87" t="s">
        <v>2997</v>
      </c>
      <c r="AM45" s="101" t="str">
        <f>CHOOSE(CharGenMain!$C$212,X45,Y45,Z45,AA45,AB45,AC45,AD45,AE45,AF45,AG45,AH45,AI45,AJ45,AK45,AL45)</f>
        <v>bonus vs illusions, bonus to disguise self, spell matrix</v>
      </c>
      <c r="AN45" s="101" t="str">
        <f>CHOOSE(CharGenMain!$C$213,X45,Y45,Z45,AA45,AB45,AC45,AD45,AE45,AF45,AG45,AH45,AI45,AJ45,AK45,AL45)</f>
        <v>bonus vs illusions</v>
      </c>
      <c r="AO45" s="101" t="str">
        <f>CHOOSE(CharGenMain!$C$214,X45,Y45,Z45,AA45,AB45,AC45,AD45,AE45,AF45,AG45,AH45,AI45,AJ45,AK45,AL45)</f>
        <v>bonus vs illusions</v>
      </c>
      <c r="AP45" s="101" t="str">
        <f>CHOOSE(CharGenMain!$C$215,X45,Y45,Z45,AA45,AB45,AC45,AD45,AE45,AF45,AG45,AH45,AI45,AJ45,AK45,AL45)</f>
        <v>bonus vs illusions, bonus to disguise self</v>
      </c>
      <c r="AQ45" s="101" t="str">
        <f>CHOOSE(CharGenMain!$C$216,X45,Y45,Z45,AA45,AB45,AC45,AD45,AE45,AF45,AG45,AH45,AI45,AJ45,AK45,AL45)</f>
        <v>Thread Max Exceeded</v>
      </c>
      <c r="AR45" s="101" t="str">
        <f>CHOOSE(CharGenMain!$C$217,X45,Y45,Z45,AA45,AB45,AC45,AD45,AE45,AF45,AG45,AH45,AI45,AJ45,AK45,AL45)</f>
        <v>Thread Max Exceeded</v>
      </c>
      <c r="AS45" s="101" t="e">
        <f>CHOOSE(CharGenMain!$C$218,X45,Y45,Z45,AA45,AB45,AC45,AD45,AE45,AF45,AG45,AH45,AI45,AJ45,AK45,AL45)</f>
        <v>#VALUE!</v>
      </c>
      <c r="AT45" s="101" t="e">
        <f>CHOOSE(CharGenMain!$C$219,X45,Y45,Z45,AA45,AB45,AC45,AD45,AE45,AF45,AG45,AH45,AI45,AJ45,AK45,AL45)</f>
        <v>#VALUE!</v>
      </c>
      <c r="AU45" s="101" t="e">
        <f>CHOOSE(CharGenMain!$C$220,X45,Y45,Z45,AA45,AB45,AC45,AD45,AE45,AF45,AG45,AH45,AI45,AJ45,AK45,AL45)</f>
        <v>#VALUE!</v>
      </c>
      <c r="AV45" s="101" t="e">
        <f>CHOOSE(CharGenMain!$C$221,X45,Y45,Z45,AA45,AB45,AC45,AD45,AE45,AF45,AG45,AH45,AI45,AJ45,AK45,AL45)</f>
        <v>#VALUE!</v>
      </c>
      <c r="AW45" s="101" t="e">
        <f>CHOOSE(CharGenMain!$C$222,X45,Y45,Z45,AA45,AB45,AC45,AD45,AE45,AF45,AG45,AH45,AI45,AJ45,AK45,AL45)</f>
        <v>#VALUE!</v>
      </c>
      <c r="AX45" s="101" t="e">
        <f>CHOOSE(CharGenMain!$C$223,X45,Y45,Z45,AA45,AB45,AC45,AD45,AE45,AF45,AG45,AH45,AI45,AJ45,AK45,AL45)</f>
        <v>#VALUE!</v>
      </c>
      <c r="AY45" s="101" t="e">
        <f>CHOOSE(CharGenMain!$C$224,X45,Y45,Z45,AA45,AB45,AC45,AD45,AE45,AF45,AG45,AH45,AI45,AJ45,AK45,AL45)</f>
        <v>#VALUE!</v>
      </c>
      <c r="AZ45" s="101" t="e">
        <f>CHOOSE(CharGenMain!$C$225,X45,Y45,Z45,AA45,AB45,AC45,AD45,AE45,AF45,AG45,AH45,AI45,AJ45,AK45,AL45)</f>
        <v>#VALUE!</v>
      </c>
      <c r="BA45" s="271" t="e">
        <f>CHOOSE(CharGenMain!$C$226,X45,Y45,Z45,AA45,AB45,AC45,AD45,AE45,AF45,AG45,AH45,AI45,AJ45,AK45,AL45)</f>
        <v>#VALUE!</v>
      </c>
    </row>
    <row r="46" spans="1:53">
      <c r="A46" s="20" t="s">
        <v>2061</v>
      </c>
      <c r="B46" s="14" t="s">
        <v>2443</v>
      </c>
      <c r="C46" s="14" t="s">
        <v>5219</v>
      </c>
      <c r="D46" s="186" t="s">
        <v>2063</v>
      </c>
      <c r="F46" s="20" t="s">
        <v>1850</v>
      </c>
      <c r="G46" s="14" t="s">
        <v>51</v>
      </c>
      <c r="H46" s="14" t="s">
        <v>5323</v>
      </c>
      <c r="I46" s="14">
        <v>1</v>
      </c>
      <c r="J46" s="14">
        <v>1</v>
      </c>
      <c r="K46" s="28" t="s">
        <v>1754</v>
      </c>
      <c r="M46" s="204" t="s">
        <v>1914</v>
      </c>
      <c r="N46" s="14" t="s">
        <v>46</v>
      </c>
      <c r="O46" s="14" t="s">
        <v>5796</v>
      </c>
      <c r="P46" s="45" t="s">
        <v>1799</v>
      </c>
      <c r="R46" s="226" t="s">
        <v>1931</v>
      </c>
      <c r="S46" s="167" t="s">
        <v>1932</v>
      </c>
      <c r="T46" s="14" t="s">
        <v>2667</v>
      </c>
      <c r="U46" s="14">
        <v>2</v>
      </c>
      <c r="V46" s="14">
        <v>5</v>
      </c>
      <c r="W46" s="14">
        <v>16</v>
      </c>
      <c r="X46" s="207" t="s">
        <v>2238</v>
      </c>
      <c r="Y46" s="207" t="s">
        <v>1933</v>
      </c>
      <c r="Z46" s="207" t="s">
        <v>1863</v>
      </c>
      <c r="AA46" s="207" t="s">
        <v>2139</v>
      </c>
      <c r="AB46" s="207" t="s">
        <v>2140</v>
      </c>
      <c r="AC46" s="87" t="s">
        <v>2997</v>
      </c>
      <c r="AD46" s="87" t="s">
        <v>2997</v>
      </c>
      <c r="AE46" s="87" t="s">
        <v>2997</v>
      </c>
      <c r="AF46" s="87" t="s">
        <v>2997</v>
      </c>
      <c r="AG46" s="87" t="s">
        <v>2997</v>
      </c>
      <c r="AH46" s="87" t="s">
        <v>2997</v>
      </c>
      <c r="AI46" s="87" t="s">
        <v>2997</v>
      </c>
      <c r="AJ46" s="87" t="s">
        <v>2997</v>
      </c>
      <c r="AK46" s="87" t="s">
        <v>2997</v>
      </c>
      <c r="AL46" s="87" t="s">
        <v>2997</v>
      </c>
      <c r="AM46" s="101" t="str">
        <f>CHOOSE(CharGenMain!$C$212,X46,Y46,Z46,AA46,AB46,AC46,AD46,AE46,AF46,AG46,AH46,AI46,AJ46,AK46,AL46)</f>
        <v>+1 phys def, +1 spell def, +1 soc def</v>
      </c>
      <c r="AN46" s="101" t="str">
        <f>CHOOSE(CharGenMain!$C$213,X46,Y46,Z46,AA46,AB46,AC46,AD46,AE46,AF46,AG46,AH46,AI46,AJ46,AK46,AL46)</f>
        <v>+1 phys def</v>
      </c>
      <c r="AO46" s="101" t="str">
        <f>CHOOSE(CharGenMain!$C$214,X46,Y46,Z46,AA46,AB46,AC46,AD46,AE46,AF46,AG46,AH46,AI46,AJ46,AK46,AL46)</f>
        <v>+1 phys def</v>
      </c>
      <c r="AP46" s="101" t="str">
        <f>CHOOSE(CharGenMain!$C$215,X46,Y46,Z46,AA46,AB46,AC46,AD46,AE46,AF46,AG46,AH46,AI46,AJ46,AK46,AL46)</f>
        <v>+1 phys def, +1 soc def</v>
      </c>
      <c r="AQ46" s="101" t="str">
        <f>CHOOSE(CharGenMain!$C$216,X46,Y46,Z46,AA46,AB46,AC46,AD46,AE46,AF46,AG46,AH46,AI46,AJ46,AK46,AL46)</f>
        <v>+2 phys def, +1 spell def, +1 soc def</v>
      </c>
      <c r="AR46" s="101" t="str">
        <f>CHOOSE(CharGenMain!$C$217,X46,Y46,Z46,AA46,AB46,AC46,AD46,AE46,AF46,AG46,AH46,AI46,AJ46,AK46,AL46)</f>
        <v>+2 phys def, +1 spell def, +1 soc def, 4 strain turn into falcon</v>
      </c>
      <c r="AS46" s="101" t="e">
        <f>CHOOSE(CharGenMain!$C$218,X46,Y46,Z46,AA46,AB46,AC46,AD46,AE46,AF46,AG46,AH46,AI46,AJ46,AK46,AL46)</f>
        <v>#VALUE!</v>
      </c>
      <c r="AT46" s="101" t="e">
        <f>CHOOSE(CharGenMain!$C$219,X46,Y46,Z46,AA46,AB46,AC46,AD46,AE46,AF46,AG46,AH46,AI46,AJ46,AK46,AL46)</f>
        <v>#VALUE!</v>
      </c>
      <c r="AU46" s="101" t="e">
        <f>CHOOSE(CharGenMain!$C$220,X46,Y46,Z46,AA46,AB46,AC46,AD46,AE46,AF46,AG46,AH46,AI46,AJ46,AK46,AL46)</f>
        <v>#VALUE!</v>
      </c>
      <c r="AV46" s="101" t="e">
        <f>CHOOSE(CharGenMain!$C$221,X46,Y46,Z46,AA46,AB46,AC46,AD46,AE46,AF46,AG46,AH46,AI46,AJ46,AK46,AL46)</f>
        <v>#VALUE!</v>
      </c>
      <c r="AW46" s="101" t="e">
        <f>CHOOSE(CharGenMain!$C$222,X46,Y46,Z46,AA46,AB46,AC46,AD46,AE46,AF46,AG46,AH46,AI46,AJ46,AK46,AL46)</f>
        <v>#VALUE!</v>
      </c>
      <c r="AX46" s="101" t="e">
        <f>CHOOSE(CharGenMain!$C$223,X46,Y46,Z46,AA46,AB46,AC46,AD46,AE46,AF46,AG46,AH46,AI46,AJ46,AK46,AL46)</f>
        <v>#VALUE!</v>
      </c>
      <c r="AY46" s="101" t="e">
        <f>CHOOSE(CharGenMain!$C$224,X46,Y46,Z46,AA46,AB46,AC46,AD46,AE46,AF46,AG46,AH46,AI46,AJ46,AK46,AL46)</f>
        <v>#VALUE!</v>
      </c>
      <c r="AZ46" s="101" t="e">
        <f>CHOOSE(CharGenMain!$C$225,X46,Y46,Z46,AA46,AB46,AC46,AD46,AE46,AF46,AG46,AH46,AI46,AJ46,AK46,AL46)</f>
        <v>#VALUE!</v>
      </c>
      <c r="BA46" s="271" t="e">
        <f>CHOOSE(CharGenMain!$C$226,X46,Y46,Z46,AA46,AB46,AC46,AD46,AE46,AF46,AG46,AH46,AI46,AJ46,AK46,AL46)</f>
        <v>#VALUE!</v>
      </c>
    </row>
    <row r="47" spans="1:53">
      <c r="A47" s="20" t="s">
        <v>1957</v>
      </c>
      <c r="B47" s="14" t="s">
        <v>1958</v>
      </c>
      <c r="C47" s="14" t="s">
        <v>5219</v>
      </c>
      <c r="D47" s="45" t="s">
        <v>1849</v>
      </c>
      <c r="F47" s="20" t="s">
        <v>1860</v>
      </c>
      <c r="G47" s="14" t="s">
        <v>4107</v>
      </c>
      <c r="H47" s="14" t="s">
        <v>5323</v>
      </c>
      <c r="I47" s="14">
        <v>2</v>
      </c>
      <c r="J47" s="14">
        <v>0</v>
      </c>
      <c r="K47" s="28" t="s">
        <v>1864</v>
      </c>
      <c r="M47" s="20" t="s">
        <v>1807</v>
      </c>
      <c r="N47" s="14" t="s">
        <v>2380</v>
      </c>
      <c r="O47" s="14" t="s">
        <v>2501</v>
      </c>
      <c r="P47" s="45" t="s">
        <v>52</v>
      </c>
      <c r="R47" s="205" t="s">
        <v>2042</v>
      </c>
      <c r="S47" s="167" t="s">
        <v>2043</v>
      </c>
      <c r="T47" s="14" t="s">
        <v>2279</v>
      </c>
      <c r="U47" s="14">
        <v>4</v>
      </c>
      <c r="V47" s="14">
        <v>5</v>
      </c>
      <c r="W47" s="14">
        <v>18</v>
      </c>
      <c r="X47" s="207" t="s">
        <v>2051</v>
      </c>
      <c r="Y47" s="207" t="s">
        <v>2155</v>
      </c>
      <c r="Z47" s="207" t="s">
        <v>2156</v>
      </c>
      <c r="AA47" s="207" t="s">
        <v>2157</v>
      </c>
      <c r="AB47" s="207" t="s">
        <v>2160</v>
      </c>
      <c r="AC47" s="87" t="s">
        <v>2997</v>
      </c>
      <c r="AD47" s="87" t="s">
        <v>2997</v>
      </c>
      <c r="AE47" s="87" t="s">
        <v>2997</v>
      </c>
      <c r="AF47" s="87" t="s">
        <v>2997</v>
      </c>
      <c r="AG47" s="87" t="s">
        <v>2997</v>
      </c>
      <c r="AH47" s="87" t="s">
        <v>2997</v>
      </c>
      <c r="AI47" s="87" t="s">
        <v>2997</v>
      </c>
      <c r="AJ47" s="87" t="s">
        <v>2997</v>
      </c>
      <c r="AK47" s="87" t="s">
        <v>2997</v>
      </c>
      <c r="AL47" s="87" t="s">
        <v>2997</v>
      </c>
      <c r="AM47" s="101" t="str">
        <f>CHOOSE(CharGenMain!$C$212,X47,Y47,Z47,AA47,AB47,AC47,AD47,AE47,AF47,AG47,AH47,AI47,AJ47,AK47,AL47)</f>
        <v>+1 knockdown, +1 wound thresh, obsidiman armor</v>
      </c>
      <c r="AN47" s="101" t="str">
        <f>CHOOSE(CharGenMain!$C$213,X47,Y47,Z47,AA47,AB47,AC47,AD47,AE47,AF47,AG47,AH47,AI47,AJ47,AK47,AL47)</f>
        <v>+1 knockdown</v>
      </c>
      <c r="AO47" s="101" t="str">
        <f>CHOOSE(CharGenMain!$C$214,X47,Y47,Z47,AA47,AB47,AC47,AD47,AE47,AF47,AG47,AH47,AI47,AJ47,AK47,AL47)</f>
        <v>+1 knockdown</v>
      </c>
      <c r="AP47" s="101" t="str">
        <f>CHOOSE(CharGenMain!$C$215,X47,Y47,Z47,AA47,AB47,AC47,AD47,AE47,AF47,AG47,AH47,AI47,AJ47,AK47,AL47)</f>
        <v>+1 knockdown, +1 wound thresh</v>
      </c>
      <c r="AQ47" s="101" t="str">
        <f>CHOOSE(CharGenMain!$C$216,X47,Y47,Z47,AA47,AB47,AC47,AD47,AE47,AF47,AG47,AH47,AI47,AJ47,AK47,AL47)</f>
        <v>+2 knockdown, +2 wound thresh, obsidiman armor</v>
      </c>
      <c r="AR47" s="101" t="str">
        <f>CHOOSE(CharGenMain!$C$217,X47,Y47,Z47,AA47,AB47,AC47,AD47,AE47,AF47,AG47,AH47,AI47,AJ47,AK47,AL47)</f>
        <v>+2 knockdown, +2 wound thresh, obsidiman armor, earth's wrath</v>
      </c>
      <c r="AS47" s="101" t="e">
        <f>CHOOSE(CharGenMain!$C$218,X47,Y47,Z47,AA47,AB47,AC47,AD47,AE47,AF47,AG47,AH47,AI47,AJ47,AK47,AL47)</f>
        <v>#VALUE!</v>
      </c>
      <c r="AT47" s="101" t="e">
        <f>CHOOSE(CharGenMain!$C$219,X47,Y47,Z47,AA47,AB47,AC47,AD47,AE47,AF47,AG47,AH47,AI47,AJ47,AK47,AL47)</f>
        <v>#VALUE!</v>
      </c>
      <c r="AU47" s="101" t="e">
        <f>CHOOSE(CharGenMain!$C$220,X47,Y47,Z47,AA47,AB47,AC47,AD47,AE47,AF47,AG47,AH47,AI47,AJ47,AK47,AL47)</f>
        <v>#VALUE!</v>
      </c>
      <c r="AV47" s="101" t="e">
        <f>CHOOSE(CharGenMain!$C$221,X47,Y47,Z47,AA47,AB47,AC47,AD47,AE47,AF47,AG47,AH47,AI47,AJ47,AK47,AL47)</f>
        <v>#VALUE!</v>
      </c>
      <c r="AW47" s="101" t="e">
        <f>CHOOSE(CharGenMain!$C$222,X47,Y47,Z47,AA47,AB47,AC47,AD47,AE47,AF47,AG47,AH47,AI47,AJ47,AK47,AL47)</f>
        <v>#VALUE!</v>
      </c>
      <c r="AX47" s="101" t="e">
        <f>CHOOSE(CharGenMain!$C$223,X47,Y47,Z47,AA47,AB47,AC47,AD47,AE47,AF47,AG47,AH47,AI47,AJ47,AK47,AL47)</f>
        <v>#VALUE!</v>
      </c>
      <c r="AY47" s="101" t="e">
        <f>CHOOSE(CharGenMain!$C$224,X47,Y47,Z47,AA47,AB47,AC47,AD47,AE47,AF47,AG47,AH47,AI47,AJ47,AK47,AL47)</f>
        <v>#VALUE!</v>
      </c>
      <c r="AZ47" s="101" t="e">
        <f>CHOOSE(CharGenMain!$C$225,X47,Y47,Z47,AA47,AB47,AC47,AD47,AE47,AF47,AG47,AH47,AI47,AJ47,AK47,AL47)</f>
        <v>#VALUE!</v>
      </c>
      <c r="BA47" s="271" t="e">
        <f>CHOOSE(CharGenMain!$C$226,X47,Y47,Z47,AA47,AB47,AC47,AD47,AE47,AF47,AG47,AH47,AI47,AJ47,AK47,AL47)</f>
        <v>#VALUE!</v>
      </c>
    </row>
    <row r="48" spans="1:53">
      <c r="A48" s="20" t="s">
        <v>1763</v>
      </c>
      <c r="B48" s="14" t="s">
        <v>2225</v>
      </c>
      <c r="C48" s="14" t="s">
        <v>5219</v>
      </c>
      <c r="D48" s="45" t="s">
        <v>1764</v>
      </c>
      <c r="F48" s="204" t="s">
        <v>1871</v>
      </c>
      <c r="G48" s="14" t="s">
        <v>1872</v>
      </c>
      <c r="H48" s="14" t="s">
        <v>5323</v>
      </c>
      <c r="I48" s="14">
        <v>1</v>
      </c>
      <c r="J48" s="14">
        <v>0</v>
      </c>
      <c r="K48" s="188" t="s">
        <v>1873</v>
      </c>
      <c r="M48" s="20" t="s">
        <v>1812</v>
      </c>
      <c r="N48" s="14" t="s">
        <v>2660</v>
      </c>
      <c r="O48" s="14" t="s">
        <v>2501</v>
      </c>
      <c r="P48" s="45" t="s">
        <v>1930</v>
      </c>
      <c r="R48" s="205" t="s">
        <v>5743</v>
      </c>
      <c r="S48" s="167" t="s">
        <v>404</v>
      </c>
      <c r="T48" s="14" t="s">
        <v>2279</v>
      </c>
      <c r="U48" s="14">
        <v>2</v>
      </c>
      <c r="V48" s="14">
        <v>6</v>
      </c>
      <c r="W48" s="14">
        <v>14</v>
      </c>
      <c r="X48" s="168" t="s">
        <v>5744</v>
      </c>
      <c r="Y48" s="168" t="s">
        <v>5745</v>
      </c>
      <c r="Z48" s="168" t="s">
        <v>5746</v>
      </c>
      <c r="AA48" s="168" t="s">
        <v>5579</v>
      </c>
      <c r="AB48" s="168" t="s">
        <v>5580</v>
      </c>
      <c r="AC48" s="168" t="s">
        <v>5394</v>
      </c>
      <c r="AD48" s="87" t="s">
        <v>2997</v>
      </c>
      <c r="AE48" s="87" t="s">
        <v>2997</v>
      </c>
      <c r="AF48" s="87" t="s">
        <v>2997</v>
      </c>
      <c r="AG48" s="87" t="s">
        <v>2997</v>
      </c>
      <c r="AH48" s="87" t="s">
        <v>2997</v>
      </c>
      <c r="AI48" s="87" t="s">
        <v>2997</v>
      </c>
      <c r="AJ48" s="87" t="s">
        <v>2997</v>
      </c>
      <c r="AK48" s="87" t="s">
        <v>2997</v>
      </c>
      <c r="AL48" s="87" t="s">
        <v>2997</v>
      </c>
      <c r="AM48" s="101" t="str">
        <f>CHOOSE(CharGenMain!$C$212,X48,Y48,Z48,AA48,AB48,AC48,AD48,AE48,AF48,AG48,AH48,AI48,AJ48,AK48,AL48)</f>
        <v>Holds Matrix = to thread rank, +1 spellcasting, +1 phys def</v>
      </c>
      <c r="AN48" s="101" t="str">
        <f>CHOOSE(CharGenMain!$C$213,X48,Y48,Z48,AA48,AB48,AC48,AD48,AE48,AF48,AG48,AH48,AI48,AJ48,AK48,AL48)</f>
        <v>Holds Matrix = to thread rank</v>
      </c>
      <c r="AO48" s="101" t="str">
        <f>CHOOSE(CharGenMain!$C$214,X48,Y48,Z48,AA48,AB48,AC48,AD48,AE48,AF48,AG48,AH48,AI48,AJ48,AK48,AL48)</f>
        <v>Holds Matrix = to thread rank</v>
      </c>
      <c r="AP48" s="101" t="str">
        <f>CHOOSE(CharGenMain!$C$215,X48,Y48,Z48,AA48,AB48,AC48,AD48,AE48,AF48,AG48,AH48,AI48,AJ48,AK48,AL48)</f>
        <v>Holds Matrix = to thread rank, +1 spellcasting</v>
      </c>
      <c r="AQ48" s="101" t="str">
        <f>CHOOSE(CharGenMain!$C$216,X48,Y48,Z48,AA48,AB48,AC48,AD48,AE48,AF48,AG48,AH48,AI48,AJ48,AK48,AL48)</f>
        <v>Holds Matrix = to thread rank, +1 spellcasting, +1 willforce, +1 phys def</v>
      </c>
      <c r="AR48" s="101" t="str">
        <f>CHOOSE(CharGenMain!$C$217,X48,Y48,Z48,AA48,AB48,AC48,AD48,AE48,AF48,AG48,AH48,AI48,AJ48,AK48,AL48)</f>
        <v>Holds Matrix = to thread rank, +2 spellcasting, +1 willforce, +1 phys def</v>
      </c>
      <c r="AS48" s="101" t="e">
        <f>CHOOSE(CharGenMain!$C$218,X48,Y48,Z48,AA48,AB48,AC48,AD48,AE48,AF48,AG48,AH48,AI48,AJ48,AK48,AL48)</f>
        <v>#VALUE!</v>
      </c>
      <c r="AT48" s="101" t="e">
        <f>CHOOSE(CharGenMain!$C$219,X48,Y48,Z48,AA48,AB48,AC48,AD48,AE48,AF48,AG48,AH48,AI48,AJ48,AK48,AL48)</f>
        <v>#VALUE!</v>
      </c>
      <c r="AU48" s="101" t="e">
        <f>CHOOSE(CharGenMain!$C$220,X48,Y48,Z48,AA48,AB48,AC48,AD48,AE48,AF48,AG48,AH48,AI48,AJ48,AK48,AL48)</f>
        <v>#VALUE!</v>
      </c>
      <c r="AV48" s="101" t="e">
        <f>CHOOSE(CharGenMain!$C$221,X48,Y48,Z48,AA48,AB48,AC48,AD48,AE48,AF48,AG48,AH48,AI48,AJ48,AK48,AL48)</f>
        <v>#VALUE!</v>
      </c>
      <c r="AW48" s="101" t="e">
        <f>CHOOSE(CharGenMain!$C$222,X48,Y48,Z48,AA48,AB48,AC48,AD48,AE48,AF48,AG48,AH48,AI48,AJ48,AK48,AL48)</f>
        <v>#VALUE!</v>
      </c>
      <c r="AX48" s="101" t="e">
        <f>CHOOSE(CharGenMain!$C$223,X48,Y48,Z48,AA48,AB48,AC48,AD48,AE48,AF48,AG48,AH48,AI48,AJ48,AK48,AL48)</f>
        <v>#VALUE!</v>
      </c>
      <c r="AY48" s="101" t="e">
        <f>CHOOSE(CharGenMain!$C$224,X48,Y48,Z48,AA48,AB48,AC48,AD48,AE48,AF48,AG48,AH48,AI48,AJ48,AK48,AL48)</f>
        <v>#VALUE!</v>
      </c>
      <c r="AZ48" s="101" t="e">
        <f>CHOOSE(CharGenMain!$C$225,X48,Y48,Z48,AA48,AB48,AC48,AD48,AE48,AF48,AG48,AH48,AI48,AJ48,AK48,AL48)</f>
        <v>#VALUE!</v>
      </c>
      <c r="BA48" s="271" t="e">
        <f>CHOOSE(CharGenMain!$C$226,X48,Y48,Z48,AA48,AB48,AC48,AD48,AE48,AF48,AG48,AH48,AI48,AJ48,AK48,AL48)</f>
        <v>#VALUE!</v>
      </c>
    </row>
    <row r="49" spans="1:198">
      <c r="A49" s="20" t="s">
        <v>1869</v>
      </c>
      <c r="B49" s="14" t="s">
        <v>2225</v>
      </c>
      <c r="C49" s="14" t="s">
        <v>5219</v>
      </c>
      <c r="D49" s="45" t="s">
        <v>1870</v>
      </c>
      <c r="F49" s="20" t="s">
        <v>2090</v>
      </c>
      <c r="G49" s="14" t="s">
        <v>1810</v>
      </c>
      <c r="H49" s="14" t="s">
        <v>5323</v>
      </c>
      <c r="I49" s="14">
        <v>4</v>
      </c>
      <c r="J49" s="14">
        <v>1</v>
      </c>
      <c r="K49" s="28" t="s">
        <v>1990</v>
      </c>
      <c r="M49" s="20" t="s">
        <v>2041</v>
      </c>
      <c r="N49" s="14" t="s">
        <v>2015</v>
      </c>
      <c r="O49" s="14" t="s">
        <v>5796</v>
      </c>
      <c r="P49" s="45" t="s">
        <v>5571</v>
      </c>
      <c r="R49" s="226" t="s">
        <v>5762</v>
      </c>
      <c r="S49" s="167" t="s">
        <v>404</v>
      </c>
      <c r="T49" s="14" t="s">
        <v>2667</v>
      </c>
      <c r="U49" s="14">
        <v>2</v>
      </c>
      <c r="V49" s="14">
        <v>6</v>
      </c>
      <c r="W49" s="14">
        <v>10</v>
      </c>
      <c r="X49" s="207" t="s">
        <v>5763</v>
      </c>
      <c r="Y49" s="207" t="s">
        <v>5764</v>
      </c>
      <c r="Z49" s="207" t="s">
        <v>5765</v>
      </c>
      <c r="AA49" s="207" t="s">
        <v>5766</v>
      </c>
      <c r="AB49" s="207" t="s">
        <v>5767</v>
      </c>
      <c r="AC49" s="207" t="s">
        <v>5768</v>
      </c>
      <c r="AD49" s="87" t="s">
        <v>2997</v>
      </c>
      <c r="AE49" s="87" t="s">
        <v>2997</v>
      </c>
      <c r="AF49" s="87" t="s">
        <v>2997</v>
      </c>
      <c r="AG49" s="87" t="s">
        <v>2997</v>
      </c>
      <c r="AH49" s="87" t="s">
        <v>2997</v>
      </c>
      <c r="AI49" s="87" t="s">
        <v>2997</v>
      </c>
      <c r="AJ49" s="87" t="s">
        <v>2997</v>
      </c>
      <c r="AK49" s="87" t="s">
        <v>2997</v>
      </c>
      <c r="AL49" s="87" t="s">
        <v>2997</v>
      </c>
      <c r="AM49" s="101" t="str">
        <f>CHOOSE(CharGenMain!$C$212,X49,Y49,Z49,AA49,AB49,AC49,AD49,AE49,AF49,AG49,AH49,AI49,AJ49,AK49,AL49)</f>
        <v>+1 Unarmed Combat, +2 Claw Shape</v>
      </c>
      <c r="AN49" s="101" t="str">
        <f>CHOOSE(CharGenMain!$C$213,X49,Y49,Z49,AA49,AB49,AC49,AD49,AE49,AF49,AG49,AH49,AI49,AJ49,AK49,AL49)</f>
        <v>+1 Unarmed Combat</v>
      </c>
      <c r="AO49" s="101" t="str">
        <f>CHOOSE(CharGenMain!$C$214,X49,Y49,Z49,AA49,AB49,AC49,AD49,AE49,AF49,AG49,AH49,AI49,AJ49,AK49,AL49)</f>
        <v>+1 Unarmed Combat</v>
      </c>
      <c r="AP49" s="101" t="str">
        <f>CHOOSE(CharGenMain!$C$215,X49,Y49,Z49,AA49,AB49,AC49,AD49,AE49,AF49,AG49,AH49,AI49,AJ49,AK49,AL49)</f>
        <v>+1 Unarmed Combat, +1 Claw Shape</v>
      </c>
      <c r="AQ49" s="101" t="str">
        <f>CHOOSE(CharGenMain!$C$216,X49,Y49,Z49,AA49,AB49,AC49,AD49,AE49,AF49,AG49,AH49,AI49,AJ49,AK49,AL49)</f>
        <v>+1 Unarmed Combat, +2 Claw Shape, +1 Phys Def</v>
      </c>
      <c r="AR49" s="101" t="str">
        <f>CHOOSE(CharGenMain!$C$217,X49,Y49,Z49,AA49,AB49,AC49,AD49,AE49,AF49,AG49,AH49,AI49,AJ49,AK49,AL49)</f>
        <v>+1 Unarmed Combat, +3 Claw Shape, +1 Phys Def</v>
      </c>
      <c r="AS49" s="101" t="e">
        <f>CHOOSE(CharGenMain!$C$218,X49,Y49,Z49,AA49,AB49,AC49,AD49,AE49,AF49,AG49,AH49,AI49,AJ49,AK49,AL49)</f>
        <v>#VALUE!</v>
      </c>
      <c r="AT49" s="101" t="e">
        <f>CHOOSE(CharGenMain!$C$219,X49,Y49,Z49,AA49,AB49,AC49,AD49,AE49,AF49,AG49,AH49,AI49,AJ49,AK49,AL49)</f>
        <v>#VALUE!</v>
      </c>
      <c r="AU49" s="101" t="e">
        <f>CHOOSE(CharGenMain!$C$220,X49,Y49,Z49,AA49,AB49,AC49,AD49,AE49,AF49,AG49,AH49,AI49,AJ49,AK49,AL49)</f>
        <v>#VALUE!</v>
      </c>
      <c r="AV49" s="101" t="e">
        <f>CHOOSE(CharGenMain!$C$221,X49,Y49,Z49,AA49,AB49,AC49,AD49,AE49,AF49,AG49,AH49,AI49,AJ49,AK49,AL49)</f>
        <v>#VALUE!</v>
      </c>
      <c r="AW49" s="101" t="e">
        <f>CHOOSE(CharGenMain!$C$222,X49,Y49,Z49,AA49,AB49,AC49,AD49,AE49,AF49,AG49,AH49,AI49,AJ49,AK49,AL49)</f>
        <v>#VALUE!</v>
      </c>
      <c r="AX49" s="101" t="e">
        <f>CHOOSE(CharGenMain!$C$223,X49,Y49,Z49,AA49,AB49,AC49,AD49,AE49,AF49,AG49,AH49,AI49,AJ49,AK49,AL49)</f>
        <v>#VALUE!</v>
      </c>
      <c r="AY49" s="101" t="e">
        <f>CHOOSE(CharGenMain!$C$224,X49,Y49,Z49,AA49,AB49,AC49,AD49,AE49,AF49,AG49,AH49,AI49,AJ49,AK49,AL49)</f>
        <v>#VALUE!</v>
      </c>
      <c r="AZ49" s="101" t="e">
        <f>CHOOSE(CharGenMain!$C$225,X49,Y49,Z49,AA49,AB49,AC49,AD49,AE49,AF49,AG49,AH49,AI49,AJ49,AK49,AL49)</f>
        <v>#VALUE!</v>
      </c>
      <c r="BA49" s="271" t="e">
        <f>CHOOSE(CharGenMain!$C$226,X49,Y49,Z49,AA49,AB49,AC49,AD49,AE49,AF49,AG49,AH49,AI49,AJ49,AK49,AL49)</f>
        <v>#VALUE!</v>
      </c>
    </row>
    <row r="50" spans="1:198">
      <c r="A50" s="20" t="s">
        <v>1983</v>
      </c>
      <c r="B50" s="14" t="s">
        <v>2297</v>
      </c>
      <c r="C50" s="14" t="s">
        <v>5219</v>
      </c>
      <c r="D50" s="45" t="s">
        <v>2089</v>
      </c>
      <c r="F50" s="20" t="s">
        <v>1911</v>
      </c>
      <c r="G50" s="14" t="s">
        <v>1912</v>
      </c>
      <c r="H50" s="14" t="s">
        <v>5323</v>
      </c>
      <c r="I50" s="14">
        <v>1</v>
      </c>
      <c r="J50" s="14">
        <v>0</v>
      </c>
      <c r="K50" s="28" t="s">
        <v>1902</v>
      </c>
      <c r="M50" s="20" t="s">
        <v>1961</v>
      </c>
      <c r="N50" s="14" t="s">
        <v>2380</v>
      </c>
      <c r="O50" s="14" t="s">
        <v>2501</v>
      </c>
      <c r="P50" s="45" t="s">
        <v>1962</v>
      </c>
      <c r="R50" s="20" t="s">
        <v>1963</v>
      </c>
      <c r="S50" s="14" t="s">
        <v>1964</v>
      </c>
      <c r="T50" s="14" t="s">
        <v>2279</v>
      </c>
      <c r="U50" s="14">
        <v>3</v>
      </c>
      <c r="V50" s="14">
        <v>4</v>
      </c>
      <c r="W50" s="14">
        <v>19</v>
      </c>
      <c r="X50" s="87" t="s">
        <v>1956</v>
      </c>
      <c r="Y50" s="87" t="s">
        <v>1956</v>
      </c>
      <c r="Z50" s="87" t="s">
        <v>1956</v>
      </c>
      <c r="AA50" s="87" t="s">
        <v>1956</v>
      </c>
      <c r="AB50" s="87" t="s">
        <v>2997</v>
      </c>
      <c r="AC50" s="87" t="s">
        <v>2997</v>
      </c>
      <c r="AD50" s="87" t="s">
        <v>2997</v>
      </c>
      <c r="AE50" s="87" t="s">
        <v>2997</v>
      </c>
      <c r="AF50" s="87" t="s">
        <v>2997</v>
      </c>
      <c r="AG50" s="87" t="s">
        <v>2997</v>
      </c>
      <c r="AH50" s="87" t="s">
        <v>2997</v>
      </c>
      <c r="AI50" s="87" t="s">
        <v>2997</v>
      </c>
      <c r="AJ50" s="87" t="s">
        <v>2997</v>
      </c>
      <c r="AK50" s="87" t="s">
        <v>2997</v>
      </c>
      <c r="AL50" s="87" t="s">
        <v>2997</v>
      </c>
      <c r="AM50" s="101" t="str">
        <f>CHOOSE(CharGenMain!$C$212,X50,Y50,Z50,AA50,AB50,AC50,AD50,AE50,AF50,AG50,AH50,AI50,AJ50,AK50,AL50)</f>
        <v>portable airship, see text</v>
      </c>
      <c r="AN50" s="101" t="str">
        <f>CHOOSE(CharGenMain!$C$213,X50,Y50,Z50,AA50,AB50,AC50,AD50,AE50,AF50,AG50,AH50,AI50,AJ50,AK50,AL50)</f>
        <v>portable airship, see text</v>
      </c>
      <c r="AO50" s="101" t="str">
        <f>CHOOSE(CharGenMain!$C$214,X50,Y50,Z50,AA50,AB50,AC50,AD50,AE50,AF50,AG50,AH50,AI50,AJ50,AK50,AL50)</f>
        <v>portable airship, see text</v>
      </c>
      <c r="AP50" s="101" t="str">
        <f>CHOOSE(CharGenMain!$C$215,X50,Y50,Z50,AA50,AB50,AC50,AD50,AE50,AF50,AG50,AH50,AI50,AJ50,AK50,AL50)</f>
        <v>portable airship, see text</v>
      </c>
      <c r="AQ50" s="101" t="str">
        <f>CHOOSE(CharGenMain!$C$216,X50,Y50,Z50,AA50,AB50,AC50,AD50,AE50,AF50,AG50,AH50,AI50,AJ50,AK50,AL50)</f>
        <v>portable airship, see text</v>
      </c>
      <c r="AR50" s="101" t="str">
        <f>CHOOSE(CharGenMain!$C$217,X50,Y50,Z50,AA50,AB50,AC50,AD50,AE50,AF50,AG50,AH50,AI50,AJ50,AK50,AL50)</f>
        <v>Thread Max Exceeded</v>
      </c>
      <c r="AS50" s="101" t="e">
        <f>CHOOSE(CharGenMain!$C$218,X50,Y50,Z50,AA50,AB50,AC50,AD50,AE50,AF50,AG50,AH50,AI50,AJ50,AK50,AL50)</f>
        <v>#VALUE!</v>
      </c>
      <c r="AT50" s="101" t="e">
        <f>CHOOSE(CharGenMain!$C$219,X50,Y50,Z50,AA50,AB50,AC50,AD50,AE50,AF50,AG50,AH50,AI50,AJ50,AK50,AL50)</f>
        <v>#VALUE!</v>
      </c>
      <c r="AU50" s="101" t="e">
        <f>CHOOSE(CharGenMain!$C$220,X50,Y50,Z50,AA50,AB50,AC50,AD50,AE50,AF50,AG50,AH50,AI50,AJ50,AK50,AL50)</f>
        <v>#VALUE!</v>
      </c>
      <c r="AV50" s="101" t="e">
        <f>CHOOSE(CharGenMain!$C$221,X50,Y50,Z50,AA50,AB50,AC50,AD50,AE50,AF50,AG50,AH50,AI50,AJ50,AK50,AL50)</f>
        <v>#VALUE!</v>
      </c>
      <c r="AW50" s="101" t="e">
        <f>CHOOSE(CharGenMain!$C$222,X50,Y50,Z50,AA50,AB50,AC50,AD50,AE50,AF50,AG50,AH50,AI50,AJ50,AK50,AL50)</f>
        <v>#VALUE!</v>
      </c>
      <c r="AX50" s="101" t="e">
        <f>CHOOSE(CharGenMain!$C$223,X50,Y50,Z50,AA50,AB50,AC50,AD50,AE50,AF50,AG50,AH50,AI50,AJ50,AK50,AL50)</f>
        <v>#VALUE!</v>
      </c>
      <c r="AY50" s="101" t="e">
        <f>CHOOSE(CharGenMain!$C$224,X50,Y50,Z50,AA50,AB50,AC50,AD50,AE50,AF50,AG50,AH50,AI50,AJ50,AK50,AL50)</f>
        <v>#VALUE!</v>
      </c>
      <c r="AZ50" s="101" t="e">
        <f>CHOOSE(CharGenMain!$C$225,X50,Y50,Z50,AA50,AB50,AC50,AD50,AE50,AF50,AG50,AH50,AI50,AJ50,AK50,AL50)</f>
        <v>#VALUE!</v>
      </c>
      <c r="BA50" s="271" t="e">
        <f>CHOOSE(CharGenMain!$C$226,X50,Y50,Z50,AA50,AB50,AC50,AD50,AE50,AF50,AG50,AH50,AI50,AJ50,AK50,AL50)</f>
        <v>#VALUE!</v>
      </c>
    </row>
    <row r="51" spans="1:198">
      <c r="A51" s="20" t="s">
        <v>1909</v>
      </c>
      <c r="B51" s="14" t="s">
        <v>2443</v>
      </c>
      <c r="C51" s="14" t="s">
        <v>5219</v>
      </c>
      <c r="D51" s="186" t="s">
        <v>1910</v>
      </c>
      <c r="F51" s="20" t="s">
        <v>1713</v>
      </c>
      <c r="G51" s="14" t="s">
        <v>51</v>
      </c>
      <c r="H51" s="14" t="s">
        <v>5323</v>
      </c>
      <c r="I51" s="14">
        <v>7</v>
      </c>
      <c r="J51" s="14">
        <v>3</v>
      </c>
      <c r="K51" s="28" t="s">
        <v>1714</v>
      </c>
      <c r="M51" s="20" t="s">
        <v>1755</v>
      </c>
      <c r="N51" s="14" t="s">
        <v>1756</v>
      </c>
      <c r="O51" s="14" t="s">
        <v>5796</v>
      </c>
      <c r="P51" s="45" t="s">
        <v>1757</v>
      </c>
      <c r="R51" s="226" t="s">
        <v>1758</v>
      </c>
      <c r="S51" s="14" t="s">
        <v>1759</v>
      </c>
      <c r="T51" s="14" t="s">
        <v>2667</v>
      </c>
      <c r="U51" s="14">
        <v>2</v>
      </c>
      <c r="V51" s="14">
        <v>4</v>
      </c>
      <c r="W51" s="14">
        <v>14</v>
      </c>
      <c r="X51" s="87" t="s">
        <v>1760</v>
      </c>
      <c r="Y51" s="87" t="s">
        <v>1761</v>
      </c>
      <c r="Z51" s="87" t="s">
        <v>1762</v>
      </c>
      <c r="AA51" s="87" t="s">
        <v>1762</v>
      </c>
      <c r="AB51" s="87" t="s">
        <v>2997</v>
      </c>
      <c r="AC51" s="87" t="s">
        <v>2997</v>
      </c>
      <c r="AD51" s="87" t="s">
        <v>2997</v>
      </c>
      <c r="AE51" s="87" t="s">
        <v>2997</v>
      </c>
      <c r="AF51" s="87" t="s">
        <v>2997</v>
      </c>
      <c r="AG51" s="87" t="s">
        <v>2997</v>
      </c>
      <c r="AH51" s="87" t="s">
        <v>2997</v>
      </c>
      <c r="AI51" s="87" t="s">
        <v>2997</v>
      </c>
      <c r="AJ51" s="87" t="s">
        <v>2997</v>
      </c>
      <c r="AK51" s="87" t="s">
        <v>2997</v>
      </c>
      <c r="AL51" s="87" t="s">
        <v>2997</v>
      </c>
      <c r="AM51" s="101" t="str">
        <f>CHOOSE(CharGenMain!$C$212,X51,Y51,Z51,AA51,AB51,AC51,AD51,AE51,AF51,AG51,AH51,AI51,AJ51,AK51,AL51)</f>
        <v>spellcasting +1, +2 spell def, +2 mystic, see text</v>
      </c>
      <c r="AN51" s="101" t="str">
        <f>CHOOSE(CharGenMain!$C$213,X51,Y51,Z51,AA51,AB51,AC51,AD51,AE51,AF51,AG51,AH51,AI51,AJ51,AK51,AL51)</f>
        <v>spellcasting +1</v>
      </c>
      <c r="AO51" s="101" t="str">
        <f>CHOOSE(CharGenMain!$C$214,X51,Y51,Z51,AA51,AB51,AC51,AD51,AE51,AF51,AG51,AH51,AI51,AJ51,AK51,AL51)</f>
        <v>spellcasting +1</v>
      </c>
      <c r="AP51" s="101" t="str">
        <f>CHOOSE(CharGenMain!$C$215,X51,Y51,Z51,AA51,AB51,AC51,AD51,AE51,AF51,AG51,AH51,AI51,AJ51,AK51,AL51)</f>
        <v>spellcasting +1, +2 spell def, +2 mystic</v>
      </c>
      <c r="AQ51" s="101" t="str">
        <f>CHOOSE(CharGenMain!$C$216,X51,Y51,Z51,AA51,AB51,AC51,AD51,AE51,AF51,AG51,AH51,AI51,AJ51,AK51,AL51)</f>
        <v>spellcasting +1, +2 spell def, +2 mystic, see text</v>
      </c>
      <c r="AR51" s="101" t="str">
        <f>CHOOSE(CharGenMain!$C$217,X51,Y51,Z51,AA51,AB51,AC51,AD51,AE51,AF51,AG51,AH51,AI51,AJ51,AK51,AL51)</f>
        <v>Thread Max Exceeded</v>
      </c>
      <c r="AS51" s="101" t="e">
        <f>CHOOSE(CharGenMain!$C$218,X51,Y51,Z51,AA51,AB51,AC51,AD51,AE51,AF51,AG51,AH51,AI51,AJ51,AK51,AL51)</f>
        <v>#VALUE!</v>
      </c>
      <c r="AT51" s="101" t="e">
        <f>CHOOSE(CharGenMain!$C$219,X51,Y51,Z51,AA51,AB51,AC51,AD51,AE51,AF51,AG51,AH51,AI51,AJ51,AK51,AL51)</f>
        <v>#VALUE!</v>
      </c>
      <c r="AU51" s="101" t="e">
        <f>CHOOSE(CharGenMain!$C$220,X51,Y51,Z51,AA51,AB51,AC51,AD51,AE51,AF51,AG51,AH51,AI51,AJ51,AK51,AL51)</f>
        <v>#VALUE!</v>
      </c>
      <c r="AV51" s="101" t="e">
        <f>CHOOSE(CharGenMain!$C$221,X51,Y51,Z51,AA51,AB51,AC51,AD51,AE51,AF51,AG51,AH51,AI51,AJ51,AK51,AL51)</f>
        <v>#VALUE!</v>
      </c>
      <c r="AW51" s="101" t="e">
        <f>CHOOSE(CharGenMain!$C$222,X51,Y51,Z51,AA51,AB51,AC51,AD51,AE51,AF51,AG51,AH51,AI51,AJ51,AK51,AL51)</f>
        <v>#VALUE!</v>
      </c>
      <c r="AX51" s="101" t="e">
        <f>CHOOSE(CharGenMain!$C$223,X51,Y51,Z51,AA51,AB51,AC51,AD51,AE51,AF51,AG51,AH51,AI51,AJ51,AK51,AL51)</f>
        <v>#VALUE!</v>
      </c>
      <c r="AY51" s="101" t="e">
        <f>CHOOSE(CharGenMain!$C$224,X51,Y51,Z51,AA51,AB51,AC51,AD51,AE51,AF51,AG51,AH51,AI51,AJ51,AK51,AL51)</f>
        <v>#VALUE!</v>
      </c>
      <c r="AZ51" s="101" t="e">
        <f>CHOOSE(CharGenMain!$C$225,X51,Y51,Z51,AA51,AB51,AC51,AD51,AE51,AF51,AG51,AH51,AI51,AJ51,AK51,AL51)</f>
        <v>#VALUE!</v>
      </c>
      <c r="BA51" s="271" t="e">
        <f>CHOOSE(CharGenMain!$C$226,X51,Y51,Z51,AA51,AB51,AC51,AD51,AE51,AF51,AG51,AH51,AI51,AJ51,AK51,AL51)</f>
        <v>#VALUE!</v>
      </c>
    </row>
    <row r="52" spans="1:198">
      <c r="A52" s="20" t="s">
        <v>1711</v>
      </c>
      <c r="B52" s="14" t="s">
        <v>2443</v>
      </c>
      <c r="C52" s="14" t="s">
        <v>5219</v>
      </c>
      <c r="D52" s="186" t="s">
        <v>1712</v>
      </c>
      <c r="F52" s="20" t="s">
        <v>1936</v>
      </c>
      <c r="G52" s="14" t="s">
        <v>1937</v>
      </c>
      <c r="H52" s="14" t="s">
        <v>5323</v>
      </c>
      <c r="I52" s="14">
        <v>6</v>
      </c>
      <c r="J52" s="14">
        <v>3</v>
      </c>
      <c r="K52" s="28" t="s">
        <v>2032</v>
      </c>
      <c r="M52" s="20" t="s">
        <v>1865</v>
      </c>
      <c r="N52" s="14" t="s">
        <v>2015</v>
      </c>
      <c r="O52" s="14" t="s">
        <v>5796</v>
      </c>
      <c r="P52" s="45" t="s">
        <v>1866</v>
      </c>
      <c r="R52" s="226" t="s">
        <v>1867</v>
      </c>
      <c r="S52" s="14" t="s">
        <v>1925</v>
      </c>
      <c r="T52" s="14" t="s">
        <v>2223</v>
      </c>
      <c r="U52" s="14">
        <v>2</v>
      </c>
      <c r="V52" s="14">
        <v>6</v>
      </c>
      <c r="W52" s="14">
        <v>13</v>
      </c>
      <c r="X52" s="87" t="s">
        <v>1868</v>
      </c>
      <c r="Y52" s="87" t="s">
        <v>1868</v>
      </c>
      <c r="Z52" s="87" t="s">
        <v>1868</v>
      </c>
      <c r="AA52" s="87" t="s">
        <v>1868</v>
      </c>
      <c r="AB52" s="87" t="s">
        <v>1868</v>
      </c>
      <c r="AC52" s="87" t="s">
        <v>1868</v>
      </c>
      <c r="AD52" s="87" t="s">
        <v>2997</v>
      </c>
      <c r="AE52" s="87" t="s">
        <v>2997</v>
      </c>
      <c r="AF52" s="87" t="s">
        <v>2997</v>
      </c>
      <c r="AG52" s="87" t="s">
        <v>2997</v>
      </c>
      <c r="AH52" s="87" t="s">
        <v>2997</v>
      </c>
      <c r="AI52" s="87" t="s">
        <v>2997</v>
      </c>
      <c r="AJ52" s="87" t="s">
        <v>2997</v>
      </c>
      <c r="AK52" s="87" t="s">
        <v>2997</v>
      </c>
      <c r="AL52" s="87" t="s">
        <v>2997</v>
      </c>
      <c r="AM52" s="101" t="str">
        <f>CHOOSE(CharGenMain!$C$212,X52,Y52,Z52,AA52,AB52,AC52,AD52,AE52,AF52,AG52,AH52,AI52,AJ52,AK52,AL52)</f>
        <v>Holds throwing frost, see text</v>
      </c>
      <c r="AN52" s="101" t="str">
        <f>CHOOSE(CharGenMain!$C$213,X52,Y52,Z52,AA52,AB52,AC52,AD52,AE52,AF52,AG52,AH52,AI52,AJ52,AK52,AL52)</f>
        <v>Holds throwing frost, see text</v>
      </c>
      <c r="AO52" s="101" t="str">
        <f>CHOOSE(CharGenMain!$C$214,X52,Y52,Z52,AA52,AB52,AC52,AD52,AE52,AF52,AG52,AH52,AI52,AJ52,AK52,AL52)</f>
        <v>Holds throwing frost, see text</v>
      </c>
      <c r="AP52" s="101" t="str">
        <f>CHOOSE(CharGenMain!$C$215,X52,Y52,Z52,AA52,AB52,AC52,AD52,AE52,AF52,AG52,AH52,AI52,AJ52,AK52,AL52)</f>
        <v>Holds throwing frost, see text</v>
      </c>
      <c r="AQ52" s="101" t="str">
        <f>CHOOSE(CharGenMain!$C$216,X52,Y52,Z52,AA52,AB52,AC52,AD52,AE52,AF52,AG52,AH52,AI52,AJ52,AK52,AL52)</f>
        <v>Holds throwing frost, see text</v>
      </c>
      <c r="AR52" s="101" t="str">
        <f>CHOOSE(CharGenMain!$C$217,X52,Y52,Z52,AA52,AB52,AC52,AD52,AE52,AF52,AG52,AH52,AI52,AJ52,AK52,AL52)</f>
        <v>Holds throwing frost, see text</v>
      </c>
      <c r="AS52" s="101" t="e">
        <f>CHOOSE(CharGenMain!$C$218,X52,Y52,Z52,AA52,AB52,AC52,AD52,AE52,AF52,AG52,AH52,AI52,AJ52,AK52,AL52)</f>
        <v>#VALUE!</v>
      </c>
      <c r="AT52" s="101" t="e">
        <f>CHOOSE(CharGenMain!$C$219,X52,Y52,Z52,AA52,AB52,AC52,AD52,AE52,AF52,AG52,AH52,AI52,AJ52,AK52,AL52)</f>
        <v>#VALUE!</v>
      </c>
      <c r="AU52" s="101" t="e">
        <f>CHOOSE(CharGenMain!$C$220,X52,Y52,Z52,AA52,AB52,AC52,AD52,AE52,AF52,AG52,AH52,AI52,AJ52,AK52,AL52)</f>
        <v>#VALUE!</v>
      </c>
      <c r="AV52" s="101" t="e">
        <f>CHOOSE(CharGenMain!$C$221,X52,Y52,Z52,AA52,AB52,AC52,AD52,AE52,AF52,AG52,AH52,AI52,AJ52,AK52,AL52)</f>
        <v>#VALUE!</v>
      </c>
      <c r="AW52" s="101" t="e">
        <f>CHOOSE(CharGenMain!$C$222,X52,Y52,Z52,AA52,AB52,AC52,AD52,AE52,AF52,AG52,AH52,AI52,AJ52,AK52,AL52)</f>
        <v>#VALUE!</v>
      </c>
      <c r="AX52" s="101" t="e">
        <f>CHOOSE(CharGenMain!$C$223,X52,Y52,Z52,AA52,AB52,AC52,AD52,AE52,AF52,AG52,AH52,AI52,AJ52,AK52,AL52)</f>
        <v>#VALUE!</v>
      </c>
      <c r="AY52" s="101" t="e">
        <f>CHOOSE(CharGenMain!$C$224,X52,Y52,Z52,AA52,AB52,AC52,AD52,AE52,AF52,AG52,AH52,AI52,AJ52,AK52,AL52)</f>
        <v>#VALUE!</v>
      </c>
      <c r="AZ52" s="101" t="e">
        <f>CHOOSE(CharGenMain!$C$225,X52,Y52,Z52,AA52,AB52,AC52,AD52,AE52,AF52,AG52,AH52,AI52,AJ52,AK52,AL52)</f>
        <v>#VALUE!</v>
      </c>
      <c r="BA52" s="271" t="e">
        <f>CHOOSE(CharGenMain!$C$226,X52,Y52,Z52,AA52,AB52,AC52,AD52,AE52,AF52,AG52,AH52,AI52,AJ52,AK52,AL52)</f>
        <v>#VALUE!</v>
      </c>
    </row>
    <row r="53" spans="1:198">
      <c r="A53" s="20" t="s">
        <v>1934</v>
      </c>
      <c r="B53" s="14" t="s">
        <v>2565</v>
      </c>
      <c r="C53" s="14" t="s">
        <v>5219</v>
      </c>
      <c r="D53" s="186" t="s">
        <v>1935</v>
      </c>
      <c r="F53" s="20" t="s">
        <v>1947</v>
      </c>
      <c r="G53" s="14" t="s">
        <v>1810</v>
      </c>
      <c r="H53" s="14" t="s">
        <v>5323</v>
      </c>
      <c r="I53" s="14">
        <v>3</v>
      </c>
      <c r="J53" s="14">
        <v>1</v>
      </c>
      <c r="K53" s="188" t="s">
        <v>1948</v>
      </c>
      <c r="M53" s="20" t="s">
        <v>1984</v>
      </c>
      <c r="N53" s="14" t="s">
        <v>2087</v>
      </c>
      <c r="O53" s="14" t="s">
        <v>2279</v>
      </c>
      <c r="P53" s="28" t="s">
        <v>2435</v>
      </c>
      <c r="R53" s="226" t="s">
        <v>1979</v>
      </c>
      <c r="S53" s="14" t="s">
        <v>2381</v>
      </c>
      <c r="T53" s="14" t="s">
        <v>2667</v>
      </c>
      <c r="U53" s="14">
        <v>2</v>
      </c>
      <c r="V53" s="14">
        <v>3</v>
      </c>
      <c r="W53" s="106">
        <v>13</v>
      </c>
      <c r="X53" s="206" t="s">
        <v>1980</v>
      </c>
      <c r="Y53" s="206" t="s">
        <v>1981</v>
      </c>
      <c r="Z53" s="206" t="s">
        <v>1982</v>
      </c>
      <c r="AA53" s="87" t="s">
        <v>2997</v>
      </c>
      <c r="AB53" s="87" t="s">
        <v>2997</v>
      </c>
      <c r="AC53" s="87" t="s">
        <v>2997</v>
      </c>
      <c r="AD53" s="87" t="s">
        <v>2997</v>
      </c>
      <c r="AE53" s="87" t="s">
        <v>2997</v>
      </c>
      <c r="AF53" s="87" t="s">
        <v>2997</v>
      </c>
      <c r="AG53" s="87" t="s">
        <v>2997</v>
      </c>
      <c r="AH53" s="87" t="s">
        <v>2997</v>
      </c>
      <c r="AI53" s="87" t="s">
        <v>2997</v>
      </c>
      <c r="AJ53" s="87" t="s">
        <v>2997</v>
      </c>
      <c r="AK53" s="87" t="s">
        <v>2997</v>
      </c>
      <c r="AL53" s="87" t="s">
        <v>2997</v>
      </c>
      <c r="AM53" s="101" t="str">
        <f>CHOOSE(CharGenMain!$C$212,X53,Y53,Z53,AA53,AB53,AC53,AD53,AE53,AF53,AG53,AH53,AI53,AJ53,AK53,AL53)</f>
        <v>+3 step to damage tests</v>
      </c>
      <c r="AN53" s="101" t="str">
        <f>CHOOSE(CharGenMain!$C$213,X53,Y53,Z53,AA53,AB53,AC53,AD53,AE53,AF53,AG53,AH53,AI53,AJ53,AK53,AL53)</f>
        <v>+1 step to damage tests</v>
      </c>
      <c r="AO53" s="101" t="str">
        <f>CHOOSE(CharGenMain!$C$214,X53,Y53,Z53,AA53,AB53,AC53,AD53,AE53,AF53,AG53,AH53,AI53,AJ53,AK53,AL53)</f>
        <v>+1 step to damage tests</v>
      </c>
      <c r="AP53" s="101" t="str">
        <f>CHOOSE(CharGenMain!$C$215,X53,Y53,Z53,AA53,AB53,AC53,AD53,AE53,AF53,AG53,AH53,AI53,AJ53,AK53,AL53)</f>
        <v>+2 step to damage tests</v>
      </c>
      <c r="AQ53" s="101" t="str">
        <f>CHOOSE(CharGenMain!$C$216,X53,Y53,Z53,AA53,AB53,AC53,AD53,AE53,AF53,AG53,AH53,AI53,AJ53,AK53,AL53)</f>
        <v>Thread Max Exceeded</v>
      </c>
      <c r="AR53" s="101" t="str">
        <f>CHOOSE(CharGenMain!$C$217,X53,Y53,Z53,AA53,AB53,AC53,AD53,AE53,AF53,AG53,AH53,AI53,AJ53,AK53,AL53)</f>
        <v>Thread Max Exceeded</v>
      </c>
      <c r="AS53" s="101" t="e">
        <f>CHOOSE(CharGenMain!$C$218,X53,Y53,Z53,AA53,AB53,AC53,AD53,AE53,AF53,AG53,AH53,AI53,AJ53,AK53,AL53)</f>
        <v>#VALUE!</v>
      </c>
      <c r="AT53" s="101" t="e">
        <f>CHOOSE(CharGenMain!$C$219,X53,Y53,Z53,AA53,AB53,AC53,AD53,AE53,AF53,AG53,AH53,AI53,AJ53,AK53,AL53)</f>
        <v>#VALUE!</v>
      </c>
      <c r="AU53" s="101" t="e">
        <f>CHOOSE(CharGenMain!$C$220,X53,Y53,Z53,AA53,AB53,AC53,AD53,AE53,AF53,AG53,AH53,AI53,AJ53,AK53,AL53)</f>
        <v>#VALUE!</v>
      </c>
      <c r="AV53" s="101" t="e">
        <f>CHOOSE(CharGenMain!$C$221,X53,Y53,Z53,AA53,AB53,AC53,AD53,AE53,AF53,AG53,AH53,AI53,AJ53,AK53,AL53)</f>
        <v>#VALUE!</v>
      </c>
      <c r="AW53" s="101" t="e">
        <f>CHOOSE(CharGenMain!$C$222,X53,Y53,Z53,AA53,AB53,AC53,AD53,AE53,AF53,AG53,AH53,AI53,AJ53,AK53,AL53)</f>
        <v>#VALUE!</v>
      </c>
      <c r="AX53" s="101" t="e">
        <f>CHOOSE(CharGenMain!$C$223,X53,Y53,Z53,AA53,AB53,AC53,AD53,AE53,AF53,AG53,AH53,AI53,AJ53,AK53,AL53)</f>
        <v>#VALUE!</v>
      </c>
      <c r="AY53" s="101" t="e">
        <f>CHOOSE(CharGenMain!$C$224,X53,Y53,Z53,AA53,AB53,AC53,AD53,AE53,AF53,AG53,AH53,AI53,AJ53,AK53,AL53)</f>
        <v>#VALUE!</v>
      </c>
      <c r="AZ53" s="101" t="e">
        <f>CHOOSE(CharGenMain!$C$225,X53,Y53,Z53,AA53,AB53,AC53,AD53,AE53,AF53,AG53,AH53,AI53,AJ53,AK53,AL53)</f>
        <v>#VALUE!</v>
      </c>
      <c r="BA53" s="271" t="e">
        <f>CHOOSE(CharGenMain!$C$226,X53,Y53,Z53,AA53,AB53,AC53,AD53,AE53,AF53,AG53,AH53,AI53,AJ53,AK53,AL53)</f>
        <v>#VALUE!</v>
      </c>
    </row>
    <row r="54" spans="1:198">
      <c r="A54" s="20" t="s">
        <v>1835</v>
      </c>
      <c r="B54" s="14" t="s">
        <v>2297</v>
      </c>
      <c r="C54" s="14" t="s">
        <v>5219</v>
      </c>
      <c r="D54" s="186" t="s">
        <v>1946</v>
      </c>
      <c r="F54" s="20" t="s">
        <v>2057</v>
      </c>
      <c r="G54" s="14" t="s">
        <v>1852</v>
      </c>
      <c r="H54" s="14" t="s">
        <v>5323</v>
      </c>
      <c r="I54" s="14">
        <v>2</v>
      </c>
      <c r="J54" s="14">
        <v>1</v>
      </c>
      <c r="K54" s="188" t="s">
        <v>2241</v>
      </c>
      <c r="M54" s="204" t="s">
        <v>1991</v>
      </c>
      <c r="N54" s="14" t="s">
        <v>2047</v>
      </c>
      <c r="O54" s="14" t="s">
        <v>5796</v>
      </c>
      <c r="P54" s="186" t="s">
        <v>1992</v>
      </c>
      <c r="R54" s="20" t="s">
        <v>1993</v>
      </c>
      <c r="S54" s="14" t="s">
        <v>4742</v>
      </c>
      <c r="T54" s="14" t="s">
        <v>2279</v>
      </c>
      <c r="U54" s="14">
        <v>3</v>
      </c>
      <c r="V54" s="14">
        <v>9</v>
      </c>
      <c r="W54" s="106">
        <v>19</v>
      </c>
      <c r="X54" s="206" t="s">
        <v>1999</v>
      </c>
      <c r="Y54" s="206" t="s">
        <v>2000</v>
      </c>
      <c r="Z54" s="206" t="s">
        <v>2001</v>
      </c>
      <c r="AA54" s="206" t="s">
        <v>2104</v>
      </c>
      <c r="AB54" s="206" t="s">
        <v>2106</v>
      </c>
      <c r="AC54" s="206" t="s">
        <v>2107</v>
      </c>
      <c r="AD54" s="206" t="s">
        <v>2108</v>
      </c>
      <c r="AE54" s="206" t="s">
        <v>2005</v>
      </c>
      <c r="AF54" s="206" t="s">
        <v>2006</v>
      </c>
      <c r="AG54" s="87" t="s">
        <v>2997</v>
      </c>
      <c r="AH54" s="87" t="s">
        <v>2997</v>
      </c>
      <c r="AI54" s="87" t="s">
        <v>2997</v>
      </c>
      <c r="AJ54" s="87" t="s">
        <v>2997</v>
      </c>
      <c r="AK54" s="87" t="s">
        <v>2997</v>
      </c>
      <c r="AL54" s="87" t="s">
        <v>2997</v>
      </c>
      <c r="AM54" s="101" t="str">
        <f>CHOOSE(CharGenMain!$C$212,X54,Y54,Z54,AA54,AB54,AC54,AD54,AE54,AF54,AG54,AH54,AI54,AJ54,AK54,AL54)</f>
        <v>+6 damage &amp; +1 phys def in unarmed combat</v>
      </c>
      <c r="AN54" s="101" t="str">
        <f>CHOOSE(CharGenMain!$C$213,X54,Y54,Z54,AA54,AB54,AC54,AD54,AE54,AF54,AG54,AH54,AI54,AJ54,AK54,AL54)</f>
        <v>+4 damage in unarmed combat</v>
      </c>
      <c r="AO54" s="101" t="str">
        <f>CHOOSE(CharGenMain!$C$214,X54,Y54,Z54,AA54,AB54,AC54,AD54,AE54,AF54,AG54,AH54,AI54,AJ54,AK54,AL54)</f>
        <v>+4 damage in unarmed combat</v>
      </c>
      <c r="AP54" s="101" t="str">
        <f>CHOOSE(CharGenMain!$C$215,X54,Y54,Z54,AA54,AB54,AC54,AD54,AE54,AF54,AG54,AH54,AI54,AJ54,AK54,AL54)</f>
        <v>+5 damage &amp; +1 phys def in unarmed combat</v>
      </c>
      <c r="AQ54" s="101" t="str">
        <f>CHOOSE(CharGenMain!$C$216,X54,Y54,Z54,AA54,AB54,AC54,AD54,AE54,AF54,AG54,AH54,AI54,AJ54,AK54,AL54)</f>
        <v>+7 damage &amp; +1 phys def in unarmed combat</v>
      </c>
      <c r="AR54" s="101" t="str">
        <f>CHOOSE(CharGenMain!$C$217,X54,Y54,Z54,AA54,AB54,AC54,AD54,AE54,AF54,AG54,AH54,AI54,AJ54,AK54,AL54)</f>
        <v>+8 damage &amp; +2 phys def in unarmed combat</v>
      </c>
      <c r="AS54" s="101" t="e">
        <f>CHOOSE(CharGenMain!$C$218,X54,Y54,Z54,AA54,AB54,AC54,AD54,AE54,AF54,AG54,AH54,AI54,AJ54,AK54,AL54)</f>
        <v>#VALUE!</v>
      </c>
      <c r="AT54" s="101" t="e">
        <f>CHOOSE(CharGenMain!$C$219,X54,Y54,Z54,AA54,AB54,AC54,AD54,AE54,AF54,AG54,AH54,AI54,AJ54,AK54,AL54)</f>
        <v>#VALUE!</v>
      </c>
      <c r="AU54" s="101" t="e">
        <f>CHOOSE(CharGenMain!$C$220,X54,Y54,Z54,AA54,AB54,AC54,AD54,AE54,AF54,AG54,AH54,AI54,AJ54,AK54,AL54)</f>
        <v>#VALUE!</v>
      </c>
      <c r="AV54" s="101" t="e">
        <f>CHOOSE(CharGenMain!$C$221,X54,Y54,Z54,AA54,AB54,AC54,AD54,AE54,AF54,AG54,AH54,AI54,AJ54,AK54,AL54)</f>
        <v>#VALUE!</v>
      </c>
      <c r="AW54" s="101" t="e">
        <f>CHOOSE(CharGenMain!$C$222,X54,Y54,Z54,AA54,AB54,AC54,AD54,AE54,AF54,AG54,AH54,AI54,AJ54,AK54,AL54)</f>
        <v>#VALUE!</v>
      </c>
      <c r="AX54" s="101" t="e">
        <f>CHOOSE(CharGenMain!$C$223,X54,Y54,Z54,AA54,AB54,AC54,AD54,AE54,AF54,AG54,AH54,AI54,AJ54,AK54,AL54)</f>
        <v>#VALUE!</v>
      </c>
      <c r="AY54" s="101" t="e">
        <f>CHOOSE(CharGenMain!$C$224,X54,Y54,Z54,AA54,AB54,AC54,AD54,AE54,AF54,AG54,AH54,AI54,AJ54,AK54,AL54)</f>
        <v>#VALUE!</v>
      </c>
      <c r="AZ54" s="101" t="e">
        <f>CHOOSE(CharGenMain!$C$225,X54,Y54,Z54,AA54,AB54,AC54,AD54,AE54,AF54,AG54,AH54,AI54,AJ54,AK54,AL54)</f>
        <v>#VALUE!</v>
      </c>
      <c r="BA54" s="271" t="e">
        <f>CHOOSE(CharGenMain!$C$226,X54,Y54,Z54,AA54,AB54,AC54,AD54,AE54,AF54,AG54,AH54,AI54,AJ54,AK54,AL54)</f>
        <v>#VALUE!</v>
      </c>
    </row>
    <row r="55" spans="1:198">
      <c r="A55" s="20" t="s">
        <v>2055</v>
      </c>
      <c r="B55" s="14" t="s">
        <v>2447</v>
      </c>
      <c r="C55" s="14" t="s">
        <v>5219</v>
      </c>
      <c r="D55" s="186" t="s">
        <v>2056</v>
      </c>
      <c r="F55" s="20" t="s">
        <v>1658</v>
      </c>
      <c r="G55" s="14" t="s">
        <v>53</v>
      </c>
      <c r="H55" s="14" t="s">
        <v>5323</v>
      </c>
      <c r="I55" s="14">
        <v>1</v>
      </c>
      <c r="J55" s="14">
        <v>2</v>
      </c>
      <c r="K55" s="28" t="s">
        <v>1659</v>
      </c>
      <c r="M55" s="20" t="s">
        <v>1903</v>
      </c>
      <c r="N55" s="14" t="s">
        <v>2228</v>
      </c>
      <c r="O55" s="14" t="s">
        <v>5796</v>
      </c>
      <c r="P55" s="186" t="s">
        <v>1904</v>
      </c>
      <c r="R55" s="226" t="s">
        <v>1905</v>
      </c>
      <c r="S55" s="14" t="s">
        <v>1906</v>
      </c>
      <c r="T55" s="14" t="s">
        <v>2279</v>
      </c>
      <c r="U55" s="14">
        <v>3</v>
      </c>
      <c r="V55" s="14">
        <v>6</v>
      </c>
      <c r="W55" s="106">
        <v>18</v>
      </c>
      <c r="X55" s="206" t="s">
        <v>1907</v>
      </c>
      <c r="Y55" s="206" t="s">
        <v>1908</v>
      </c>
      <c r="Z55" s="206" t="s">
        <v>1797</v>
      </c>
      <c r="AA55" s="206" t="s">
        <v>1798</v>
      </c>
      <c r="AB55" s="206" t="s">
        <v>1709</v>
      </c>
      <c r="AC55" s="206" t="s">
        <v>1710</v>
      </c>
      <c r="AD55" s="87" t="s">
        <v>2997</v>
      </c>
      <c r="AE55" s="87" t="s">
        <v>2997</v>
      </c>
      <c r="AF55" s="87" t="s">
        <v>2997</v>
      </c>
      <c r="AG55" s="87" t="s">
        <v>2997</v>
      </c>
      <c r="AH55" s="87" t="s">
        <v>2997</v>
      </c>
      <c r="AI55" s="87" t="s">
        <v>2997</v>
      </c>
      <c r="AJ55" s="87" t="s">
        <v>2997</v>
      </c>
      <c r="AK55" s="87" t="s">
        <v>2997</v>
      </c>
      <c r="AL55" s="87" t="s">
        <v>2997</v>
      </c>
      <c r="AM55" s="101" t="str">
        <f>CHOOSE(CharGenMain!$C$212,X55,Y55,Z55,AA55,AB55,AC55,AD55,AE55,AF55,AG55,AH55,AI55,AJ55,AK55,AL55)</f>
        <v>+2 vs Traps, see text</v>
      </c>
      <c r="AN55" s="101" t="str">
        <f>CHOOSE(CharGenMain!$C$213,X55,Y55,Z55,AA55,AB55,AC55,AD55,AE55,AF55,AG55,AH55,AI55,AJ55,AK55,AL55)</f>
        <v>+1 vs Traps</v>
      </c>
      <c r="AO55" s="101" t="str">
        <f>CHOOSE(CharGenMain!$C$214,X55,Y55,Z55,AA55,AB55,AC55,AD55,AE55,AF55,AG55,AH55,AI55,AJ55,AK55,AL55)</f>
        <v>+1 vs Traps</v>
      </c>
      <c r="AP55" s="101" t="str">
        <f>CHOOSE(CharGenMain!$C$215,X55,Y55,Z55,AA55,AB55,AC55,AD55,AE55,AF55,AG55,AH55,AI55,AJ55,AK55,AL55)</f>
        <v>+2 vs Traps</v>
      </c>
      <c r="AQ55" s="101" t="str">
        <f>CHOOSE(CharGenMain!$C$216,X55,Y55,Z55,AA55,AB55,AC55,AD55,AE55,AF55,AG55,AH55,AI55,AJ55,AK55,AL55)</f>
        <v>+3 vs Traps, see text</v>
      </c>
      <c r="AR55" s="101" t="str">
        <f>CHOOSE(CharGenMain!$C$217,X55,Y55,Z55,AA55,AB55,AC55,AD55,AE55,AF55,AG55,AH55,AI55,AJ55,AK55,AL55)</f>
        <v>+4 vs Traps, defense and armor bonuses, see text</v>
      </c>
      <c r="AS55" s="101" t="e">
        <f>CHOOSE(CharGenMain!$C$218,X55,Y55,Z55,AA55,AB55,AC55,AD55,AE55,AF55,AG55,AH55,AI55,AJ55,AK55,AL55)</f>
        <v>#VALUE!</v>
      </c>
      <c r="AT55" s="101" t="e">
        <f>CHOOSE(CharGenMain!$C$219,X55,Y55,Z55,AA55,AB55,AC55,AD55,AE55,AF55,AG55,AH55,AI55,AJ55,AK55,AL55)</f>
        <v>#VALUE!</v>
      </c>
      <c r="AU55" s="101" t="e">
        <f>CHOOSE(CharGenMain!$C$220,X55,Y55,Z55,AA55,AB55,AC55,AD55,AE55,AF55,AG55,AH55,AI55,AJ55,AK55,AL55)</f>
        <v>#VALUE!</v>
      </c>
      <c r="AV55" s="101" t="e">
        <f>CHOOSE(CharGenMain!$C$221,X55,Y55,Z55,AA55,AB55,AC55,AD55,AE55,AF55,AG55,AH55,AI55,AJ55,AK55,AL55)</f>
        <v>#VALUE!</v>
      </c>
      <c r="AW55" s="101" t="e">
        <f>CHOOSE(CharGenMain!$C$222,X55,Y55,Z55,AA55,AB55,AC55,AD55,AE55,AF55,AG55,AH55,AI55,AJ55,AK55,AL55)</f>
        <v>#VALUE!</v>
      </c>
      <c r="AX55" s="101" t="e">
        <f>CHOOSE(CharGenMain!$C$223,X55,Y55,Z55,AA55,AB55,AC55,AD55,AE55,AF55,AG55,AH55,AI55,AJ55,AK55,AL55)</f>
        <v>#VALUE!</v>
      </c>
      <c r="AY55" s="101" t="e">
        <f>CHOOSE(CharGenMain!$C$224,X55,Y55,Z55,AA55,AB55,AC55,AD55,AE55,AF55,AG55,AH55,AI55,AJ55,AK55,AL55)</f>
        <v>#VALUE!</v>
      </c>
      <c r="AZ55" s="101" t="e">
        <f>CHOOSE(CharGenMain!$C$225,X55,Y55,Z55,AA55,AB55,AC55,AD55,AE55,AF55,AG55,AH55,AI55,AJ55,AK55,AL55)</f>
        <v>#VALUE!</v>
      </c>
      <c r="BA55" s="271" t="e">
        <f>CHOOSE(CharGenMain!$C$226,X55,Y55,Z55,AA55,AB55,AC55,AD55,AE55,AF55,AG55,AH55,AI55,AJ55,AK55,AL55)</f>
        <v>#VALUE!</v>
      </c>
    </row>
    <row r="56" spans="1:198">
      <c r="A56" s="20" t="s">
        <v>1656</v>
      </c>
      <c r="B56" s="14" t="s">
        <v>2660</v>
      </c>
      <c r="C56" s="14" t="s">
        <v>5219</v>
      </c>
      <c r="D56" s="186" t="s">
        <v>1657</v>
      </c>
      <c r="F56" s="20" t="s">
        <v>1986</v>
      </c>
      <c r="G56" s="14" t="s">
        <v>53</v>
      </c>
      <c r="H56" s="14" t="s">
        <v>5323</v>
      </c>
      <c r="I56" s="14" t="s">
        <v>1987</v>
      </c>
      <c r="J56" s="14">
        <v>6</v>
      </c>
      <c r="K56" s="28" t="s">
        <v>1988</v>
      </c>
      <c r="M56" s="20" t="s">
        <v>1715</v>
      </c>
      <c r="N56" s="14" t="s">
        <v>2292</v>
      </c>
      <c r="O56" s="14" t="s">
        <v>5796</v>
      </c>
      <c r="P56" s="45" t="s">
        <v>1716</v>
      </c>
      <c r="R56" s="226" t="s">
        <v>1822</v>
      </c>
      <c r="S56" s="14" t="s">
        <v>1927</v>
      </c>
      <c r="T56" s="14" t="s">
        <v>2667</v>
      </c>
      <c r="U56" s="14">
        <v>2</v>
      </c>
      <c r="V56" s="14">
        <v>3</v>
      </c>
      <c r="W56" s="106">
        <v>10</v>
      </c>
      <c r="X56" s="168" t="s">
        <v>1823</v>
      </c>
      <c r="Y56" s="168" t="s">
        <v>1824</v>
      </c>
      <c r="Z56" s="168" t="s">
        <v>1938</v>
      </c>
      <c r="AA56" s="87" t="s">
        <v>2997</v>
      </c>
      <c r="AB56" s="87" t="s">
        <v>2997</v>
      </c>
      <c r="AC56" s="87" t="s">
        <v>2997</v>
      </c>
      <c r="AD56" s="87" t="s">
        <v>2997</v>
      </c>
      <c r="AE56" s="87" t="s">
        <v>2997</v>
      </c>
      <c r="AF56" s="87" t="s">
        <v>2997</v>
      </c>
      <c r="AG56" s="87" t="s">
        <v>2997</v>
      </c>
      <c r="AH56" s="87" t="s">
        <v>2997</v>
      </c>
      <c r="AI56" s="87" t="s">
        <v>2997</v>
      </c>
      <c r="AJ56" s="87" t="s">
        <v>2997</v>
      </c>
      <c r="AK56" s="87" t="s">
        <v>2997</v>
      </c>
      <c r="AL56" s="87" t="s">
        <v>2997</v>
      </c>
      <c r="AM56" s="101" t="str">
        <f>CHOOSE(CharGenMain!$C$212,X56,Y56,Z56,AA56,AB56,AC56,AD56,AE56,AF56,AG56,AH56,AI56,AJ56,AK56,AL56)</f>
        <v>Thread rank spell matrix, +1 threadweaving, extra fireblood test daily</v>
      </c>
      <c r="AN56" s="101" t="str">
        <f>CHOOSE(CharGenMain!$C$213,X56,Y56,Z56,AA56,AB56,AC56,AD56,AE56,AF56,AG56,AH56,AI56,AJ56,AK56,AL56)</f>
        <v>Thread rank spell matrix</v>
      </c>
      <c r="AO56" s="101" t="str">
        <f>CHOOSE(CharGenMain!$C$214,X56,Y56,Z56,AA56,AB56,AC56,AD56,AE56,AF56,AG56,AH56,AI56,AJ56,AK56,AL56)</f>
        <v>Thread rank spell matrix</v>
      </c>
      <c r="AP56" s="101" t="str">
        <f>CHOOSE(CharGenMain!$C$215,X56,Y56,Z56,AA56,AB56,AC56,AD56,AE56,AF56,AG56,AH56,AI56,AJ56,AK56,AL56)</f>
        <v>Thread rank spell matrix, +1 threadweaving</v>
      </c>
      <c r="AQ56" s="101" t="str">
        <f>CHOOSE(CharGenMain!$C$216,X56,Y56,Z56,AA56,AB56,AC56,AD56,AE56,AF56,AG56,AH56,AI56,AJ56,AK56,AL56)</f>
        <v>Thread Max Exceeded</v>
      </c>
      <c r="AR56" s="101" t="str">
        <f>CHOOSE(CharGenMain!$C$217,X56,Y56,Z56,AA56,AB56,AC56,AD56,AE56,AF56,AG56,AH56,AI56,AJ56,AK56,AL56)</f>
        <v>Thread Max Exceeded</v>
      </c>
      <c r="AS56" s="101" t="e">
        <f>CHOOSE(CharGenMain!$C$218,X56,Y56,Z56,AA56,AB56,AC56,AD56,AE56,AF56,AG56,AH56,AI56,AJ56,AK56,AL56)</f>
        <v>#VALUE!</v>
      </c>
      <c r="AT56" s="101" t="e">
        <f>CHOOSE(CharGenMain!$C$219,X56,Y56,Z56,AA56,AB56,AC56,AD56,AE56,AF56,AG56,AH56,AI56,AJ56,AK56,AL56)</f>
        <v>#VALUE!</v>
      </c>
      <c r="AU56" s="101" t="e">
        <f>CHOOSE(CharGenMain!$C$220,X56,Y56,Z56,AA56,AB56,AC56,AD56,AE56,AF56,AG56,AH56,AI56,AJ56,AK56,AL56)</f>
        <v>#VALUE!</v>
      </c>
      <c r="AV56" s="101" t="e">
        <f>CHOOSE(CharGenMain!$C$221,X56,Y56,Z56,AA56,AB56,AC56,AD56,AE56,AF56,AG56,AH56,AI56,AJ56,AK56,AL56)</f>
        <v>#VALUE!</v>
      </c>
      <c r="AW56" s="101" t="e">
        <f>CHOOSE(CharGenMain!$C$222,X56,Y56,Z56,AA56,AB56,AC56,AD56,AE56,AF56,AG56,AH56,AI56,AJ56,AK56,AL56)</f>
        <v>#VALUE!</v>
      </c>
      <c r="AX56" s="101" t="e">
        <f>CHOOSE(CharGenMain!$C$223,X56,Y56,Z56,AA56,AB56,AC56,AD56,AE56,AF56,AG56,AH56,AI56,AJ56,AK56,AL56)</f>
        <v>#VALUE!</v>
      </c>
      <c r="AY56" s="101" t="e">
        <f>CHOOSE(CharGenMain!$C$224,X56,Y56,Z56,AA56,AB56,AC56,AD56,AE56,AF56,AG56,AH56,AI56,AJ56,AK56,AL56)</f>
        <v>#VALUE!</v>
      </c>
      <c r="AZ56" s="101" t="e">
        <f>CHOOSE(CharGenMain!$C$225,X56,Y56,Z56,AA56,AB56,AC56,AD56,AE56,AF56,AG56,AH56,AI56,AJ56,AK56,AL56)</f>
        <v>#VALUE!</v>
      </c>
      <c r="BA56" s="271" t="e">
        <f>CHOOSE(CharGenMain!$C$226,X56,Y56,Z56,AA56,AB56,AC56,AD56,AE56,AF56,AG56,AH56,AI56,AJ56,AK56,AL56)</f>
        <v>#VALUE!</v>
      </c>
    </row>
    <row r="57" spans="1:198">
      <c r="A57" s="20" t="s">
        <v>1768</v>
      </c>
      <c r="B57" s="14" t="s">
        <v>2681</v>
      </c>
      <c r="C57" s="14" t="s">
        <v>5219</v>
      </c>
      <c r="D57" s="45" t="s">
        <v>1985</v>
      </c>
      <c r="F57" s="20" t="s">
        <v>1788</v>
      </c>
      <c r="G57" s="14" t="s">
        <v>1810</v>
      </c>
      <c r="H57" s="14" t="s">
        <v>5323</v>
      </c>
      <c r="I57" s="14">
        <v>4</v>
      </c>
      <c r="J57" s="14">
        <v>1</v>
      </c>
      <c r="K57" s="188" t="s">
        <v>5907</v>
      </c>
      <c r="M57" s="20" t="s">
        <v>5769</v>
      </c>
      <c r="N57" s="14" t="s">
        <v>405</v>
      </c>
      <c r="O57" s="14" t="s">
        <v>2501</v>
      </c>
      <c r="P57" s="45" t="s">
        <v>5770</v>
      </c>
      <c r="R57" s="20" t="s">
        <v>2035</v>
      </c>
      <c r="S57" s="14" t="s">
        <v>2036</v>
      </c>
      <c r="T57" s="14" t="s">
        <v>2279</v>
      </c>
      <c r="U57" s="14">
        <v>2</v>
      </c>
      <c r="V57" s="14">
        <v>4</v>
      </c>
      <c r="W57" s="106">
        <v>14</v>
      </c>
      <c r="X57" s="168" t="s">
        <v>2037</v>
      </c>
      <c r="Y57" s="168" t="s">
        <v>1944</v>
      </c>
      <c r="Z57" s="168" t="s">
        <v>1945</v>
      </c>
      <c r="AA57" s="168" t="s">
        <v>1834</v>
      </c>
      <c r="AB57" s="87" t="s">
        <v>2997</v>
      </c>
      <c r="AC57" s="87" t="s">
        <v>2997</v>
      </c>
      <c r="AD57" s="87" t="s">
        <v>2997</v>
      </c>
      <c r="AE57" s="87" t="s">
        <v>2997</v>
      </c>
      <c r="AF57" s="87" t="s">
        <v>2997</v>
      </c>
      <c r="AG57" s="87" t="s">
        <v>2997</v>
      </c>
      <c r="AH57" s="87" t="s">
        <v>2997</v>
      </c>
      <c r="AI57" s="87" t="s">
        <v>2997</v>
      </c>
      <c r="AJ57" s="87" t="s">
        <v>2997</v>
      </c>
      <c r="AK57" s="87" t="s">
        <v>2997</v>
      </c>
      <c r="AL57" s="87" t="s">
        <v>2997</v>
      </c>
      <c r="AM57" s="101" t="str">
        <f>CHOOSE(CharGenMain!$C$212,X57,Y57,Z57,AA57,AB57,AC57,AD57,AE57,AF57,AG57,AH57,AI57,AJ57,AK57,AL57)</f>
        <v>Flask may be used for parry +5, fills with brandy 1/day for 1 strain, +2 on Interaction tests</v>
      </c>
      <c r="AN57" s="101" t="str">
        <f>CHOOSE(CharGenMain!$C$213,X57,Y57,Z57,AA57,AB57,AC57,AD57,AE57,AF57,AG57,AH57,AI57,AJ57,AK57,AL57)</f>
        <v>Flask fills with brandy 1/day for 1 strain</v>
      </c>
      <c r="AO57" s="101" t="str">
        <f>CHOOSE(CharGenMain!$C$214,X57,Y57,Z57,AA57,AB57,AC57,AD57,AE57,AF57,AG57,AH57,AI57,AJ57,AK57,AL57)</f>
        <v>Flask fills with brandy 1/day for 1 strain</v>
      </c>
      <c r="AP57" s="101" t="str">
        <f>CHOOSE(CharGenMain!$C$215,X57,Y57,Z57,AA57,AB57,AC57,AD57,AE57,AF57,AG57,AH57,AI57,AJ57,AK57,AL57)</f>
        <v>Flask fills with brandy 1/day for 1 strain, +2 on Interaction tests</v>
      </c>
      <c r="AQ57" s="101" t="str">
        <f>CHOOSE(CharGenMain!$C$216,X57,Y57,Z57,AA57,AB57,AC57,AD57,AE57,AF57,AG57,AH57,AI57,AJ57,AK57,AL57)</f>
        <v>Flask may be used for parry +5, fills with brandy 2/day for 1 strain, +3 on Interaction tests</v>
      </c>
      <c r="AR57" s="101" t="str">
        <f>CHOOSE(CharGenMain!$C$217,X57,Y57,Z57,AA57,AB57,AC57,AD57,AE57,AF57,AG57,AH57,AI57,AJ57,AK57,AL57)</f>
        <v>Thread Max Exceeded</v>
      </c>
      <c r="AS57" s="101" t="e">
        <f>CHOOSE(CharGenMain!$C$218,X57,Y57,Z57,AA57,AB57,AC57,AD57,AE57,AF57,AG57,AH57,AI57,AJ57,AK57,AL57)</f>
        <v>#VALUE!</v>
      </c>
      <c r="AT57" s="101" t="e">
        <f>CHOOSE(CharGenMain!$C$219,X57,Y57,Z57,AA57,AB57,AC57,AD57,AE57,AF57,AG57,AH57,AI57,AJ57,AK57,AL57)</f>
        <v>#VALUE!</v>
      </c>
      <c r="AU57" s="101" t="e">
        <f>CHOOSE(CharGenMain!$C$220,X57,Y57,Z57,AA57,AB57,AC57,AD57,AE57,AF57,AG57,AH57,AI57,AJ57,AK57,AL57)</f>
        <v>#VALUE!</v>
      </c>
      <c r="AV57" s="101" t="e">
        <f>CHOOSE(CharGenMain!$C$221,X57,Y57,Z57,AA57,AB57,AC57,AD57,AE57,AF57,AG57,AH57,AI57,AJ57,AK57,AL57)</f>
        <v>#VALUE!</v>
      </c>
      <c r="AW57" s="101" t="e">
        <f>CHOOSE(CharGenMain!$C$222,X57,Y57,Z57,AA57,AB57,AC57,AD57,AE57,AF57,AG57,AH57,AI57,AJ57,AK57,AL57)</f>
        <v>#VALUE!</v>
      </c>
      <c r="AX57" s="101" t="e">
        <f>CHOOSE(CharGenMain!$C$223,X57,Y57,Z57,AA57,AB57,AC57,AD57,AE57,AF57,AG57,AH57,AI57,AJ57,AK57,AL57)</f>
        <v>#VALUE!</v>
      </c>
      <c r="AY57" s="101" t="e">
        <f>CHOOSE(CharGenMain!$C$224,X57,Y57,Z57,AA57,AB57,AC57,AD57,AE57,AF57,AG57,AH57,AI57,AJ57,AK57,AL57)</f>
        <v>#VALUE!</v>
      </c>
      <c r="AZ57" s="101" t="e">
        <f>CHOOSE(CharGenMain!$C$225,X57,Y57,Z57,AA57,AB57,AC57,AD57,AE57,AF57,AG57,AH57,AI57,AJ57,AK57,AL57)</f>
        <v>#VALUE!</v>
      </c>
      <c r="BA57" s="271" t="e">
        <f>CHOOSE(CharGenMain!$C$226,X57,Y57,Z57,AA57,AB57,AC57,AD57,AE57,AF57,AG57,AH57,AI57,AJ57,AK57,AL57)</f>
        <v>#VALUE!</v>
      </c>
      <c r="FA57" s="9"/>
      <c r="FB57" s="9"/>
      <c r="FC57" s="9"/>
      <c r="FD57" s="9"/>
      <c r="FE57" s="10"/>
      <c r="FF57" s="10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</row>
    <row r="58" spans="1:198">
      <c r="A58" s="20" t="s">
        <v>1887</v>
      </c>
      <c r="B58" s="14" t="s">
        <v>2225</v>
      </c>
      <c r="C58" s="14" t="s">
        <v>5219</v>
      </c>
      <c r="D58" s="45" t="s">
        <v>1787</v>
      </c>
      <c r="F58" s="20" t="s">
        <v>1891</v>
      </c>
      <c r="G58" s="14" t="s">
        <v>1810</v>
      </c>
      <c r="H58" s="14" t="s">
        <v>5323</v>
      </c>
      <c r="I58" s="14">
        <v>3</v>
      </c>
      <c r="J58" s="14">
        <v>1</v>
      </c>
      <c r="K58" s="28" t="s">
        <v>1892</v>
      </c>
      <c r="M58" s="20" t="s">
        <v>2033</v>
      </c>
      <c r="N58" s="14" t="s">
        <v>2034</v>
      </c>
      <c r="O58" s="14" t="s">
        <v>2279</v>
      </c>
      <c r="P58" s="28" t="s">
        <v>2578</v>
      </c>
      <c r="R58" s="20" t="s">
        <v>2052</v>
      </c>
      <c r="S58" s="14" t="s">
        <v>2053</v>
      </c>
      <c r="T58" s="14" t="s">
        <v>2279</v>
      </c>
      <c r="U58" s="14">
        <v>2</v>
      </c>
      <c r="V58" s="14">
        <v>5</v>
      </c>
      <c r="W58" s="106">
        <v>15</v>
      </c>
      <c r="X58" s="168" t="s">
        <v>2054</v>
      </c>
      <c r="Y58" s="168" t="s">
        <v>2054</v>
      </c>
      <c r="Z58" s="168" t="s">
        <v>2054</v>
      </c>
      <c r="AA58" s="168" t="s">
        <v>2054</v>
      </c>
      <c r="AB58" s="168" t="s">
        <v>2054</v>
      </c>
      <c r="AC58" s="87" t="s">
        <v>2997</v>
      </c>
      <c r="AD58" s="87" t="s">
        <v>2997</v>
      </c>
      <c r="AE58" s="87" t="s">
        <v>2997</v>
      </c>
      <c r="AF58" s="87" t="s">
        <v>2997</v>
      </c>
      <c r="AG58" s="87" t="s">
        <v>2997</v>
      </c>
      <c r="AH58" s="87" t="s">
        <v>2997</v>
      </c>
      <c r="AI58" s="87" t="s">
        <v>2997</v>
      </c>
      <c r="AJ58" s="87" t="s">
        <v>2997</v>
      </c>
      <c r="AK58" s="87" t="s">
        <v>2997</v>
      </c>
      <c r="AL58" s="87" t="s">
        <v>2997</v>
      </c>
      <c r="AM58" s="101" t="str">
        <f>CHOOSE(CharGenMain!$C$212,X58,Y58,Z58,AA58,AB58,AC58,AD58,AE58,AF58,AG58,AH58,AI58,AJ58,AK58,AL58)</f>
        <v>Bonuses to seduction, see text</v>
      </c>
      <c r="AN58" s="101" t="str">
        <f>CHOOSE(CharGenMain!$C$213,X58,Y58,Z58,AA58,AB58,AC58,AD58,AE58,AF58,AG58,AH58,AI58,AJ58,AK58,AL58)</f>
        <v>Bonuses to seduction, see text</v>
      </c>
      <c r="AO58" s="101" t="str">
        <f>CHOOSE(CharGenMain!$C$214,X58,Y58,Z58,AA58,AB58,AC58,AD58,AE58,AF58,AG58,AH58,AI58,AJ58,AK58,AL58)</f>
        <v>Bonuses to seduction, see text</v>
      </c>
      <c r="AP58" s="101" t="str">
        <f>CHOOSE(CharGenMain!$C$215,X58,Y58,Z58,AA58,AB58,AC58,AD58,AE58,AF58,AG58,AH58,AI58,AJ58,AK58,AL58)</f>
        <v>Bonuses to seduction, see text</v>
      </c>
      <c r="AQ58" s="101" t="str">
        <f>CHOOSE(CharGenMain!$C$216,X58,Y58,Z58,AA58,AB58,AC58,AD58,AE58,AF58,AG58,AH58,AI58,AJ58,AK58,AL58)</f>
        <v>Bonuses to seduction, see text</v>
      </c>
      <c r="AR58" s="101" t="str">
        <f>CHOOSE(CharGenMain!$C$217,X58,Y58,Z58,AA58,AB58,AC58,AD58,AE58,AF58,AG58,AH58,AI58,AJ58,AK58,AL58)</f>
        <v>Bonuses to seduction, see text</v>
      </c>
      <c r="AS58" s="101" t="e">
        <f>CHOOSE(CharGenMain!$C$218,X58,Y58,Z58,AA58,AB58,AC58,AD58,AE58,AF58,AG58,AH58,AI58,AJ58,AK58,AL58)</f>
        <v>#VALUE!</v>
      </c>
      <c r="AT58" s="101" t="e">
        <f>CHOOSE(CharGenMain!$C$219,X58,Y58,Z58,AA58,AB58,AC58,AD58,AE58,AF58,AG58,AH58,AI58,AJ58,AK58,AL58)</f>
        <v>#VALUE!</v>
      </c>
      <c r="AU58" s="101" t="e">
        <f>CHOOSE(CharGenMain!$C$220,X58,Y58,Z58,AA58,AB58,AC58,AD58,AE58,AF58,AG58,AH58,AI58,AJ58,AK58,AL58)</f>
        <v>#VALUE!</v>
      </c>
      <c r="AV58" s="101" t="e">
        <f>CHOOSE(CharGenMain!$C$221,X58,Y58,Z58,AA58,AB58,AC58,AD58,AE58,AF58,AG58,AH58,AI58,AJ58,AK58,AL58)</f>
        <v>#VALUE!</v>
      </c>
      <c r="AW58" s="101" t="e">
        <f>CHOOSE(CharGenMain!$C$222,X58,Y58,Z58,AA58,AB58,AC58,AD58,AE58,AF58,AG58,AH58,AI58,AJ58,AK58,AL58)</f>
        <v>#VALUE!</v>
      </c>
      <c r="AX58" s="101" t="e">
        <f>CHOOSE(CharGenMain!$C$223,X58,Y58,Z58,AA58,AB58,AC58,AD58,AE58,AF58,AG58,AH58,AI58,AJ58,AK58,AL58)</f>
        <v>#VALUE!</v>
      </c>
      <c r="AY58" s="101" t="e">
        <f>CHOOSE(CharGenMain!$C$224,X58,Y58,Z58,AA58,AB58,AC58,AD58,AE58,AF58,AG58,AH58,AI58,AJ58,AK58,AL58)</f>
        <v>#VALUE!</v>
      </c>
      <c r="AZ58" s="101" t="e">
        <f>CHOOSE(CharGenMain!$C$225,X58,Y58,Z58,AA58,AB58,AC58,AD58,AE58,AF58,AG58,AH58,AI58,AJ58,AK58,AL58)</f>
        <v>#VALUE!</v>
      </c>
      <c r="BA58" s="271" t="e">
        <f>CHOOSE(CharGenMain!$C$226,X58,Y58,Z58,AA58,AB58,AC58,AD58,AE58,AF58,AG58,AH58,AI58,AJ58,AK58,AL58)</f>
        <v>#VALUE!</v>
      </c>
    </row>
    <row r="59" spans="1:198">
      <c r="A59" s="20" t="s">
        <v>1888</v>
      </c>
      <c r="B59" s="14" t="s">
        <v>1889</v>
      </c>
      <c r="C59" s="14" t="s">
        <v>5219</v>
      </c>
      <c r="D59" s="45" t="s">
        <v>1890</v>
      </c>
      <c r="F59" s="20" t="s">
        <v>1901</v>
      </c>
      <c r="G59" s="14" t="s">
        <v>54</v>
      </c>
      <c r="H59" s="14" t="s">
        <v>5323</v>
      </c>
      <c r="I59" s="14">
        <v>1</v>
      </c>
      <c r="J59" s="14">
        <v>3</v>
      </c>
      <c r="K59" s="28" t="s">
        <v>1607</v>
      </c>
      <c r="M59" s="20" t="s">
        <v>1949</v>
      </c>
      <c r="N59" s="14" t="s">
        <v>2158</v>
      </c>
      <c r="O59" s="14" t="s">
        <v>2159</v>
      </c>
      <c r="P59" s="45" t="s">
        <v>1950</v>
      </c>
      <c r="R59" s="226" t="s">
        <v>1954</v>
      </c>
      <c r="S59" s="14" t="s">
        <v>1955</v>
      </c>
      <c r="T59" s="14" t="s">
        <v>1954</v>
      </c>
      <c r="U59" s="14">
        <v>3</v>
      </c>
      <c r="V59" s="14">
        <v>5</v>
      </c>
      <c r="W59" s="14" t="s">
        <v>1846</v>
      </c>
      <c r="X59" s="206" t="s">
        <v>1847</v>
      </c>
      <c r="Y59" s="206" t="s">
        <v>1848</v>
      </c>
      <c r="Z59" s="206" t="s">
        <v>1753</v>
      </c>
      <c r="AA59" s="206" t="s">
        <v>1654</v>
      </c>
      <c r="AB59" s="206" t="s">
        <v>1655</v>
      </c>
      <c r="AC59" s="87" t="s">
        <v>2997</v>
      </c>
      <c r="AD59" s="87" t="s">
        <v>2997</v>
      </c>
      <c r="AE59" s="87" t="s">
        <v>2997</v>
      </c>
      <c r="AF59" s="87" t="s">
        <v>2997</v>
      </c>
      <c r="AG59" s="87" t="s">
        <v>2997</v>
      </c>
      <c r="AH59" s="87" t="s">
        <v>2997</v>
      </c>
      <c r="AI59" s="87" t="s">
        <v>2997</v>
      </c>
      <c r="AJ59" s="87" t="s">
        <v>2997</v>
      </c>
      <c r="AK59" s="87" t="s">
        <v>2997</v>
      </c>
      <c r="AL59" s="87" t="s">
        <v>2997</v>
      </c>
      <c r="AM59" s="101" t="str">
        <f>CHOOSE(CharGenMain!$C$212,X59,Y59,Z59,AA59,AB59,AC59,AD59,AE59,AF59,AG59,AH59,AI59,AJ59,AK59,AL59)</f>
        <v>+3 to talent or attribute, see text</v>
      </c>
      <c r="AN59" s="101" t="str">
        <f>CHOOSE(CharGenMain!$C$213,X59,Y59,Z59,AA59,AB59,AC59,AD59,AE59,AF59,AG59,AH59,AI59,AJ59,AK59,AL59)</f>
        <v>+1 to talent or attribute, see text</v>
      </c>
      <c r="AO59" s="101" t="str">
        <f>CHOOSE(CharGenMain!$C$214,X59,Y59,Z59,AA59,AB59,AC59,AD59,AE59,AF59,AG59,AH59,AI59,AJ59,AK59,AL59)</f>
        <v>+1 to talent or attribute, see text</v>
      </c>
      <c r="AP59" s="101" t="str">
        <f>CHOOSE(CharGenMain!$C$215,X59,Y59,Z59,AA59,AB59,AC59,AD59,AE59,AF59,AG59,AH59,AI59,AJ59,AK59,AL59)</f>
        <v>+2 to talent or attribute, see text</v>
      </c>
      <c r="AQ59" s="101" t="str">
        <f>CHOOSE(CharGenMain!$C$216,X59,Y59,Z59,AA59,AB59,AC59,AD59,AE59,AF59,AG59,AH59,AI59,AJ59,AK59,AL59)</f>
        <v>+4 to talent or attribute, see text</v>
      </c>
      <c r="AR59" s="101" t="str">
        <f>CHOOSE(CharGenMain!$C$217,X59,Y59,Z59,AA59,AB59,AC59,AD59,AE59,AF59,AG59,AH59,AI59,AJ59,AK59,AL59)</f>
        <v>+5 to talent or attribute, see text</v>
      </c>
      <c r="AS59" s="101" t="e">
        <f>CHOOSE(CharGenMain!$C$218,X59,Y59,Z59,AA59,AB59,AC59,AD59,AE59,AF59,AG59,AH59,AI59,AJ59,AK59,AL59)</f>
        <v>#VALUE!</v>
      </c>
      <c r="AT59" s="101" t="e">
        <f>CHOOSE(CharGenMain!$C$219,X59,Y59,Z59,AA59,AB59,AC59,AD59,AE59,AF59,AG59,AH59,AI59,AJ59,AK59,AL59)</f>
        <v>#VALUE!</v>
      </c>
      <c r="AU59" s="101" t="e">
        <f>CHOOSE(CharGenMain!$C$220,X59,Y59,Z59,AA59,AB59,AC59,AD59,AE59,AF59,AG59,AH59,AI59,AJ59,AK59,AL59)</f>
        <v>#VALUE!</v>
      </c>
      <c r="AV59" s="101" t="e">
        <f>CHOOSE(CharGenMain!$C$221,X59,Y59,Z59,AA59,AB59,AC59,AD59,AE59,AF59,AG59,AH59,AI59,AJ59,AK59,AL59)</f>
        <v>#VALUE!</v>
      </c>
      <c r="AW59" s="101" t="e">
        <f>CHOOSE(CharGenMain!$C$222,X59,Y59,Z59,AA59,AB59,AC59,AD59,AE59,AF59,AG59,AH59,AI59,AJ59,AK59,AL59)</f>
        <v>#VALUE!</v>
      </c>
      <c r="AX59" s="101" t="e">
        <f>CHOOSE(CharGenMain!$C$223,X59,Y59,Z59,AA59,AB59,AC59,AD59,AE59,AF59,AG59,AH59,AI59,AJ59,AK59,AL59)</f>
        <v>#VALUE!</v>
      </c>
      <c r="AY59" s="101" t="e">
        <f>CHOOSE(CharGenMain!$C$224,X59,Y59,Z59,AA59,AB59,AC59,AD59,AE59,AF59,AG59,AH59,AI59,AJ59,AK59,AL59)</f>
        <v>#VALUE!</v>
      </c>
      <c r="AZ59" s="101" t="e">
        <f>CHOOSE(CharGenMain!$C$225,X59,Y59,Z59,AA59,AB59,AC59,AD59,AE59,AF59,AG59,AH59,AI59,AJ59,AK59,AL59)</f>
        <v>#VALUE!</v>
      </c>
      <c r="BA59" s="271" t="e">
        <f>CHOOSE(CharGenMain!$C$226,X59,Y59,Z59,AA59,AB59,AC59,AD59,AE59,AF59,AG59,AH59,AI59,AJ59,AK59,AL59)</f>
        <v>#VALUE!</v>
      </c>
    </row>
    <row r="60" spans="1:198">
      <c r="A60" s="20" t="s">
        <v>2002</v>
      </c>
      <c r="B60" s="14" t="s">
        <v>2225</v>
      </c>
      <c r="C60" s="14" t="s">
        <v>5219</v>
      </c>
      <c r="D60" s="45" t="s">
        <v>2003</v>
      </c>
      <c r="F60" s="20" t="s">
        <v>1818</v>
      </c>
      <c r="G60" s="14" t="s">
        <v>1819</v>
      </c>
      <c r="H60" s="14" t="s">
        <v>5323</v>
      </c>
      <c r="I60" s="14">
        <v>2</v>
      </c>
      <c r="J60" s="14">
        <v>0</v>
      </c>
      <c r="K60" s="28" t="s">
        <v>55</v>
      </c>
      <c r="M60" s="20" t="s">
        <v>2058</v>
      </c>
      <c r="N60" s="14" t="s">
        <v>2015</v>
      </c>
      <c r="O60" s="14" t="s">
        <v>5796</v>
      </c>
      <c r="P60" s="45" t="s">
        <v>1953</v>
      </c>
      <c r="R60" s="20" t="s">
        <v>1765</v>
      </c>
      <c r="S60" s="14" t="s">
        <v>1766</v>
      </c>
      <c r="T60" s="14" t="s">
        <v>2279</v>
      </c>
      <c r="U60" s="14">
        <v>2</v>
      </c>
      <c r="V60" s="14">
        <v>5</v>
      </c>
      <c r="W60" s="14">
        <v>20</v>
      </c>
      <c r="X60" s="168" t="s">
        <v>1767</v>
      </c>
      <c r="Y60" s="168" t="s">
        <v>1767</v>
      </c>
      <c r="Z60" s="168" t="s">
        <v>1767</v>
      </c>
      <c r="AA60" s="168" t="s">
        <v>1767</v>
      </c>
      <c r="AB60" s="168" t="s">
        <v>1767</v>
      </c>
      <c r="AC60" s="87" t="s">
        <v>2997</v>
      </c>
      <c r="AD60" s="87" t="s">
        <v>2997</v>
      </c>
      <c r="AE60" s="87" t="s">
        <v>2997</v>
      </c>
      <c r="AF60" s="87" t="s">
        <v>2997</v>
      </c>
      <c r="AG60" s="87" t="s">
        <v>2997</v>
      </c>
      <c r="AH60" s="87" t="s">
        <v>2997</v>
      </c>
      <c r="AI60" s="87" t="s">
        <v>2997</v>
      </c>
      <c r="AJ60" s="87" t="s">
        <v>2997</v>
      </c>
      <c r="AK60" s="87" t="s">
        <v>2997</v>
      </c>
      <c r="AL60" s="87" t="s">
        <v>2997</v>
      </c>
      <c r="AM60" s="101" t="str">
        <f>CHOOSE(CharGenMain!$C$212,X60,Y60,Z60,AA60,AB60,AC60,AD60,AE60,AF60,AG60,AH60,AI60,AJ60,AK60,AL60)</f>
        <v>Bonuses to social talents, see text</v>
      </c>
      <c r="AN60" s="101" t="str">
        <f>CHOOSE(CharGenMain!$C$213,X60,Y60,Z60,AA60,AB60,AC60,AD60,AE60,AF60,AG60,AH60,AI60,AJ60,AK60,AL60)</f>
        <v>Bonuses to social talents, see text</v>
      </c>
      <c r="AO60" s="101" t="str">
        <f>CHOOSE(CharGenMain!$C$214,X60,Y60,Z60,AA60,AB60,AC60,AD60,AE60,AF60,AG60,AH60,AI60,AJ60,AK60,AL60)</f>
        <v>Bonuses to social talents, see text</v>
      </c>
      <c r="AP60" s="101" t="str">
        <f>CHOOSE(CharGenMain!$C$215,X60,Y60,Z60,AA60,AB60,AC60,AD60,AE60,AF60,AG60,AH60,AI60,AJ60,AK60,AL60)</f>
        <v>Bonuses to social talents, see text</v>
      </c>
      <c r="AQ60" s="101" t="str">
        <f>CHOOSE(CharGenMain!$C$216,X60,Y60,Z60,AA60,AB60,AC60,AD60,AE60,AF60,AG60,AH60,AI60,AJ60,AK60,AL60)</f>
        <v>Bonuses to social talents, see text</v>
      </c>
      <c r="AR60" s="101" t="str">
        <f>CHOOSE(CharGenMain!$C$217,X60,Y60,Z60,AA60,AB60,AC60,AD60,AE60,AF60,AG60,AH60,AI60,AJ60,AK60,AL60)</f>
        <v>Bonuses to social talents, see text</v>
      </c>
      <c r="AS60" s="101" t="e">
        <f>CHOOSE(CharGenMain!$C$218,X60,Y60,Z60,AA60,AB60,AC60,AD60,AE60,AF60,AG60,AH60,AI60,AJ60,AK60,AL60)</f>
        <v>#VALUE!</v>
      </c>
      <c r="AT60" s="101" t="e">
        <f>CHOOSE(CharGenMain!$C$219,X60,Y60,Z60,AA60,AB60,AC60,AD60,AE60,AF60,AG60,AH60,AI60,AJ60,AK60,AL60)</f>
        <v>#VALUE!</v>
      </c>
      <c r="AU60" s="101" t="e">
        <f>CHOOSE(CharGenMain!$C$220,X60,Y60,Z60,AA60,AB60,AC60,AD60,AE60,AF60,AG60,AH60,AI60,AJ60,AK60,AL60)</f>
        <v>#VALUE!</v>
      </c>
      <c r="AV60" s="101" t="e">
        <f>CHOOSE(CharGenMain!$C$221,X60,Y60,Z60,AA60,AB60,AC60,AD60,AE60,AF60,AG60,AH60,AI60,AJ60,AK60,AL60)</f>
        <v>#VALUE!</v>
      </c>
      <c r="AW60" s="101" t="e">
        <f>CHOOSE(CharGenMain!$C$222,X60,Y60,Z60,AA60,AB60,AC60,AD60,AE60,AF60,AG60,AH60,AI60,AJ60,AK60,AL60)</f>
        <v>#VALUE!</v>
      </c>
      <c r="AX60" s="101" t="e">
        <f>CHOOSE(CharGenMain!$C$223,X60,Y60,Z60,AA60,AB60,AC60,AD60,AE60,AF60,AG60,AH60,AI60,AJ60,AK60,AL60)</f>
        <v>#VALUE!</v>
      </c>
      <c r="AY60" s="101" t="e">
        <f>CHOOSE(CharGenMain!$C$224,X60,Y60,Z60,AA60,AB60,AC60,AD60,AE60,AF60,AG60,AH60,AI60,AJ60,AK60,AL60)</f>
        <v>#VALUE!</v>
      </c>
      <c r="AZ60" s="101" t="e">
        <f>CHOOSE(CharGenMain!$C$225,X60,Y60,Z60,AA60,AB60,AC60,AD60,AE60,AF60,AG60,AH60,AI60,AJ60,AK60,AL60)</f>
        <v>#VALUE!</v>
      </c>
      <c r="BA60" s="271" t="e">
        <f>CHOOSE(CharGenMain!$C$226,X60,Y60,Z60,AA60,AB60,AC60,AD60,AE60,AF60,AG60,AH60,AI60,AJ60,AK60,AL60)</f>
        <v>#VALUE!</v>
      </c>
    </row>
    <row r="61" spans="1:198">
      <c r="A61" s="20" t="s">
        <v>1815</v>
      </c>
      <c r="B61" s="14" t="s">
        <v>1816</v>
      </c>
      <c r="C61" s="14" t="s">
        <v>5219</v>
      </c>
      <c r="D61" s="45" t="s">
        <v>1817</v>
      </c>
      <c r="F61" s="20" t="s">
        <v>1841</v>
      </c>
      <c r="G61" s="14" t="s">
        <v>53</v>
      </c>
      <c r="H61" s="14" t="s">
        <v>5323</v>
      </c>
      <c r="I61" s="14">
        <v>3</v>
      </c>
      <c r="J61" s="14">
        <v>2</v>
      </c>
      <c r="K61" s="28" t="s">
        <v>1649</v>
      </c>
      <c r="M61" s="204" t="s">
        <v>1660</v>
      </c>
      <c r="N61" s="14" t="s">
        <v>2047</v>
      </c>
      <c r="O61" s="14" t="s">
        <v>5796</v>
      </c>
      <c r="P61" s="45" t="s">
        <v>1661</v>
      </c>
      <c r="R61" s="20" t="s">
        <v>1883</v>
      </c>
      <c r="S61" s="14" t="s">
        <v>2756</v>
      </c>
      <c r="T61" s="14" t="s">
        <v>2279</v>
      </c>
      <c r="U61" s="14">
        <v>2</v>
      </c>
      <c r="V61" s="14">
        <v>4</v>
      </c>
      <c r="W61" s="106">
        <v>15</v>
      </c>
      <c r="X61" s="206" t="s">
        <v>2270</v>
      </c>
      <c r="Y61" s="206" t="s">
        <v>1884</v>
      </c>
      <c r="Z61" s="206" t="s">
        <v>1885</v>
      </c>
      <c r="AA61" s="206" t="s">
        <v>1886</v>
      </c>
      <c r="AB61" s="87" t="s">
        <v>2997</v>
      </c>
      <c r="AC61" s="87" t="s">
        <v>2997</v>
      </c>
      <c r="AD61" s="87" t="s">
        <v>2997</v>
      </c>
      <c r="AE61" s="87" t="s">
        <v>2997</v>
      </c>
      <c r="AF61" s="87" t="s">
        <v>2997</v>
      </c>
      <c r="AG61" s="87" t="s">
        <v>2997</v>
      </c>
      <c r="AH61" s="87" t="s">
        <v>2997</v>
      </c>
      <c r="AI61" s="87" t="s">
        <v>2997</v>
      </c>
      <c r="AJ61" s="87" t="s">
        <v>2997</v>
      </c>
      <c r="AK61" s="87" t="s">
        <v>2997</v>
      </c>
      <c r="AL61" s="87" t="s">
        <v>2997</v>
      </c>
      <c r="AM61" s="101" t="str">
        <f>CHOOSE(CharGenMain!$C$212,X61,Y61,Z61,AA61,AB61,AC61,AD61,AE61,AF61,AG61,AH61,AI61,AJ61,AK61,AL61)</f>
        <v>+2 soc def, +1 mystic, +1 armor</v>
      </c>
      <c r="AN61" s="101" t="str">
        <f>CHOOSE(CharGenMain!$C$213,X61,Y61,Z61,AA61,AB61,AC61,AD61,AE61,AF61,AG61,AH61,AI61,AJ61,AK61,AL61)</f>
        <v>+2 soc def</v>
      </c>
      <c r="AO61" s="101" t="str">
        <f>CHOOSE(CharGenMain!$C$214,X61,Y61,Z61,AA61,AB61,AC61,AD61,AE61,AF61,AG61,AH61,AI61,AJ61,AK61,AL61)</f>
        <v>+2 soc def</v>
      </c>
      <c r="AP61" s="101" t="str">
        <f>CHOOSE(CharGenMain!$C$215,X61,Y61,Z61,AA61,AB61,AC61,AD61,AE61,AF61,AG61,AH61,AI61,AJ61,AK61,AL61)</f>
        <v>+2 soc def, +1 mystic</v>
      </c>
      <c r="AQ61" s="101" t="str">
        <f>CHOOSE(CharGenMain!$C$216,X61,Y61,Z61,AA61,AB61,AC61,AD61,AE61,AF61,AG61,AH61,AI61,AJ61,AK61,AL61)</f>
        <v>+2 soc def, +1 mystic, +1 armor, see text</v>
      </c>
      <c r="AR61" s="101" t="str">
        <f>CHOOSE(CharGenMain!$C$217,X61,Y61,Z61,AA61,AB61,AC61,AD61,AE61,AF61,AG61,AH61,AI61,AJ61,AK61,AL61)</f>
        <v>Thread Max Exceeded</v>
      </c>
      <c r="AS61" s="101" t="e">
        <f>CHOOSE(CharGenMain!$C$218,X61,Y61,Z61,AA61,AB61,AC61,AD61,AE61,AF61,AG61,AH61,AI61,AJ61,AK61,AL61)</f>
        <v>#VALUE!</v>
      </c>
      <c r="AT61" s="101" t="e">
        <f>CHOOSE(CharGenMain!$C$219,X61,Y61,Z61,AA61,AB61,AC61,AD61,AE61,AF61,AG61,AH61,AI61,AJ61,AK61,AL61)</f>
        <v>#VALUE!</v>
      </c>
      <c r="AU61" s="101" t="e">
        <f>CHOOSE(CharGenMain!$C$220,X61,Y61,Z61,AA61,AB61,AC61,AD61,AE61,AF61,AG61,AH61,AI61,AJ61,AK61,AL61)</f>
        <v>#VALUE!</v>
      </c>
      <c r="AV61" s="101" t="e">
        <f>CHOOSE(CharGenMain!$C$221,X61,Y61,Z61,AA61,AB61,AC61,AD61,AE61,AF61,AG61,AH61,AI61,AJ61,AK61,AL61)</f>
        <v>#VALUE!</v>
      </c>
      <c r="AW61" s="101" t="e">
        <f>CHOOSE(CharGenMain!$C$222,X61,Y61,Z61,AA61,AB61,AC61,AD61,AE61,AF61,AG61,AH61,AI61,AJ61,AK61,AL61)</f>
        <v>#VALUE!</v>
      </c>
      <c r="AX61" s="101" t="e">
        <f>CHOOSE(CharGenMain!$C$223,X61,Y61,Z61,AA61,AB61,AC61,AD61,AE61,AF61,AG61,AH61,AI61,AJ61,AK61,AL61)</f>
        <v>#VALUE!</v>
      </c>
      <c r="AY61" s="101" t="e">
        <f>CHOOSE(CharGenMain!$C$224,X61,Y61,Z61,AA61,AB61,AC61,AD61,AE61,AF61,AG61,AH61,AI61,AJ61,AK61,AL61)</f>
        <v>#VALUE!</v>
      </c>
      <c r="AZ61" s="101" t="e">
        <f>CHOOSE(CharGenMain!$C$225,X61,Y61,Z61,AA61,AB61,AC61,AD61,AE61,AF61,AG61,AH61,AI61,AJ61,AK61,AL61)</f>
        <v>#VALUE!</v>
      </c>
      <c r="BA61" s="271" t="e">
        <f>CHOOSE(CharGenMain!$C$226,X61,Y61,Z61,AA61,AB61,AC61,AD61,AE61,AF61,AG61,AH61,AI61,AJ61,AK61,AL61)</f>
        <v>#VALUE!</v>
      </c>
    </row>
    <row r="62" spans="1:198">
      <c r="A62" s="20" t="s">
        <v>1839</v>
      </c>
      <c r="B62" s="14" t="s">
        <v>1889</v>
      </c>
      <c r="C62" s="14" t="s">
        <v>5219</v>
      </c>
      <c r="D62" s="45" t="s">
        <v>1840</v>
      </c>
      <c r="F62" s="20" t="s">
        <v>1838</v>
      </c>
      <c r="G62" s="14" t="s">
        <v>53</v>
      </c>
      <c r="H62" s="14" t="s">
        <v>5323</v>
      </c>
      <c r="I62" s="14">
        <v>2</v>
      </c>
      <c r="J62" s="14">
        <v>1</v>
      </c>
      <c r="K62" s="28" t="s">
        <v>1951</v>
      </c>
      <c r="M62" s="20" t="s">
        <v>1989</v>
      </c>
      <c r="N62" s="14" t="s">
        <v>2015</v>
      </c>
      <c r="O62" s="14" t="s">
        <v>5796</v>
      </c>
      <c r="P62" s="45" t="s">
        <v>1882</v>
      </c>
      <c r="R62" s="20" t="s">
        <v>1897</v>
      </c>
      <c r="S62" s="14" t="s">
        <v>1994</v>
      </c>
      <c r="T62" s="14" t="s">
        <v>2279</v>
      </c>
      <c r="U62" s="14">
        <v>3</v>
      </c>
      <c r="V62" s="14">
        <v>7</v>
      </c>
      <c r="W62" s="14">
        <v>14</v>
      </c>
      <c r="X62" s="87" t="s">
        <v>1995</v>
      </c>
      <c r="Y62" s="87" t="s">
        <v>1995</v>
      </c>
      <c r="Z62" s="87" t="s">
        <v>1995</v>
      </c>
      <c r="AA62" s="87" t="s">
        <v>1995</v>
      </c>
      <c r="AB62" s="87" t="s">
        <v>1995</v>
      </c>
      <c r="AC62" s="87" t="s">
        <v>1995</v>
      </c>
      <c r="AD62" s="87" t="s">
        <v>1995</v>
      </c>
      <c r="AE62" s="87" t="s">
        <v>2997</v>
      </c>
      <c r="AF62" s="87" t="s">
        <v>2997</v>
      </c>
      <c r="AG62" s="87" t="s">
        <v>2997</v>
      </c>
      <c r="AH62" s="87" t="s">
        <v>2997</v>
      </c>
      <c r="AI62" s="87" t="s">
        <v>2997</v>
      </c>
      <c r="AJ62" s="87" t="s">
        <v>2997</v>
      </c>
      <c r="AK62" s="87" t="s">
        <v>2997</v>
      </c>
      <c r="AL62" s="87" t="s">
        <v>2997</v>
      </c>
      <c r="AM62" s="101" t="str">
        <f>CHOOSE(CharGenMain!$C$212,X62,Y62,Z62,AA62,AB62,AC62,AD62,AE62,AF62,AG62,AH62,AI62,AJ62,AK62,AL62)</f>
        <v>spellcasting bonuses, see text</v>
      </c>
      <c r="AN62" s="101" t="str">
        <f>CHOOSE(CharGenMain!$C$213,X62,Y62,Z62,AA62,AB62,AC62,AD62,AE62,AF62,AG62,AH62,AI62,AJ62,AK62,AL62)</f>
        <v>spellcasting bonuses, see text</v>
      </c>
      <c r="AO62" s="101" t="str">
        <f>CHOOSE(CharGenMain!$C$214,X62,Y62,Z62,AA62,AB62,AC62,AD62,AE62,AF62,AG62,AH62,AI62,AJ62,AK62,AL62)</f>
        <v>spellcasting bonuses, see text</v>
      </c>
      <c r="AP62" s="101" t="str">
        <f>CHOOSE(CharGenMain!$C$215,X62,Y62,Z62,AA62,AB62,AC62,AD62,AE62,AF62,AG62,AH62,AI62,AJ62,AK62,AL62)</f>
        <v>spellcasting bonuses, see text</v>
      </c>
      <c r="AQ62" s="101" t="str">
        <f>CHOOSE(CharGenMain!$C$216,X62,Y62,Z62,AA62,AB62,AC62,AD62,AE62,AF62,AG62,AH62,AI62,AJ62,AK62,AL62)</f>
        <v>spellcasting bonuses, see text</v>
      </c>
      <c r="AR62" s="101" t="str">
        <f>CHOOSE(CharGenMain!$C$217,X62,Y62,Z62,AA62,AB62,AC62,AD62,AE62,AF62,AG62,AH62,AI62,AJ62,AK62,AL62)</f>
        <v>spellcasting bonuses, see text</v>
      </c>
      <c r="AS62" s="101" t="e">
        <f>CHOOSE(CharGenMain!$C$218,X62,Y62,Z62,AA62,AB62,AC62,AD62,AE62,AF62,AG62,AH62,AI62,AJ62,AK62,AL62)</f>
        <v>#VALUE!</v>
      </c>
      <c r="AT62" s="101" t="e">
        <f>CHOOSE(CharGenMain!$C$219,X62,Y62,Z62,AA62,AB62,AC62,AD62,AE62,AF62,AG62,AH62,AI62,AJ62,AK62,AL62)</f>
        <v>#VALUE!</v>
      </c>
      <c r="AU62" s="101" t="e">
        <f>CHOOSE(CharGenMain!$C$220,X62,Y62,Z62,AA62,AB62,AC62,AD62,AE62,AF62,AG62,AH62,AI62,AJ62,AK62,AL62)</f>
        <v>#VALUE!</v>
      </c>
      <c r="AV62" s="101" t="e">
        <f>CHOOSE(CharGenMain!$C$221,X62,Y62,Z62,AA62,AB62,AC62,AD62,AE62,AF62,AG62,AH62,AI62,AJ62,AK62,AL62)</f>
        <v>#VALUE!</v>
      </c>
      <c r="AW62" s="101" t="e">
        <f>CHOOSE(CharGenMain!$C$222,X62,Y62,Z62,AA62,AB62,AC62,AD62,AE62,AF62,AG62,AH62,AI62,AJ62,AK62,AL62)</f>
        <v>#VALUE!</v>
      </c>
      <c r="AX62" s="101" t="e">
        <f>CHOOSE(CharGenMain!$C$223,X62,Y62,Z62,AA62,AB62,AC62,AD62,AE62,AF62,AG62,AH62,AI62,AJ62,AK62,AL62)</f>
        <v>#VALUE!</v>
      </c>
      <c r="AY62" s="101" t="e">
        <f>CHOOSE(CharGenMain!$C$224,X62,Y62,Z62,AA62,AB62,AC62,AD62,AE62,AF62,AG62,AH62,AI62,AJ62,AK62,AL62)</f>
        <v>#VALUE!</v>
      </c>
      <c r="AZ62" s="101" t="e">
        <f>CHOOSE(CharGenMain!$C$225,X62,Y62,Z62,AA62,AB62,AC62,AD62,AE62,AF62,AG62,AH62,AI62,AJ62,AK62,AL62)</f>
        <v>#VALUE!</v>
      </c>
      <c r="BA62" s="271" t="e">
        <f>CHOOSE(CharGenMain!$C$226,X62,Y62,Z62,AA62,AB62,AC62,AD62,AE62,AF62,AG62,AH62,AI62,AJ62,AK62,AL62)</f>
        <v>#VALUE!</v>
      </c>
    </row>
    <row r="63" spans="1:198">
      <c r="A63" s="20" t="s">
        <v>1836</v>
      </c>
      <c r="B63" s="14" t="s">
        <v>2225</v>
      </c>
      <c r="C63" s="14" t="s">
        <v>5219</v>
      </c>
      <c r="D63" s="45" t="s">
        <v>1837</v>
      </c>
      <c r="F63" s="20" t="s">
        <v>1845</v>
      </c>
      <c r="G63" s="14" t="s">
        <v>53</v>
      </c>
      <c r="H63" s="14" t="s">
        <v>5323</v>
      </c>
      <c r="I63" s="14">
        <v>4</v>
      </c>
      <c r="J63" s="14">
        <v>3</v>
      </c>
      <c r="K63" s="28" t="s">
        <v>1557</v>
      </c>
      <c r="M63" s="204" t="s">
        <v>1789</v>
      </c>
      <c r="N63" s="14" t="s">
        <v>2047</v>
      </c>
      <c r="O63" s="14" t="s">
        <v>5796</v>
      </c>
      <c r="P63" s="45" t="s">
        <v>1698</v>
      </c>
      <c r="R63" s="20" t="s">
        <v>1894</v>
      </c>
      <c r="S63" s="14" t="s">
        <v>1895</v>
      </c>
      <c r="T63" s="14" t="s">
        <v>2279</v>
      </c>
      <c r="U63" s="14">
        <v>4</v>
      </c>
      <c r="V63" s="14">
        <v>6</v>
      </c>
      <c r="W63" s="14">
        <v>23</v>
      </c>
      <c r="X63" s="87" t="s">
        <v>1896</v>
      </c>
      <c r="Y63" s="87" t="s">
        <v>1896</v>
      </c>
      <c r="Z63" s="87" t="s">
        <v>1896</v>
      </c>
      <c r="AA63" s="87" t="s">
        <v>1896</v>
      </c>
      <c r="AB63" s="87" t="s">
        <v>1896</v>
      </c>
      <c r="AC63" s="87" t="s">
        <v>1896</v>
      </c>
      <c r="AD63" s="87" t="s">
        <v>2997</v>
      </c>
      <c r="AE63" s="87" t="s">
        <v>2997</v>
      </c>
      <c r="AF63" s="87" t="s">
        <v>2997</v>
      </c>
      <c r="AG63" s="87" t="s">
        <v>2997</v>
      </c>
      <c r="AH63" s="87" t="s">
        <v>2997</v>
      </c>
      <c r="AI63" s="87" t="s">
        <v>2997</v>
      </c>
      <c r="AJ63" s="87" t="s">
        <v>2997</v>
      </c>
      <c r="AK63" s="87" t="s">
        <v>2997</v>
      </c>
      <c r="AL63" s="87" t="s">
        <v>2997</v>
      </c>
      <c r="AM63" s="101" t="str">
        <f>CHOOSE(CharGenMain!$C$212,X63,Y63,Z63,AA63,AB63,AC63,AD63,AE63,AF63,AG63,AH63,AI63,AJ63,AK63,AL63)</f>
        <v>figurine of a mount, see text</v>
      </c>
      <c r="AN63" s="101" t="str">
        <f>CHOOSE(CharGenMain!$C$213,X63,Y63,Z63,AA63,AB63,AC63,AD63,AE63,AF63,AG63,AH63,AI63,AJ63,AK63,AL63)</f>
        <v>figurine of a mount, see text</v>
      </c>
      <c r="AO63" s="101" t="str">
        <f>CHOOSE(CharGenMain!$C$214,X63,Y63,Z63,AA63,AB63,AC63,AD63,AE63,AF63,AG63,AH63,AI63,AJ63,AK63,AL63)</f>
        <v>figurine of a mount, see text</v>
      </c>
      <c r="AP63" s="101" t="str">
        <f>CHOOSE(CharGenMain!$C$215,X63,Y63,Z63,AA63,AB63,AC63,AD63,AE63,AF63,AG63,AH63,AI63,AJ63,AK63,AL63)</f>
        <v>figurine of a mount, see text</v>
      </c>
      <c r="AQ63" s="101" t="str">
        <f>CHOOSE(CharGenMain!$C$216,X63,Y63,Z63,AA63,AB63,AC63,AD63,AE63,AF63,AG63,AH63,AI63,AJ63,AK63,AL63)</f>
        <v>figurine of a mount, see text</v>
      </c>
      <c r="AR63" s="101" t="str">
        <f>CHOOSE(CharGenMain!$C$217,X63,Y63,Z63,AA63,AB63,AC63,AD63,AE63,AF63,AG63,AH63,AI63,AJ63,AK63,AL63)</f>
        <v>figurine of a mount, see text</v>
      </c>
      <c r="AS63" s="101" t="e">
        <f>CHOOSE(CharGenMain!$C$218,X63,Y63,Z63,AA63,AB63,AC63,AD63,AE63,AF63,AG63,AH63,AI63,AJ63,AK63,AL63)</f>
        <v>#VALUE!</v>
      </c>
      <c r="AT63" s="101" t="e">
        <f>CHOOSE(CharGenMain!$C$219,X63,Y63,Z63,AA63,AB63,AC63,AD63,AE63,AF63,AG63,AH63,AI63,AJ63,AK63,AL63)</f>
        <v>#VALUE!</v>
      </c>
      <c r="AU63" s="101" t="e">
        <f>CHOOSE(CharGenMain!$C$220,X63,Y63,Z63,AA63,AB63,AC63,AD63,AE63,AF63,AG63,AH63,AI63,AJ63,AK63,AL63)</f>
        <v>#VALUE!</v>
      </c>
      <c r="AV63" s="101" t="e">
        <f>CHOOSE(CharGenMain!$C$221,X63,Y63,Z63,AA63,AB63,AC63,AD63,AE63,AF63,AG63,AH63,AI63,AJ63,AK63,AL63)</f>
        <v>#VALUE!</v>
      </c>
      <c r="AW63" s="101" t="e">
        <f>CHOOSE(CharGenMain!$C$222,X63,Y63,Z63,AA63,AB63,AC63,AD63,AE63,AF63,AG63,AH63,AI63,AJ63,AK63,AL63)</f>
        <v>#VALUE!</v>
      </c>
      <c r="AX63" s="101" t="e">
        <f>CHOOSE(CharGenMain!$C$223,X63,Y63,Z63,AA63,AB63,AC63,AD63,AE63,AF63,AG63,AH63,AI63,AJ63,AK63,AL63)</f>
        <v>#VALUE!</v>
      </c>
      <c r="AY63" s="101" t="e">
        <f>CHOOSE(CharGenMain!$C$224,X63,Y63,Z63,AA63,AB63,AC63,AD63,AE63,AF63,AG63,AH63,AI63,AJ63,AK63,AL63)</f>
        <v>#VALUE!</v>
      </c>
      <c r="AZ63" s="101" t="e">
        <f>CHOOSE(CharGenMain!$C$225,X63,Y63,Z63,AA63,AB63,AC63,AD63,AE63,AF63,AG63,AH63,AI63,AJ63,AK63,AL63)</f>
        <v>#VALUE!</v>
      </c>
      <c r="BA63" s="271" t="e">
        <f>CHOOSE(CharGenMain!$C$226,X63,Y63,Z63,AA63,AB63,AC63,AD63,AE63,AF63,AG63,AH63,AI63,AJ63,AK63,AL63)</f>
        <v>#VALUE!</v>
      </c>
    </row>
    <row r="64" spans="1:198">
      <c r="A64" s="20" t="s">
        <v>2060</v>
      </c>
      <c r="B64" s="14" t="s">
        <v>2443</v>
      </c>
      <c r="C64" s="14" t="s">
        <v>5219</v>
      </c>
      <c r="D64" s="45" t="s">
        <v>1844</v>
      </c>
      <c r="F64" s="20" t="s">
        <v>1772</v>
      </c>
      <c r="G64" s="14" t="s">
        <v>53</v>
      </c>
      <c r="H64" s="14" t="s">
        <v>5323</v>
      </c>
      <c r="I64" s="14">
        <v>4</v>
      </c>
      <c r="J64" s="14">
        <v>2</v>
      </c>
      <c r="K64" s="28" t="s">
        <v>1773</v>
      </c>
      <c r="M64" s="204" t="s">
        <v>2105</v>
      </c>
      <c r="N64" s="14" t="s">
        <v>2047</v>
      </c>
      <c r="O64" s="14" t="s">
        <v>5796</v>
      </c>
      <c r="P64" s="45" t="s">
        <v>1893</v>
      </c>
      <c r="R64" s="226" t="s">
        <v>1610</v>
      </c>
      <c r="S64" s="14" t="s">
        <v>2666</v>
      </c>
      <c r="T64" s="14" t="s">
        <v>2667</v>
      </c>
      <c r="U64" s="14">
        <v>2</v>
      </c>
      <c r="V64" s="14">
        <v>3</v>
      </c>
      <c r="W64" s="14">
        <v>12</v>
      </c>
      <c r="X64" s="168" t="s">
        <v>1611</v>
      </c>
      <c r="Y64" s="168" t="s">
        <v>1612</v>
      </c>
      <c r="Z64" s="168" t="s">
        <v>1814</v>
      </c>
      <c r="AA64" s="87" t="s">
        <v>2997</v>
      </c>
      <c r="AB64" s="87" t="s">
        <v>2997</v>
      </c>
      <c r="AC64" s="87" t="s">
        <v>2997</v>
      </c>
      <c r="AD64" s="87" t="s">
        <v>2997</v>
      </c>
      <c r="AE64" s="87" t="s">
        <v>2997</v>
      </c>
      <c r="AF64" s="87" t="s">
        <v>2997</v>
      </c>
      <c r="AG64" s="87" t="s">
        <v>2997</v>
      </c>
      <c r="AH64" s="87" t="s">
        <v>2997</v>
      </c>
      <c r="AI64" s="87" t="s">
        <v>2997</v>
      </c>
      <c r="AJ64" s="87" t="s">
        <v>2997</v>
      </c>
      <c r="AK64" s="87" t="s">
        <v>2997</v>
      </c>
      <c r="AL64" s="87" t="s">
        <v>2997</v>
      </c>
      <c r="AM64" s="101" t="str">
        <f>CHOOSE(CharGenMain!$C$212,X64,Y64,Z64,AA64,AB64,AC64,AD64,AE64,AF64,AG64,AH64,AI64,AJ64,AK64,AL64)</f>
        <v>Silent Walk at thread rank, +1 Phys Arm, +1 Myst Arm, +1 Phys Def</v>
      </c>
      <c r="AN64" s="101" t="str">
        <f>CHOOSE(CharGenMain!$C$213,X64,Y64,Z64,AA64,AB64,AC64,AD64,AE64,AF64,AG64,AH64,AI64,AJ64,AK64,AL64)</f>
        <v>Silent Walk at thread rank</v>
      </c>
      <c r="AO64" s="101" t="str">
        <f>CHOOSE(CharGenMain!$C$214,X64,Y64,Z64,AA64,AB64,AC64,AD64,AE64,AF64,AG64,AH64,AI64,AJ64,AK64,AL64)</f>
        <v>Silent Walk at thread rank</v>
      </c>
      <c r="AP64" s="101" t="str">
        <f>CHOOSE(CharGenMain!$C$215,X64,Y64,Z64,AA64,AB64,AC64,AD64,AE64,AF64,AG64,AH64,AI64,AJ64,AK64,AL64)</f>
        <v>Silent Walk at thread rank, +1 Phys Arm, +1 Myst Arm</v>
      </c>
      <c r="AQ64" s="101" t="str">
        <f>CHOOSE(CharGenMain!$C$216,X64,Y64,Z64,AA64,AB64,AC64,AD64,AE64,AF64,AG64,AH64,AI64,AJ64,AK64,AL64)</f>
        <v>Thread Max Exceeded</v>
      </c>
      <c r="AR64" s="101" t="str">
        <f>CHOOSE(CharGenMain!$C$217,X64,Y64,Z64,AA64,AB64,AC64,AD64,AE64,AF64,AG64,AH64,AI64,AJ64,AK64,AL64)</f>
        <v>Thread Max Exceeded</v>
      </c>
      <c r="AS64" s="101" t="e">
        <f>CHOOSE(CharGenMain!$C$218,X64,Y64,Z64,AA64,AB64,AC64,AD64,AE64,AF64,AG64,AH64,AI64,AJ64,AK64,AL64)</f>
        <v>#VALUE!</v>
      </c>
      <c r="AT64" s="101" t="e">
        <f>CHOOSE(CharGenMain!$C$219,X64,Y64,Z64,AA64,AB64,AC64,AD64,AE64,AF64,AG64,AH64,AI64,AJ64,AK64,AL64)</f>
        <v>#VALUE!</v>
      </c>
      <c r="AU64" s="101" t="e">
        <f>CHOOSE(CharGenMain!$C$220,X64,Y64,Z64,AA64,AB64,AC64,AD64,AE64,AF64,AG64,AH64,AI64,AJ64,AK64,AL64)</f>
        <v>#VALUE!</v>
      </c>
      <c r="AV64" s="101" t="e">
        <f>CHOOSE(CharGenMain!$C$221,X64,Y64,Z64,AA64,AB64,AC64,AD64,AE64,AF64,AG64,AH64,AI64,AJ64,AK64,AL64)</f>
        <v>#VALUE!</v>
      </c>
      <c r="AW64" s="101" t="e">
        <f>CHOOSE(CharGenMain!$C$222,X64,Y64,Z64,AA64,AB64,AC64,AD64,AE64,AF64,AG64,AH64,AI64,AJ64,AK64,AL64)</f>
        <v>#VALUE!</v>
      </c>
      <c r="AX64" s="101" t="e">
        <f>CHOOSE(CharGenMain!$C$223,X64,Y64,Z64,AA64,AB64,AC64,AD64,AE64,AF64,AG64,AH64,AI64,AJ64,AK64,AL64)</f>
        <v>#VALUE!</v>
      </c>
      <c r="AY64" s="101" t="e">
        <f>CHOOSE(CharGenMain!$C$224,X64,Y64,Z64,AA64,AB64,AC64,AD64,AE64,AF64,AG64,AH64,AI64,AJ64,AK64,AL64)</f>
        <v>#VALUE!</v>
      </c>
      <c r="AZ64" s="101" t="e">
        <f>CHOOSE(CharGenMain!$C$225,X64,Y64,Z64,AA64,AB64,AC64,AD64,AE64,AF64,AG64,AH64,AI64,AJ64,AK64,AL64)</f>
        <v>#VALUE!</v>
      </c>
      <c r="BA64" s="271" t="e">
        <f>CHOOSE(CharGenMain!$C$226,X64,Y64,Z64,AA64,AB64,AC64,AD64,AE64,AF64,AG64,AH64,AI64,AJ64,AK64,AL64)</f>
        <v>#VALUE!</v>
      </c>
    </row>
    <row r="65" spans="1:53">
      <c r="A65" s="20" t="s">
        <v>1770</v>
      </c>
      <c r="B65" s="14" t="s">
        <v>2297</v>
      </c>
      <c r="C65" s="14" t="s">
        <v>5219</v>
      </c>
      <c r="D65" s="186" t="s">
        <v>1771</v>
      </c>
      <c r="F65" s="20" t="s">
        <v>1592</v>
      </c>
      <c r="G65" s="14" t="s">
        <v>1593</v>
      </c>
      <c r="H65" s="14" t="s">
        <v>5323</v>
      </c>
      <c r="I65" s="14">
        <v>5</v>
      </c>
      <c r="J65" s="167">
        <v>0</v>
      </c>
      <c r="K65" s="28" t="s">
        <v>1594</v>
      </c>
      <c r="M65" s="204" t="s">
        <v>56</v>
      </c>
      <c r="N65" s="14" t="s">
        <v>122</v>
      </c>
      <c r="O65" s="14" t="s">
        <v>123</v>
      </c>
      <c r="P65" s="186" t="s">
        <v>57</v>
      </c>
      <c r="R65" s="205" t="s">
        <v>1821</v>
      </c>
      <c r="S65" s="167" t="s">
        <v>1943</v>
      </c>
      <c r="T65" s="14" t="s">
        <v>2279</v>
      </c>
      <c r="U65" s="14">
        <v>4</v>
      </c>
      <c r="V65" s="14">
        <v>15</v>
      </c>
      <c r="W65" s="14">
        <v>22</v>
      </c>
      <c r="X65" s="168" t="s">
        <v>1829</v>
      </c>
      <c r="Y65" s="207" t="s">
        <v>1830</v>
      </c>
      <c r="Z65" s="207" t="s">
        <v>1830</v>
      </c>
      <c r="AA65" s="207" t="s">
        <v>1831</v>
      </c>
      <c r="AB65" s="207" t="s">
        <v>1832</v>
      </c>
      <c r="AC65" s="207" t="s">
        <v>1832</v>
      </c>
      <c r="AD65" s="207" t="s">
        <v>1833</v>
      </c>
      <c r="AE65" s="207" t="s">
        <v>1833</v>
      </c>
      <c r="AF65" s="207" t="s">
        <v>1644</v>
      </c>
      <c r="AG65" s="207" t="s">
        <v>1644</v>
      </c>
      <c r="AH65" s="207" t="s">
        <v>1644</v>
      </c>
      <c r="AI65" s="207" t="s">
        <v>1645</v>
      </c>
      <c r="AJ65" s="207" t="s">
        <v>1645</v>
      </c>
      <c r="AK65" s="207" t="s">
        <v>1645</v>
      </c>
      <c r="AL65" s="207" t="s">
        <v>1645</v>
      </c>
      <c r="AM65" s="101" t="str">
        <f>CHOOSE(CharGenMain!$C$212,X65,Y65,Z65,AA65,AB65,AC65,AD65,AE65,AF65,AG65,AH65,AI65,AJ65,AK65,AL65)</f>
        <v>+1 Spell def, Commune with Dragon</v>
      </c>
      <c r="AN65" s="101" t="str">
        <f>CHOOSE(CharGenMain!$C$213,X65,Y65,Z65,AA65,AB65,AC65,AD65,AE65,AF65,AG65,AH65,AI65,AJ65,AK65,AL65)</f>
        <v>Commune with Dragon</v>
      </c>
      <c r="AO65" s="101" t="str">
        <f>CHOOSE(CharGenMain!$C$214,X65,Y65,Z65,AA65,AB65,AC65,AD65,AE65,AF65,AG65,AH65,AI65,AJ65,AK65,AL65)</f>
        <v>Commune with Dragon</v>
      </c>
      <c r="AP65" s="101" t="str">
        <f>CHOOSE(CharGenMain!$C$215,X65,Y65,Z65,AA65,AB65,AC65,AD65,AE65,AF65,AG65,AH65,AI65,AJ65,AK65,AL65)</f>
        <v>+1 Spell def, Commune with Dragon</v>
      </c>
      <c r="AQ65" s="101" t="str">
        <f>CHOOSE(CharGenMain!$C$216,X65,Y65,Z65,AA65,AB65,AC65,AD65,AE65,AF65,AG65,AH65,AI65,AJ65,AK65,AL65)</f>
        <v>+1 Spell def, +1 Myst Arm, Commune with Dragon</v>
      </c>
      <c r="AR65" s="101" t="str">
        <f>CHOOSE(CharGenMain!$C$217,X65,Y65,Z65,AA65,AB65,AC65,AD65,AE65,AF65,AG65,AH65,AI65,AJ65,AK65,AL65)</f>
        <v>+1 Spell def, +1 Myst Arm, +2 karma step, Commune with Dragon</v>
      </c>
      <c r="AS65" s="101" t="e">
        <f>CHOOSE(CharGenMain!$C$218,X65,Y65,Z65,AA65,AB65,AC65,AD65,AE65,AF65,AG65,AH65,AI65,AJ65,AK65,AL65)</f>
        <v>#VALUE!</v>
      </c>
      <c r="AT65" s="101" t="e">
        <f>CHOOSE(CharGenMain!$C$219,X65,Y65,Z65,AA65,AB65,AC65,AD65,AE65,AF65,AG65,AH65,AI65,AJ65,AK65,AL65)</f>
        <v>#VALUE!</v>
      </c>
      <c r="AU65" s="101" t="e">
        <f>CHOOSE(CharGenMain!$C$220,X65,Y65,Z65,AA65,AB65,AC65,AD65,AE65,AF65,AG65,AH65,AI65,AJ65,AK65,AL65)</f>
        <v>#VALUE!</v>
      </c>
      <c r="AV65" s="101" t="e">
        <f>CHOOSE(CharGenMain!$C$221,X65,Y65,Z65,AA65,AB65,AC65,AD65,AE65,AF65,AG65,AH65,AI65,AJ65,AK65,AL65)</f>
        <v>#VALUE!</v>
      </c>
      <c r="AW65" s="101" t="e">
        <f>CHOOSE(CharGenMain!$C$222,X65,Y65,Z65,AA65,AB65,AC65,AD65,AE65,AF65,AG65,AH65,AI65,AJ65,AK65,AL65)</f>
        <v>#VALUE!</v>
      </c>
      <c r="AX65" s="101" t="e">
        <f>CHOOSE(CharGenMain!$C$223,X65,Y65,Z65,AA65,AB65,AC65,AD65,AE65,AF65,AG65,AH65,AI65,AJ65,AK65,AL65)</f>
        <v>#VALUE!</v>
      </c>
      <c r="AY65" s="101" t="e">
        <f>CHOOSE(CharGenMain!$C$224,X65,Y65,Z65,AA65,AB65,AC65,AD65,AE65,AF65,AG65,AH65,AI65,AJ65,AK65,AL65)</f>
        <v>#VALUE!</v>
      </c>
      <c r="AZ65" s="101" t="e">
        <f>CHOOSE(CharGenMain!$C$225,X65,Y65,Z65,AA65,AB65,AC65,AD65,AE65,AF65,AG65,AH65,AI65,AJ65,AK65,AL65)</f>
        <v>#VALUE!</v>
      </c>
      <c r="BA65" s="271" t="e">
        <f>CHOOSE(CharGenMain!$C$226,X65,Y65,Z65,AA65,AB65,AC65,AD65,AE65,AF65,AG65,AH65,AI65,AJ65,AK65,AL65)</f>
        <v>#VALUE!</v>
      </c>
    </row>
    <row r="66" spans="1:53">
      <c r="A66" s="20" t="s">
        <v>1785</v>
      </c>
      <c r="B66" s="14" t="s">
        <v>2225</v>
      </c>
      <c r="C66" s="14" t="s">
        <v>5219</v>
      </c>
      <c r="D66" s="45" t="s">
        <v>1786</v>
      </c>
      <c r="F66" s="20" t="s">
        <v>1601</v>
      </c>
      <c r="G66" s="14" t="s">
        <v>1602</v>
      </c>
      <c r="H66" s="14" t="s">
        <v>5323</v>
      </c>
      <c r="I66" s="14">
        <v>3</v>
      </c>
      <c r="J66" s="167">
        <v>0</v>
      </c>
      <c r="K66" s="191" t="s">
        <v>1603</v>
      </c>
      <c r="M66" s="20" t="s">
        <v>1608</v>
      </c>
      <c r="N66" s="14" t="s">
        <v>2380</v>
      </c>
      <c r="O66" s="14" t="s">
        <v>2501</v>
      </c>
      <c r="P66" s="45" t="s">
        <v>1609</v>
      </c>
      <c r="R66" s="205" t="s">
        <v>1651</v>
      </c>
      <c r="S66" s="167" t="s">
        <v>1652</v>
      </c>
      <c r="T66" s="14" t="s">
        <v>2279</v>
      </c>
      <c r="U66" s="14">
        <v>3</v>
      </c>
      <c r="V66" s="14">
        <v>8</v>
      </c>
      <c r="W66" s="14">
        <v>19</v>
      </c>
      <c r="X66" s="168" t="s">
        <v>1747</v>
      </c>
      <c r="Y66" s="168" t="s">
        <v>1747</v>
      </c>
      <c r="Z66" s="168" t="s">
        <v>1747</v>
      </c>
      <c r="AA66" s="168" t="s">
        <v>1747</v>
      </c>
      <c r="AB66" s="168" t="s">
        <v>1747</v>
      </c>
      <c r="AC66" s="168" t="s">
        <v>1747</v>
      </c>
      <c r="AD66" s="168" t="s">
        <v>1747</v>
      </c>
      <c r="AE66" s="168" t="s">
        <v>1747</v>
      </c>
      <c r="AF66" s="87" t="s">
        <v>2997</v>
      </c>
      <c r="AG66" s="87" t="s">
        <v>2997</v>
      </c>
      <c r="AH66" s="87" t="s">
        <v>2997</v>
      </c>
      <c r="AI66" s="87" t="s">
        <v>2997</v>
      </c>
      <c r="AJ66" s="87" t="s">
        <v>2997</v>
      </c>
      <c r="AK66" s="87" t="s">
        <v>2997</v>
      </c>
      <c r="AL66" s="87" t="s">
        <v>2997</v>
      </c>
      <c r="AM66" s="101" t="str">
        <f>CHOOSE(CharGenMain!$C$212,X66,Y66,Z66,AA66,AB66,AC66,AD66,AE66,AF66,AG66,AH66,AI66,AJ66,AK66,AL66)</f>
        <v>various</v>
      </c>
      <c r="AN66" s="101" t="str">
        <f>CHOOSE(CharGenMain!$C$213,X66,Y66,Z66,AA66,AB66,AC66,AD66,AE66,AF66,AG66,AH66,AI66,AJ66,AK66,AL66)</f>
        <v>various</v>
      </c>
      <c r="AO66" s="101" t="str">
        <f>CHOOSE(CharGenMain!$C$214,X66,Y66,Z66,AA66,AB66,AC66,AD66,AE66,AF66,AG66,AH66,AI66,AJ66,AK66,AL66)</f>
        <v>various</v>
      </c>
      <c r="AP66" s="101" t="str">
        <f>CHOOSE(CharGenMain!$C$215,X66,Y66,Z66,AA66,AB66,AC66,AD66,AE66,AF66,AG66,AH66,AI66,AJ66,AK66,AL66)</f>
        <v>various</v>
      </c>
      <c r="AQ66" s="101" t="str">
        <f>CHOOSE(CharGenMain!$C$216,X66,Y66,Z66,AA66,AB66,AC66,AD66,AE66,AF66,AG66,AH66,AI66,AJ66,AK66,AL66)</f>
        <v>various</v>
      </c>
      <c r="AR66" s="101" t="str">
        <f>CHOOSE(CharGenMain!$C$217,X66,Y66,Z66,AA66,AB66,AC66,AD66,AE66,AF66,AG66,AH66,AI66,AJ66,AK66,AL66)</f>
        <v>various</v>
      </c>
      <c r="AS66" s="101" t="e">
        <f>CHOOSE(CharGenMain!$C$218,X66,Y66,Z66,AA66,AB66,AC66,AD66,AE66,AF66,AG66,AH66,AI66,AJ66,AK66,AL66)</f>
        <v>#VALUE!</v>
      </c>
      <c r="AT66" s="101" t="e">
        <f>CHOOSE(CharGenMain!$C$219,X66,Y66,Z66,AA66,AB66,AC66,AD66,AE66,AF66,AG66,AH66,AI66,AJ66,AK66,AL66)</f>
        <v>#VALUE!</v>
      </c>
      <c r="AU66" s="101" t="e">
        <f>CHOOSE(CharGenMain!$C$220,X66,Y66,Z66,AA66,AB66,AC66,AD66,AE66,AF66,AG66,AH66,AI66,AJ66,AK66,AL66)</f>
        <v>#VALUE!</v>
      </c>
      <c r="AV66" s="101" t="e">
        <f>CHOOSE(CharGenMain!$C$221,X66,Y66,Z66,AA66,AB66,AC66,AD66,AE66,AF66,AG66,AH66,AI66,AJ66,AK66,AL66)</f>
        <v>#VALUE!</v>
      </c>
      <c r="AW66" s="101" t="e">
        <f>CHOOSE(CharGenMain!$C$222,X66,Y66,Z66,AA66,AB66,AC66,AD66,AE66,AF66,AG66,AH66,AI66,AJ66,AK66,AL66)</f>
        <v>#VALUE!</v>
      </c>
      <c r="AX66" s="101" t="e">
        <f>CHOOSE(CharGenMain!$C$223,X66,Y66,Z66,AA66,AB66,AC66,AD66,AE66,AF66,AG66,AH66,AI66,AJ66,AK66,AL66)</f>
        <v>#VALUE!</v>
      </c>
      <c r="AY66" s="101" t="e">
        <f>CHOOSE(CharGenMain!$C$224,X66,Y66,Z66,AA66,AB66,AC66,AD66,AE66,AF66,AG66,AH66,AI66,AJ66,AK66,AL66)</f>
        <v>#VALUE!</v>
      </c>
      <c r="AZ66" s="101" t="e">
        <f>CHOOSE(CharGenMain!$C$225,X66,Y66,Z66,AA66,AB66,AC66,AD66,AE66,AF66,AG66,AH66,AI66,AJ66,AK66,AL66)</f>
        <v>#VALUE!</v>
      </c>
      <c r="BA66" s="271" t="e">
        <f>CHOOSE(CharGenMain!$C$226,X66,Y66,Z66,AA66,AB66,AC66,AD66,AE66,AF66,AG66,AH66,AI66,AJ66,AK66,AL66)</f>
        <v>#VALUE!</v>
      </c>
    </row>
    <row r="67" spans="1:53">
      <c r="A67" s="20" t="s">
        <v>1600</v>
      </c>
      <c r="B67" s="14" t="s">
        <v>1889</v>
      </c>
      <c r="C67" s="14" t="s">
        <v>5219</v>
      </c>
      <c r="D67" s="186" t="s">
        <v>2212</v>
      </c>
      <c r="F67" s="20" t="s">
        <v>1704</v>
      </c>
      <c r="G67" s="14" t="s">
        <v>2593</v>
      </c>
      <c r="H67" s="14" t="s">
        <v>5323</v>
      </c>
      <c r="I67" s="14">
        <v>4</v>
      </c>
      <c r="J67" s="14">
        <v>0</v>
      </c>
      <c r="K67" s="191" t="s">
        <v>1790</v>
      </c>
      <c r="M67" s="20" t="s">
        <v>1820</v>
      </c>
      <c r="N67" s="14" t="s">
        <v>2428</v>
      </c>
      <c r="O67" s="14" t="s">
        <v>2279</v>
      </c>
      <c r="P67" s="28" t="s">
        <v>2122</v>
      </c>
      <c r="R67" s="20" t="s">
        <v>1843</v>
      </c>
      <c r="S67" s="14" t="s">
        <v>1746</v>
      </c>
      <c r="T67" s="14" t="s">
        <v>2279</v>
      </c>
      <c r="U67" s="14">
        <v>4</v>
      </c>
      <c r="V67" s="14">
        <v>7</v>
      </c>
      <c r="W67" s="14">
        <v>25</v>
      </c>
      <c r="X67" s="87" t="s">
        <v>2059</v>
      </c>
      <c r="Y67" s="87" t="s">
        <v>2059</v>
      </c>
      <c r="Z67" s="87" t="s">
        <v>2059</v>
      </c>
      <c r="AA67" s="87" t="s">
        <v>2059</v>
      </c>
      <c r="AB67" s="87" t="s">
        <v>2059</v>
      </c>
      <c r="AC67" s="87" t="s">
        <v>2059</v>
      </c>
      <c r="AD67" s="87" t="s">
        <v>2059</v>
      </c>
      <c r="AE67" s="87" t="s">
        <v>2997</v>
      </c>
      <c r="AF67" s="87" t="s">
        <v>2997</v>
      </c>
      <c r="AG67" s="87" t="s">
        <v>2997</v>
      </c>
      <c r="AH67" s="87" t="s">
        <v>2997</v>
      </c>
      <c r="AI67" s="87" t="s">
        <v>2997</v>
      </c>
      <c r="AJ67" s="87" t="s">
        <v>2997</v>
      </c>
      <c r="AK67" s="87" t="s">
        <v>2997</v>
      </c>
      <c r="AL67" s="87" t="s">
        <v>2997</v>
      </c>
      <c r="AM67" s="101" t="str">
        <f>CHOOSE(CharGenMain!$C$212,X67,Y67,Z67,AA67,AB67,AC67,AD67,AE67,AF67,AG67,AH67,AI67,AJ67,AK67,AL67)</f>
        <v>thief abilities, see text</v>
      </c>
      <c r="AN67" s="101" t="str">
        <f>CHOOSE(CharGenMain!$C$213,X67,Y67,Z67,AA67,AB67,AC67,AD67,AE67,AF67,AG67,AH67,AI67,AJ67,AK67,AL67)</f>
        <v>thief abilities, see text</v>
      </c>
      <c r="AO67" s="101" t="str">
        <f>CHOOSE(CharGenMain!$C$214,X67,Y67,Z67,AA67,AB67,AC67,AD67,AE67,AF67,AG67,AH67,AI67,AJ67,AK67,AL67)</f>
        <v>thief abilities, see text</v>
      </c>
      <c r="AP67" s="101" t="str">
        <f>CHOOSE(CharGenMain!$C$215,X67,Y67,Z67,AA67,AB67,AC67,AD67,AE67,AF67,AG67,AH67,AI67,AJ67,AK67,AL67)</f>
        <v>thief abilities, see text</v>
      </c>
      <c r="AQ67" s="101" t="str">
        <f>CHOOSE(CharGenMain!$C$216,X67,Y67,Z67,AA67,AB67,AC67,AD67,AE67,AF67,AG67,AH67,AI67,AJ67,AK67,AL67)</f>
        <v>thief abilities, see text</v>
      </c>
      <c r="AR67" s="101" t="str">
        <f>CHOOSE(CharGenMain!$C$217,X67,Y67,Z67,AA67,AB67,AC67,AD67,AE67,AF67,AG67,AH67,AI67,AJ67,AK67,AL67)</f>
        <v>thief abilities, see text</v>
      </c>
      <c r="AS67" s="101" t="e">
        <f>CHOOSE(CharGenMain!$C$218,X67,Y67,Z67,AA67,AB67,AC67,AD67,AE67,AF67,AG67,AH67,AI67,AJ67,AK67,AL67)</f>
        <v>#VALUE!</v>
      </c>
      <c r="AT67" s="101" t="e">
        <f>CHOOSE(CharGenMain!$C$219,X67,Y67,Z67,AA67,AB67,AC67,AD67,AE67,AF67,AG67,AH67,AI67,AJ67,AK67,AL67)</f>
        <v>#VALUE!</v>
      </c>
      <c r="AU67" s="101" t="e">
        <f>CHOOSE(CharGenMain!$C$220,X67,Y67,Z67,AA67,AB67,AC67,AD67,AE67,AF67,AG67,AH67,AI67,AJ67,AK67,AL67)</f>
        <v>#VALUE!</v>
      </c>
      <c r="AV67" s="101" t="e">
        <f>CHOOSE(CharGenMain!$C$221,X67,Y67,Z67,AA67,AB67,AC67,AD67,AE67,AF67,AG67,AH67,AI67,AJ67,AK67,AL67)</f>
        <v>#VALUE!</v>
      </c>
      <c r="AW67" s="101" t="e">
        <f>CHOOSE(CharGenMain!$C$222,X67,Y67,Z67,AA67,AB67,AC67,AD67,AE67,AF67,AG67,AH67,AI67,AJ67,AK67,AL67)</f>
        <v>#VALUE!</v>
      </c>
      <c r="AX67" s="101" t="e">
        <f>CHOOSE(CharGenMain!$C$223,X67,Y67,Z67,AA67,AB67,AC67,AD67,AE67,AF67,AG67,AH67,AI67,AJ67,AK67,AL67)</f>
        <v>#VALUE!</v>
      </c>
      <c r="AY67" s="101" t="e">
        <f>CHOOSE(CharGenMain!$C$224,X67,Y67,Z67,AA67,AB67,AC67,AD67,AE67,AF67,AG67,AH67,AI67,AJ67,AK67,AL67)</f>
        <v>#VALUE!</v>
      </c>
      <c r="AZ67" s="101" t="e">
        <f>CHOOSE(CharGenMain!$C$225,X67,Y67,Z67,AA67,AB67,AC67,AD67,AE67,AF67,AG67,AH67,AI67,AJ67,AK67,AL67)</f>
        <v>#VALUE!</v>
      </c>
      <c r="BA67" s="271" t="e">
        <f>CHOOSE(CharGenMain!$C$226,X67,Y67,Z67,AA67,AB67,AC67,AD67,AE67,AF67,AG67,AH67,AI67,AJ67,AK67,AL67)</f>
        <v>#VALUE!</v>
      </c>
    </row>
    <row r="68" spans="1:53">
      <c r="A68" s="20" t="s">
        <v>1899</v>
      </c>
      <c r="B68" s="14" t="s">
        <v>1900</v>
      </c>
      <c r="C68" s="14" t="s">
        <v>5219</v>
      </c>
      <c r="D68" s="45" t="s">
        <v>1703</v>
      </c>
      <c r="F68" s="20" t="s">
        <v>1718</v>
      </c>
      <c r="G68" s="14" t="s">
        <v>58</v>
      </c>
      <c r="H68" s="14" t="s">
        <v>5323</v>
      </c>
      <c r="I68" s="14">
        <v>2</v>
      </c>
      <c r="J68" s="14">
        <v>3</v>
      </c>
      <c r="K68" s="191" t="s">
        <v>1719</v>
      </c>
      <c r="M68" s="204" t="s">
        <v>1650</v>
      </c>
      <c r="N68" s="14" t="s">
        <v>2565</v>
      </c>
      <c r="O68" s="14" t="s">
        <v>5796</v>
      </c>
      <c r="P68" s="45" t="s">
        <v>2142</v>
      </c>
      <c r="R68" s="20" t="s">
        <v>5908</v>
      </c>
      <c r="S68" s="14" t="s">
        <v>526</v>
      </c>
      <c r="T68" s="14" t="s">
        <v>2279</v>
      </c>
      <c r="U68" s="14">
        <v>2</v>
      </c>
      <c r="V68" s="14">
        <v>6</v>
      </c>
      <c r="W68" s="14">
        <v>10</v>
      </c>
      <c r="X68" s="206" t="s">
        <v>5909</v>
      </c>
      <c r="Y68" s="206" t="s">
        <v>5778</v>
      </c>
      <c r="Z68" s="206" t="s">
        <v>5779</v>
      </c>
      <c r="AA68" s="206" t="s">
        <v>5780</v>
      </c>
      <c r="AB68" s="206" t="s">
        <v>5801</v>
      </c>
      <c r="AC68" s="206" t="s">
        <v>5802</v>
      </c>
      <c r="AD68" s="87" t="s">
        <v>2997</v>
      </c>
      <c r="AE68" s="87" t="s">
        <v>2997</v>
      </c>
      <c r="AF68" s="87" t="s">
        <v>2997</v>
      </c>
      <c r="AG68" s="87" t="s">
        <v>2997</v>
      </c>
      <c r="AH68" s="87" t="s">
        <v>2997</v>
      </c>
      <c r="AI68" s="87" t="s">
        <v>2997</v>
      </c>
      <c r="AJ68" s="87" t="s">
        <v>2997</v>
      </c>
      <c r="AK68" s="87" t="s">
        <v>2997</v>
      </c>
      <c r="AL68" s="87" t="s">
        <v>2997</v>
      </c>
      <c r="AM68" s="101" t="str">
        <f>CHOOSE(CharGenMain!$C$212,X68,Y68,Z68,AA68,AB68,AC68,AD68,AE68,AF68,AG68,AH68,AI68,AJ68,AK68,AL68)</f>
        <v>+3 Swift Kick when used to head-butt</v>
      </c>
      <c r="AN68" s="101" t="str">
        <f>CHOOSE(CharGenMain!$C$213,X68,Y68,Z68,AA68,AB68,AC68,AD68,AE68,AF68,AG68,AH68,AI68,AJ68,AK68,AL68)</f>
        <v>+1 Swift Kick when used to head-butt</v>
      </c>
      <c r="AO68" s="101" t="str">
        <f>CHOOSE(CharGenMain!$C$214,X68,Y68,Z68,AA68,AB68,AC68,AD68,AE68,AF68,AG68,AH68,AI68,AJ68,AK68,AL68)</f>
        <v>+1 Swift Kick when used to head-butt</v>
      </c>
      <c r="AP68" s="101" t="str">
        <f>CHOOSE(CharGenMain!$C$215,X68,Y68,Z68,AA68,AB68,AC68,AD68,AE68,AF68,AG68,AH68,AI68,AJ68,AK68,AL68)</f>
        <v>+2 Swift Kick when used to head-butt</v>
      </c>
      <c r="AQ68" s="101" t="str">
        <f>CHOOSE(CharGenMain!$C$216,X68,Y68,Z68,AA68,AB68,AC68,AD68,AE68,AF68,AG68,AH68,AI68,AJ68,AK68,AL68)</f>
        <v>+3 Swift Kick when used to head-butt, +2 impress/intimidate thru toughness</v>
      </c>
      <c r="AR68" s="101" t="str">
        <f>CHOOSE(CharGenMain!$C$217,X68,Y68,Z68,AA68,AB68,AC68,AD68,AE68,AF68,AG68,AH68,AI68,AJ68,AK68,AL68)</f>
        <v>+3 Swift Kick  &amp; +2 dmg when used to head-butt, +2 impress/intimidate thru toughness</v>
      </c>
      <c r="AS68" s="101" t="e">
        <f>CHOOSE(CharGenMain!$C$218,X68,Y68,Z68,AA68,AB68,AC68,AD68,AE68,AF68,AG68,AH68,AI68,AJ68,AK68,AL68)</f>
        <v>#VALUE!</v>
      </c>
      <c r="AT68" s="101" t="e">
        <f>CHOOSE(CharGenMain!$C$219,X68,Y68,Z68,AA68,AB68,AC68,AD68,AE68,AF68,AG68,AH68,AI68,AJ68,AK68,AL68)</f>
        <v>#VALUE!</v>
      </c>
      <c r="AU68" s="101" t="e">
        <f>CHOOSE(CharGenMain!$C$220,X68,Y68,Z68,AA68,AB68,AC68,AD68,AE68,AF68,AG68,AH68,AI68,AJ68,AK68,AL68)</f>
        <v>#VALUE!</v>
      </c>
      <c r="AV68" s="101" t="e">
        <f>CHOOSE(CharGenMain!$C$221,X68,Y68,Z68,AA68,AB68,AC68,AD68,AE68,AF68,AG68,AH68,AI68,AJ68,AK68,AL68)</f>
        <v>#VALUE!</v>
      </c>
      <c r="AW68" s="101" t="e">
        <f>CHOOSE(CharGenMain!$C$222,X68,Y68,Z68,AA68,AB68,AC68,AD68,AE68,AF68,AG68,AH68,AI68,AJ68,AK68,AL68)</f>
        <v>#VALUE!</v>
      </c>
      <c r="AX68" s="101" t="e">
        <f>CHOOSE(CharGenMain!$C$223,X68,Y68,Z68,AA68,AB68,AC68,AD68,AE68,AF68,AG68,AH68,AI68,AJ68,AK68,AL68)</f>
        <v>#VALUE!</v>
      </c>
      <c r="AY68" s="101" t="e">
        <f>CHOOSE(CharGenMain!$C$224,X68,Y68,Z68,AA68,AB68,AC68,AD68,AE68,AF68,AG68,AH68,AI68,AJ68,AK68,AL68)</f>
        <v>#VALUE!</v>
      </c>
      <c r="AZ68" s="101" t="e">
        <f>CHOOSE(CharGenMain!$C$225,X68,Y68,Z68,AA68,AB68,AC68,AD68,AE68,AF68,AG68,AH68,AI68,AJ68,AK68,AL68)</f>
        <v>#VALUE!</v>
      </c>
      <c r="BA68" s="271" t="e">
        <f>CHOOSE(CharGenMain!$C$226,X68,Y68,Z68,AA68,AB68,AC68,AD68,AE68,AF68,AG68,AH68,AI68,AJ68,AK68,AL68)</f>
        <v>#VALUE!</v>
      </c>
    </row>
    <row r="69" spans="1:53">
      <c r="A69" s="20" t="s">
        <v>1796</v>
      </c>
      <c r="B69" s="14" t="s">
        <v>2297</v>
      </c>
      <c r="C69" s="14" t="s">
        <v>5219</v>
      </c>
      <c r="D69" s="45" t="s">
        <v>1717</v>
      </c>
      <c r="F69" s="20" t="s">
        <v>1727</v>
      </c>
      <c r="G69" s="14" t="s">
        <v>54</v>
      </c>
      <c r="H69" s="14" t="s">
        <v>5323</v>
      </c>
      <c r="I69" s="14">
        <v>1</v>
      </c>
      <c r="J69" s="14">
        <v>2</v>
      </c>
      <c r="K69" s="28" t="s">
        <v>1728</v>
      </c>
      <c r="M69" s="20" t="s">
        <v>1952</v>
      </c>
      <c r="N69" s="14" t="s">
        <v>2015</v>
      </c>
      <c r="O69" s="14" t="s">
        <v>5796</v>
      </c>
      <c r="P69" s="45" t="s">
        <v>1842</v>
      </c>
      <c r="R69" s="226" t="s">
        <v>1663</v>
      </c>
      <c r="S69" s="14" t="s">
        <v>1664</v>
      </c>
      <c r="T69" s="14" t="s">
        <v>2223</v>
      </c>
      <c r="U69" s="14">
        <v>2</v>
      </c>
      <c r="V69" s="14">
        <v>5</v>
      </c>
      <c r="W69" s="14">
        <v>14</v>
      </c>
      <c r="X69" s="87" t="s">
        <v>1769</v>
      </c>
      <c r="Y69" s="87" t="s">
        <v>1769</v>
      </c>
      <c r="Z69" s="87" t="s">
        <v>1769</v>
      </c>
      <c r="AA69" s="87" t="s">
        <v>1769</v>
      </c>
      <c r="AB69" s="87" t="s">
        <v>1769</v>
      </c>
      <c r="AC69" s="87" t="s">
        <v>2997</v>
      </c>
      <c r="AD69" s="87" t="s">
        <v>2997</v>
      </c>
      <c r="AE69" s="87" t="s">
        <v>2997</v>
      </c>
      <c r="AF69" s="87" t="s">
        <v>2997</v>
      </c>
      <c r="AG69" s="87" t="s">
        <v>2997</v>
      </c>
      <c r="AH69" s="87" t="s">
        <v>2997</v>
      </c>
      <c r="AI69" s="87" t="s">
        <v>2997</v>
      </c>
      <c r="AJ69" s="87" t="s">
        <v>2997</v>
      </c>
      <c r="AK69" s="87" t="s">
        <v>2997</v>
      </c>
      <c r="AL69" s="87" t="s">
        <v>2997</v>
      </c>
      <c r="AM69" s="101" t="str">
        <f>CHOOSE(CharGenMain!$C$212,X69,Y69,Z69,AA69,AB69,AC69,AD69,AE69,AF69,AG69,AH69,AI69,AJ69,AK69,AL69)</f>
        <v>Communication and spellcasting bonuses, see text</v>
      </c>
      <c r="AN69" s="101" t="str">
        <f>CHOOSE(CharGenMain!$C$213,X69,Y69,Z69,AA69,AB69,AC69,AD69,AE69,AF69,AG69,AH69,AI69,AJ69,AK69,AL69)</f>
        <v>Communication and spellcasting bonuses, see text</v>
      </c>
      <c r="AO69" s="101" t="str">
        <f>CHOOSE(CharGenMain!$C$214,X69,Y69,Z69,AA69,AB69,AC69,AD69,AE69,AF69,AG69,AH69,AI69,AJ69,AK69,AL69)</f>
        <v>Communication and spellcasting bonuses, see text</v>
      </c>
      <c r="AP69" s="101" t="str">
        <f>CHOOSE(CharGenMain!$C$215,X69,Y69,Z69,AA69,AB69,AC69,AD69,AE69,AF69,AG69,AH69,AI69,AJ69,AK69,AL69)</f>
        <v>Communication and spellcasting bonuses, see text</v>
      </c>
      <c r="AQ69" s="101" t="str">
        <f>CHOOSE(CharGenMain!$C$216,X69,Y69,Z69,AA69,AB69,AC69,AD69,AE69,AF69,AG69,AH69,AI69,AJ69,AK69,AL69)</f>
        <v>Communication and spellcasting bonuses, see text</v>
      </c>
      <c r="AR69" s="101" t="str">
        <f>CHOOSE(CharGenMain!$C$217,X69,Y69,Z69,AA69,AB69,AC69,AD69,AE69,AF69,AG69,AH69,AI69,AJ69,AK69,AL69)</f>
        <v>Communication and spellcasting bonuses, see text</v>
      </c>
      <c r="AS69" s="101" t="e">
        <f>CHOOSE(CharGenMain!$C$218,X69,Y69,Z69,AA69,AB69,AC69,AD69,AE69,AF69,AG69,AH69,AI69,AJ69,AK69,AL69)</f>
        <v>#VALUE!</v>
      </c>
      <c r="AT69" s="101" t="e">
        <f>CHOOSE(CharGenMain!$C$219,X69,Y69,Z69,AA69,AB69,AC69,AD69,AE69,AF69,AG69,AH69,AI69,AJ69,AK69,AL69)</f>
        <v>#VALUE!</v>
      </c>
      <c r="AU69" s="101" t="e">
        <f>CHOOSE(CharGenMain!$C$220,X69,Y69,Z69,AA69,AB69,AC69,AD69,AE69,AF69,AG69,AH69,AI69,AJ69,AK69,AL69)</f>
        <v>#VALUE!</v>
      </c>
      <c r="AV69" s="101" t="e">
        <f>CHOOSE(CharGenMain!$C$221,X69,Y69,Z69,AA69,AB69,AC69,AD69,AE69,AF69,AG69,AH69,AI69,AJ69,AK69,AL69)</f>
        <v>#VALUE!</v>
      </c>
      <c r="AW69" s="101" t="e">
        <f>CHOOSE(CharGenMain!$C$222,X69,Y69,Z69,AA69,AB69,AC69,AD69,AE69,AF69,AG69,AH69,AI69,AJ69,AK69,AL69)</f>
        <v>#VALUE!</v>
      </c>
      <c r="AX69" s="101" t="e">
        <f>CHOOSE(CharGenMain!$C$223,X69,Y69,Z69,AA69,AB69,AC69,AD69,AE69,AF69,AG69,AH69,AI69,AJ69,AK69,AL69)</f>
        <v>#VALUE!</v>
      </c>
      <c r="AY69" s="101" t="e">
        <f>CHOOSE(CharGenMain!$C$224,X69,Y69,Z69,AA69,AB69,AC69,AD69,AE69,AF69,AG69,AH69,AI69,AJ69,AK69,AL69)</f>
        <v>#VALUE!</v>
      </c>
      <c r="AZ69" s="101" t="e">
        <f>CHOOSE(CharGenMain!$C$225,X69,Y69,Z69,AA69,AB69,AC69,AD69,AE69,AF69,AG69,AH69,AI69,AJ69,AK69,AL69)</f>
        <v>#VALUE!</v>
      </c>
      <c r="BA69" s="271" t="e">
        <f>CHOOSE(CharGenMain!$C$226,X69,Y69,Z69,AA69,AB69,AC69,AD69,AE69,AF69,AG69,AH69,AI69,AJ69,AK69,AL69)</f>
        <v>#VALUE!</v>
      </c>
    </row>
    <row r="70" spans="1:53">
      <c r="A70" s="20" t="s">
        <v>1725</v>
      </c>
      <c r="B70" s="14" t="s">
        <v>1889</v>
      </c>
      <c r="C70" s="14" t="s">
        <v>5219</v>
      </c>
      <c r="D70" s="186" t="s">
        <v>1726</v>
      </c>
      <c r="F70" s="204" t="s">
        <v>1741</v>
      </c>
      <c r="G70" s="14" t="s">
        <v>2131</v>
      </c>
      <c r="H70" s="14" t="s">
        <v>5323</v>
      </c>
      <c r="I70" s="14">
        <v>2</v>
      </c>
      <c r="J70" s="14">
        <v>0</v>
      </c>
      <c r="K70" s="28" t="s">
        <v>1742</v>
      </c>
      <c r="M70" s="20" t="s">
        <v>1558</v>
      </c>
      <c r="N70" s="14" t="s">
        <v>4999</v>
      </c>
      <c r="O70" s="14" t="s">
        <v>2159</v>
      </c>
      <c r="P70" s="45" t="s">
        <v>1662</v>
      </c>
      <c r="R70" s="226" t="s">
        <v>5803</v>
      </c>
      <c r="S70" s="14" t="s">
        <v>526</v>
      </c>
      <c r="T70" s="14" t="s">
        <v>2667</v>
      </c>
      <c r="U70" s="14">
        <v>2</v>
      </c>
      <c r="V70" s="14">
        <v>6</v>
      </c>
      <c r="W70" s="14">
        <v>12</v>
      </c>
      <c r="X70" s="206" t="s">
        <v>5647</v>
      </c>
      <c r="Y70" s="206" t="s">
        <v>5648</v>
      </c>
      <c r="Z70" s="206" t="s">
        <v>5814</v>
      </c>
      <c r="AA70" s="206" t="s">
        <v>5815</v>
      </c>
      <c r="AB70" s="206" t="s">
        <v>5816</v>
      </c>
      <c r="AC70" s="206" t="s">
        <v>5655</v>
      </c>
      <c r="AD70" s="87" t="s">
        <v>2997</v>
      </c>
      <c r="AE70" s="87" t="s">
        <v>2997</v>
      </c>
      <c r="AF70" s="87" t="s">
        <v>2997</v>
      </c>
      <c r="AG70" s="87" t="s">
        <v>2997</v>
      </c>
      <c r="AH70" s="87" t="s">
        <v>2997</v>
      </c>
      <c r="AI70" s="87" t="s">
        <v>2997</v>
      </c>
      <c r="AJ70" s="87" t="s">
        <v>2997</v>
      </c>
      <c r="AK70" s="87" t="s">
        <v>2997</v>
      </c>
      <c r="AL70" s="87" t="s">
        <v>2997</v>
      </c>
      <c r="AM70" s="101" t="str">
        <f>CHOOSE(CharGenMain!$C$212,X70,Y70,Z70,AA70,AB70,AC70,AD70,AE70,AF70,AG70,AH70,AI70,AJ70,AK70,AL70)</f>
        <v>+1 to Avoid Blow, +1 to Initiative, +1 Phys Def</v>
      </c>
      <c r="AN70" s="101" t="str">
        <f>CHOOSE(CharGenMain!$C$213,X70,Y70,Z70,AA70,AB70,AC70,AD70,AE70,AF70,AG70,AH70,AI70,AJ70,AK70,AL70)</f>
        <v>+1 to Avoid Blow</v>
      </c>
      <c r="AO70" s="101" t="str">
        <f>CHOOSE(CharGenMain!$C$214,X70,Y70,Z70,AA70,AB70,AC70,AD70,AE70,AF70,AG70,AH70,AI70,AJ70,AK70,AL70)</f>
        <v>+1 to Avoid Blow</v>
      </c>
      <c r="AP70" s="101" t="str">
        <f>CHOOSE(CharGenMain!$C$215,X70,Y70,Z70,AA70,AB70,AC70,AD70,AE70,AF70,AG70,AH70,AI70,AJ70,AK70,AL70)</f>
        <v>+1 to Avoid Blow, +1 to Initiative</v>
      </c>
      <c r="AQ70" s="101" t="str">
        <f>CHOOSE(CharGenMain!$C$216,X70,Y70,Z70,AA70,AB70,AC70,AD70,AE70,AF70,AG70,AH70,AI70,AJ70,AK70,AL70)</f>
        <v>+2 to Avoid Blow, +1 to Initiative, +1 Phys Def</v>
      </c>
      <c r="AR70" s="101" t="str">
        <f>CHOOSE(CharGenMain!$C$217,X70,Y70,Z70,AA70,AB70,AC70,AD70,AE70,AF70,AG70,AH70,AI70,AJ70,AK70,AL70)</f>
        <v>+2 to Avoid Blow, +2 to Initiative, +1 Phys Def</v>
      </c>
      <c r="AS70" s="101" t="e">
        <f>CHOOSE(CharGenMain!$C$218,X70,Y70,Z70,AA70,AB70,AC70,AD70,AE70,AF70,AG70,AH70,AI70,AJ70,AK70,AL70)</f>
        <v>#VALUE!</v>
      </c>
      <c r="AT70" s="101" t="e">
        <f>CHOOSE(CharGenMain!$C$219,X70,Y70,Z70,AA70,AB70,AC70,AD70,AE70,AF70,AG70,AH70,AI70,AJ70,AK70,AL70)</f>
        <v>#VALUE!</v>
      </c>
      <c r="AU70" s="101" t="e">
        <f>CHOOSE(CharGenMain!$C$220,X70,Y70,Z70,AA70,AB70,AC70,AD70,AE70,AF70,AG70,AH70,AI70,AJ70,AK70,AL70)</f>
        <v>#VALUE!</v>
      </c>
      <c r="AV70" s="101" t="e">
        <f>CHOOSE(CharGenMain!$C$221,X70,Y70,Z70,AA70,AB70,AC70,AD70,AE70,AF70,AG70,AH70,AI70,AJ70,AK70,AL70)</f>
        <v>#VALUE!</v>
      </c>
      <c r="AW70" s="101" t="e">
        <f>CHOOSE(CharGenMain!$C$222,X70,Y70,Z70,AA70,AB70,AC70,AD70,AE70,AF70,AG70,AH70,AI70,AJ70,AK70,AL70)</f>
        <v>#VALUE!</v>
      </c>
      <c r="AX70" s="101" t="e">
        <f>CHOOSE(CharGenMain!$C$223,X70,Y70,Z70,AA70,AB70,AC70,AD70,AE70,AF70,AG70,AH70,AI70,AJ70,AK70,AL70)</f>
        <v>#VALUE!</v>
      </c>
      <c r="AY70" s="101" t="e">
        <f>CHOOSE(CharGenMain!$C$224,X70,Y70,Z70,AA70,AB70,AC70,AD70,AE70,AF70,AG70,AH70,AI70,AJ70,AK70,AL70)</f>
        <v>#VALUE!</v>
      </c>
      <c r="AZ70" s="101" t="e">
        <f>CHOOSE(CharGenMain!$C$225,X70,Y70,Z70,AA70,AB70,AC70,AD70,AE70,AF70,AG70,AH70,AI70,AJ70,AK70,AL70)</f>
        <v>#VALUE!</v>
      </c>
      <c r="BA70" s="271" t="e">
        <f>CHOOSE(CharGenMain!$C$226,X70,Y70,Z70,AA70,AB70,AC70,AD70,AE70,AF70,AG70,AH70,AI70,AJ70,AK70,AL70)</f>
        <v>#VALUE!</v>
      </c>
    </row>
    <row r="71" spans="1:53">
      <c r="A71" s="20" t="s">
        <v>1940</v>
      </c>
      <c r="B71" s="14" t="s">
        <v>1941</v>
      </c>
      <c r="C71" s="14" t="s">
        <v>5219</v>
      </c>
      <c r="D71" s="45" t="s">
        <v>1942</v>
      </c>
      <c r="F71" s="20" t="s">
        <v>1647</v>
      </c>
      <c r="G71" s="14" t="s">
        <v>1648</v>
      </c>
      <c r="H71" s="14" t="s">
        <v>5323</v>
      </c>
      <c r="I71" s="14">
        <v>5</v>
      </c>
      <c r="J71" s="14">
        <v>1</v>
      </c>
      <c r="K71" s="188" t="s">
        <v>1420</v>
      </c>
      <c r="M71" s="204" t="s">
        <v>1774</v>
      </c>
      <c r="N71" s="14" t="s">
        <v>2565</v>
      </c>
      <c r="O71" s="14" t="s">
        <v>5796</v>
      </c>
      <c r="P71" s="45" t="s">
        <v>1775</v>
      </c>
      <c r="R71" s="226" t="s">
        <v>5527</v>
      </c>
      <c r="S71" s="14" t="s">
        <v>1759</v>
      </c>
      <c r="T71" s="14" t="s">
        <v>2667</v>
      </c>
      <c r="U71" s="14">
        <v>2</v>
      </c>
      <c r="V71" s="14">
        <v>5</v>
      </c>
      <c r="W71" s="106">
        <v>14</v>
      </c>
      <c r="X71" s="206" t="s">
        <v>1776</v>
      </c>
      <c r="Y71" s="206" t="s">
        <v>1777</v>
      </c>
      <c r="Z71" s="206" t="s">
        <v>1874</v>
      </c>
      <c r="AA71" s="206" t="s">
        <v>1875</v>
      </c>
      <c r="AB71" s="206" t="s">
        <v>1784</v>
      </c>
      <c r="AC71" s="87" t="s">
        <v>2997</v>
      </c>
      <c r="AD71" s="87" t="s">
        <v>2997</v>
      </c>
      <c r="AE71" s="87" t="s">
        <v>2997</v>
      </c>
      <c r="AF71" s="87" t="s">
        <v>2997</v>
      </c>
      <c r="AG71" s="87" t="s">
        <v>2997</v>
      </c>
      <c r="AH71" s="87" t="s">
        <v>2997</v>
      </c>
      <c r="AI71" s="87" t="s">
        <v>2997</v>
      </c>
      <c r="AJ71" s="87" t="s">
        <v>2997</v>
      </c>
      <c r="AK71" s="87" t="s">
        <v>2997</v>
      </c>
      <c r="AL71" s="87" t="s">
        <v>2997</v>
      </c>
      <c r="AM71" s="101" t="str">
        <f>CHOOSE(CharGenMain!$C$212,X71,Y71,Z71,AA71,AB71,AC71,AD71,AE71,AF71,AG71,AH71,AI71,AJ71,AK71,AL71)</f>
        <v>+3 dexterity, +3 initiative, see text</v>
      </c>
      <c r="AN71" s="101" t="str">
        <f>CHOOSE(CharGenMain!$C$213,X71,Y71,Z71,AA71,AB71,AC71,AD71,AE71,AF71,AG71,AH71,AI71,AJ71,AK71,AL71)</f>
        <v>+1 dexterity, +1 initiative</v>
      </c>
      <c r="AO71" s="101" t="str">
        <f>CHOOSE(CharGenMain!$C$214,X71,Y71,Z71,AA71,AB71,AC71,AD71,AE71,AF71,AG71,AH71,AI71,AJ71,AK71,AL71)</f>
        <v>+1 dexterity, +1 initiative</v>
      </c>
      <c r="AP71" s="101" t="str">
        <f>CHOOSE(CharGenMain!$C$215,X71,Y71,Z71,AA71,AB71,AC71,AD71,AE71,AF71,AG71,AH71,AI71,AJ71,AK71,AL71)</f>
        <v>+2 dexterity, +2 initiative</v>
      </c>
      <c r="AQ71" s="101" t="str">
        <f>CHOOSE(CharGenMain!$C$216,X71,Y71,Z71,AA71,AB71,AC71,AD71,AE71,AF71,AG71,AH71,AI71,AJ71,AK71,AL71)</f>
        <v>+4 dexterity, +4 initiative, see text</v>
      </c>
      <c r="AR71" s="101" t="str">
        <f>CHOOSE(CharGenMain!$C$217,X71,Y71,Z71,AA71,AB71,AC71,AD71,AE71,AF71,AG71,AH71,AI71,AJ71,AK71,AL71)</f>
        <v>+5 dexterity, +5 initiative, see text</v>
      </c>
      <c r="AS71" s="101" t="e">
        <f>CHOOSE(CharGenMain!$C$218,X71,Y71,Z71,AA71,AB71,AC71,AD71,AE71,AF71,AG71,AH71,AI71,AJ71,AK71,AL71)</f>
        <v>#VALUE!</v>
      </c>
      <c r="AT71" s="101" t="e">
        <f>CHOOSE(CharGenMain!$C$219,X71,Y71,Z71,AA71,AB71,AC71,AD71,AE71,AF71,AG71,AH71,AI71,AJ71,AK71,AL71)</f>
        <v>#VALUE!</v>
      </c>
      <c r="AU71" s="101" t="e">
        <f>CHOOSE(CharGenMain!$C$220,X71,Y71,Z71,AA71,AB71,AC71,AD71,AE71,AF71,AG71,AH71,AI71,AJ71,AK71,AL71)</f>
        <v>#VALUE!</v>
      </c>
      <c r="AV71" s="101" t="e">
        <f>CHOOSE(CharGenMain!$C$221,X71,Y71,Z71,AA71,AB71,AC71,AD71,AE71,AF71,AG71,AH71,AI71,AJ71,AK71,AL71)</f>
        <v>#VALUE!</v>
      </c>
      <c r="AW71" s="101" t="e">
        <f>CHOOSE(CharGenMain!$C$222,X71,Y71,Z71,AA71,AB71,AC71,AD71,AE71,AF71,AG71,AH71,AI71,AJ71,AK71,AL71)</f>
        <v>#VALUE!</v>
      </c>
      <c r="AX71" s="101" t="e">
        <f>CHOOSE(CharGenMain!$C$223,X71,Y71,Z71,AA71,AB71,AC71,AD71,AE71,AF71,AG71,AH71,AI71,AJ71,AK71,AL71)</f>
        <v>#VALUE!</v>
      </c>
      <c r="AY71" s="101" t="e">
        <f>CHOOSE(CharGenMain!$C$224,X71,Y71,Z71,AA71,AB71,AC71,AD71,AE71,AF71,AG71,AH71,AI71,AJ71,AK71,AL71)</f>
        <v>#VALUE!</v>
      </c>
      <c r="AZ71" s="101" t="e">
        <f>CHOOSE(CharGenMain!$C$225,X71,Y71,Z71,AA71,AB71,AC71,AD71,AE71,AF71,AG71,AH71,AI71,AJ71,AK71,AL71)</f>
        <v>#VALUE!</v>
      </c>
      <c r="BA71" s="271" t="e">
        <f>CHOOSE(CharGenMain!$C$226,X71,Y71,Z71,AA71,AB71,AC71,AD71,AE71,AF71,AG71,AH71,AI71,AJ71,AK71,AL71)</f>
        <v>#VALUE!</v>
      </c>
    </row>
    <row r="72" spans="1:53">
      <c r="A72" s="20" t="s">
        <v>1535</v>
      </c>
      <c r="B72" s="14" t="s">
        <v>2443</v>
      </c>
      <c r="C72" s="14" t="s">
        <v>5219</v>
      </c>
      <c r="D72" s="45" t="s">
        <v>1646</v>
      </c>
      <c r="F72" s="20" t="s">
        <v>1551</v>
      </c>
      <c r="G72" s="14" t="s">
        <v>1552</v>
      </c>
      <c r="H72" s="14" t="s">
        <v>5323</v>
      </c>
      <c r="I72" s="14">
        <v>2</v>
      </c>
      <c r="J72" s="14">
        <v>0</v>
      </c>
      <c r="K72" s="28" t="s">
        <v>1748</v>
      </c>
      <c r="M72" s="204" t="s">
        <v>59</v>
      </c>
      <c r="N72" s="14" t="s">
        <v>60</v>
      </c>
      <c r="O72" s="14" t="s">
        <v>123</v>
      </c>
      <c r="P72" s="186" t="s">
        <v>61</v>
      </c>
      <c r="R72" s="20" t="s">
        <v>1701</v>
      </c>
      <c r="S72" s="14" t="s">
        <v>1702</v>
      </c>
      <c r="T72" s="14" t="s">
        <v>2279</v>
      </c>
      <c r="U72" s="14">
        <v>2</v>
      </c>
      <c r="V72" s="14">
        <v>5</v>
      </c>
      <c r="W72" s="14">
        <v>12</v>
      </c>
      <c r="X72" s="87" t="s">
        <v>1599</v>
      </c>
      <c r="Y72" s="87" t="s">
        <v>1599</v>
      </c>
      <c r="Z72" s="87" t="s">
        <v>1599</v>
      </c>
      <c r="AA72" s="87" t="s">
        <v>1599</v>
      </c>
      <c r="AB72" s="87" t="s">
        <v>1599</v>
      </c>
      <c r="AC72" s="87" t="s">
        <v>2997</v>
      </c>
      <c r="AD72" s="87" t="s">
        <v>2997</v>
      </c>
      <c r="AE72" s="87" t="s">
        <v>2997</v>
      </c>
      <c r="AF72" s="87" t="s">
        <v>2997</v>
      </c>
      <c r="AG72" s="87" t="s">
        <v>2997</v>
      </c>
      <c r="AH72" s="87" t="s">
        <v>2997</v>
      </c>
      <c r="AI72" s="87" t="s">
        <v>2997</v>
      </c>
      <c r="AJ72" s="87" t="s">
        <v>2997</v>
      </c>
      <c r="AK72" s="87" t="s">
        <v>2997</v>
      </c>
      <c r="AL72" s="87" t="s">
        <v>2997</v>
      </c>
      <c r="AM72" s="101" t="str">
        <f>CHOOSE(CharGenMain!$C$212,X72,Y72,Z72,AA72,AB72,AC72,AD72,AE72,AF72,AG72,AH72,AI72,AJ72,AK72,AL72)</f>
        <v>Holds stories, charaisma and social bonuses, see text</v>
      </c>
      <c r="AN72" s="101" t="str">
        <f>CHOOSE(CharGenMain!$C$213,X72,Y72,Z72,AA72,AB72,AC72,AD72,AE72,AF72,AG72,AH72,AI72,AJ72,AK72,AL72)</f>
        <v>Holds stories, charaisma and social bonuses, see text</v>
      </c>
      <c r="AO72" s="101" t="str">
        <f>CHOOSE(CharGenMain!$C$214,X72,Y72,Z72,AA72,AB72,AC72,AD72,AE72,AF72,AG72,AH72,AI72,AJ72,AK72,AL72)</f>
        <v>Holds stories, charaisma and social bonuses, see text</v>
      </c>
      <c r="AP72" s="101" t="str">
        <f>CHOOSE(CharGenMain!$C$215,X72,Y72,Z72,AA72,AB72,AC72,AD72,AE72,AF72,AG72,AH72,AI72,AJ72,AK72,AL72)</f>
        <v>Holds stories, charaisma and social bonuses, see text</v>
      </c>
      <c r="AQ72" s="101" t="str">
        <f>CHOOSE(CharGenMain!$C$216,X72,Y72,Z72,AA72,AB72,AC72,AD72,AE72,AF72,AG72,AH72,AI72,AJ72,AK72,AL72)</f>
        <v>Holds stories, charaisma and social bonuses, see text</v>
      </c>
      <c r="AR72" s="101" t="str">
        <f>CHOOSE(CharGenMain!$C$217,X72,Y72,Z72,AA72,AB72,AC72,AD72,AE72,AF72,AG72,AH72,AI72,AJ72,AK72,AL72)</f>
        <v>Holds stories, charaisma and social bonuses, see text</v>
      </c>
      <c r="AS72" s="101" t="e">
        <f>CHOOSE(CharGenMain!$C$218,X72,Y72,Z72,AA72,AB72,AC72,AD72,AE72,AF72,AG72,AH72,AI72,AJ72,AK72,AL72)</f>
        <v>#VALUE!</v>
      </c>
      <c r="AT72" s="101" t="e">
        <f>CHOOSE(CharGenMain!$C$219,X72,Y72,Z72,AA72,AB72,AC72,AD72,AE72,AF72,AG72,AH72,AI72,AJ72,AK72,AL72)</f>
        <v>#VALUE!</v>
      </c>
      <c r="AU72" s="101" t="e">
        <f>CHOOSE(CharGenMain!$C$220,X72,Y72,Z72,AA72,AB72,AC72,AD72,AE72,AF72,AG72,AH72,AI72,AJ72,AK72,AL72)</f>
        <v>#VALUE!</v>
      </c>
      <c r="AV72" s="101" t="e">
        <f>CHOOSE(CharGenMain!$C$221,X72,Y72,Z72,AA72,AB72,AC72,AD72,AE72,AF72,AG72,AH72,AI72,AJ72,AK72,AL72)</f>
        <v>#VALUE!</v>
      </c>
      <c r="AW72" s="101" t="e">
        <f>CHOOSE(CharGenMain!$C$222,X72,Y72,Z72,AA72,AB72,AC72,AD72,AE72,AF72,AG72,AH72,AI72,AJ72,AK72,AL72)</f>
        <v>#VALUE!</v>
      </c>
      <c r="AX72" s="101" t="e">
        <f>CHOOSE(CharGenMain!$C$223,X72,Y72,Z72,AA72,AB72,AC72,AD72,AE72,AF72,AG72,AH72,AI72,AJ72,AK72,AL72)</f>
        <v>#VALUE!</v>
      </c>
      <c r="AY72" s="101" t="e">
        <f>CHOOSE(CharGenMain!$C$224,X72,Y72,Z72,AA72,AB72,AC72,AD72,AE72,AF72,AG72,AH72,AI72,AJ72,AK72,AL72)</f>
        <v>#VALUE!</v>
      </c>
      <c r="AZ72" s="101" t="e">
        <f>CHOOSE(CharGenMain!$C$225,X72,Y72,Z72,AA72,AB72,AC72,AD72,AE72,AF72,AG72,AH72,AI72,AJ72,AK72,AL72)</f>
        <v>#VALUE!</v>
      </c>
      <c r="BA72" s="271" t="e">
        <f>CHOOSE(CharGenMain!$C$226,X72,Y72,Z72,AA72,AB72,AC72,AD72,AE72,AF72,AG72,AH72,AI72,AJ72,AK72,AL72)</f>
        <v>#VALUE!</v>
      </c>
    </row>
    <row r="73" spans="1:53">
      <c r="A73" s="20" t="s">
        <v>1540</v>
      </c>
      <c r="B73" s="14" t="s">
        <v>2297</v>
      </c>
      <c r="C73" s="14" t="s">
        <v>5219</v>
      </c>
      <c r="D73" s="186" t="s">
        <v>1653</v>
      </c>
      <c r="F73" s="20" t="s">
        <v>1666</v>
      </c>
      <c r="G73" s="14" t="s">
        <v>1667</v>
      </c>
      <c r="H73" s="14" t="s">
        <v>5323</v>
      </c>
      <c r="I73" s="14">
        <v>2</v>
      </c>
      <c r="J73" s="14">
        <v>0</v>
      </c>
      <c r="K73" s="28" t="s">
        <v>1668</v>
      </c>
      <c r="M73" s="20" t="s">
        <v>1595</v>
      </c>
      <c r="N73" s="14" t="s">
        <v>1699</v>
      </c>
      <c r="O73" s="14" t="s">
        <v>2223</v>
      </c>
      <c r="P73" s="28" t="s">
        <v>1700</v>
      </c>
      <c r="R73" s="20" t="s">
        <v>1706</v>
      </c>
      <c r="S73" s="14" t="s">
        <v>1707</v>
      </c>
      <c r="T73" s="14" t="s">
        <v>2279</v>
      </c>
      <c r="U73" s="14">
        <v>2</v>
      </c>
      <c r="V73" s="14">
        <v>6</v>
      </c>
      <c r="W73" s="14">
        <v>12</v>
      </c>
      <c r="X73" s="87" t="s">
        <v>1898</v>
      </c>
      <c r="Y73" s="87" t="s">
        <v>1898</v>
      </c>
      <c r="Z73" s="87" t="s">
        <v>1898</v>
      </c>
      <c r="AA73" s="87" t="s">
        <v>1898</v>
      </c>
      <c r="AB73" s="87" t="s">
        <v>1898</v>
      </c>
      <c r="AC73" s="87" t="s">
        <v>1898</v>
      </c>
      <c r="AD73" s="87" t="s">
        <v>2997</v>
      </c>
      <c r="AE73" s="87" t="s">
        <v>2997</v>
      </c>
      <c r="AF73" s="87" t="s">
        <v>2997</v>
      </c>
      <c r="AG73" s="87" t="s">
        <v>2997</v>
      </c>
      <c r="AH73" s="87" t="s">
        <v>2997</v>
      </c>
      <c r="AI73" s="87" t="s">
        <v>2997</v>
      </c>
      <c r="AJ73" s="87" t="s">
        <v>2997</v>
      </c>
      <c r="AK73" s="87" t="s">
        <v>2997</v>
      </c>
      <c r="AL73" s="87" t="s">
        <v>2997</v>
      </c>
      <c r="AM73" s="101" t="str">
        <f>CHOOSE(CharGenMain!$C$212,X73,Y73,Z73,AA73,AB73,AC73,AD73,AE73,AF73,AG73,AH73,AI73,AJ73,AK73,AL73)</f>
        <v>Fighter bonuses, see text</v>
      </c>
      <c r="AN73" s="101" t="str">
        <f>CHOOSE(CharGenMain!$C$213,X73,Y73,Z73,AA73,AB73,AC73,AD73,AE73,AF73,AG73,AH73,AI73,AJ73,AK73,AL73)</f>
        <v>Fighter bonuses, see text</v>
      </c>
      <c r="AO73" s="101" t="str">
        <f>CHOOSE(CharGenMain!$C$214,X73,Y73,Z73,AA73,AB73,AC73,AD73,AE73,AF73,AG73,AH73,AI73,AJ73,AK73,AL73)</f>
        <v>Fighter bonuses, see text</v>
      </c>
      <c r="AP73" s="101" t="str">
        <f>CHOOSE(CharGenMain!$C$215,X73,Y73,Z73,AA73,AB73,AC73,AD73,AE73,AF73,AG73,AH73,AI73,AJ73,AK73,AL73)</f>
        <v>Fighter bonuses, see text</v>
      </c>
      <c r="AQ73" s="101" t="str">
        <f>CHOOSE(CharGenMain!$C$216,X73,Y73,Z73,AA73,AB73,AC73,AD73,AE73,AF73,AG73,AH73,AI73,AJ73,AK73,AL73)</f>
        <v>Fighter bonuses, see text</v>
      </c>
      <c r="AR73" s="101" t="str">
        <f>CHOOSE(CharGenMain!$C$217,X73,Y73,Z73,AA73,AB73,AC73,AD73,AE73,AF73,AG73,AH73,AI73,AJ73,AK73,AL73)</f>
        <v>Fighter bonuses, see text</v>
      </c>
      <c r="AS73" s="101" t="e">
        <f>CHOOSE(CharGenMain!$C$218,X73,Y73,Z73,AA73,AB73,AC73,AD73,AE73,AF73,AG73,AH73,AI73,AJ73,AK73,AL73)</f>
        <v>#VALUE!</v>
      </c>
      <c r="AT73" s="101" t="e">
        <f>CHOOSE(CharGenMain!$C$219,X73,Y73,Z73,AA73,AB73,AC73,AD73,AE73,AF73,AG73,AH73,AI73,AJ73,AK73,AL73)</f>
        <v>#VALUE!</v>
      </c>
      <c r="AU73" s="101" t="e">
        <f>CHOOSE(CharGenMain!$C$220,X73,Y73,Z73,AA73,AB73,AC73,AD73,AE73,AF73,AG73,AH73,AI73,AJ73,AK73,AL73)</f>
        <v>#VALUE!</v>
      </c>
      <c r="AV73" s="101" t="e">
        <f>CHOOSE(CharGenMain!$C$221,X73,Y73,Z73,AA73,AB73,AC73,AD73,AE73,AF73,AG73,AH73,AI73,AJ73,AK73,AL73)</f>
        <v>#VALUE!</v>
      </c>
      <c r="AW73" s="101" t="e">
        <f>CHOOSE(CharGenMain!$C$222,X73,Y73,Z73,AA73,AB73,AC73,AD73,AE73,AF73,AG73,AH73,AI73,AJ73,AK73,AL73)</f>
        <v>#VALUE!</v>
      </c>
      <c r="AX73" s="101" t="e">
        <f>CHOOSE(CharGenMain!$C$223,X73,Y73,Z73,AA73,AB73,AC73,AD73,AE73,AF73,AG73,AH73,AI73,AJ73,AK73,AL73)</f>
        <v>#VALUE!</v>
      </c>
      <c r="AY73" s="101" t="e">
        <f>CHOOSE(CharGenMain!$C$224,X73,Y73,Z73,AA73,AB73,AC73,AD73,AE73,AF73,AG73,AH73,AI73,AJ73,AK73,AL73)</f>
        <v>#VALUE!</v>
      </c>
      <c r="AZ73" s="101" t="e">
        <f>CHOOSE(CharGenMain!$C$225,X73,Y73,Z73,AA73,AB73,AC73,AD73,AE73,AF73,AG73,AH73,AI73,AJ73,AK73,AL73)</f>
        <v>#VALUE!</v>
      </c>
      <c r="BA73" s="271" t="e">
        <f>CHOOSE(CharGenMain!$C$226,X73,Y73,Z73,AA73,AB73,AC73,AD73,AE73,AF73,AG73,AH73,AI73,AJ73,AK73,AL73)</f>
        <v>#VALUE!</v>
      </c>
    </row>
    <row r="74" spans="1:53">
      <c r="A74" s="22" t="s">
        <v>1556</v>
      </c>
      <c r="B74" s="23" t="s">
        <v>2297</v>
      </c>
      <c r="C74" s="23" t="s">
        <v>5219</v>
      </c>
      <c r="D74" s="31" t="s">
        <v>1665</v>
      </c>
      <c r="F74" s="20" t="s">
        <v>1674</v>
      </c>
      <c r="G74" s="14" t="s">
        <v>58</v>
      </c>
      <c r="H74" s="14" t="s">
        <v>5323</v>
      </c>
      <c r="I74" s="14">
        <v>4</v>
      </c>
      <c r="J74" s="14">
        <v>2</v>
      </c>
      <c r="K74" s="28" t="s">
        <v>62</v>
      </c>
      <c r="M74" s="20" t="s">
        <v>1604</v>
      </c>
      <c r="N74" s="14" t="s">
        <v>2015</v>
      </c>
      <c r="O74" s="14" t="s">
        <v>5796</v>
      </c>
      <c r="P74" s="45" t="s">
        <v>1705</v>
      </c>
      <c r="R74" s="20" t="s">
        <v>1793</v>
      </c>
      <c r="S74" s="14" t="s">
        <v>1794</v>
      </c>
      <c r="T74" s="14" t="s">
        <v>2279</v>
      </c>
      <c r="U74" s="14">
        <v>4</v>
      </c>
      <c r="V74" s="14">
        <v>5</v>
      </c>
      <c r="W74" s="14">
        <v>14</v>
      </c>
      <c r="X74" s="87" t="s">
        <v>1795</v>
      </c>
      <c r="Y74" s="87" t="s">
        <v>1795</v>
      </c>
      <c r="Z74" s="87" t="s">
        <v>1795</v>
      </c>
      <c r="AA74" s="87" t="s">
        <v>1795</v>
      </c>
      <c r="AB74" s="87" t="s">
        <v>1795</v>
      </c>
      <c r="AC74" s="87" t="s">
        <v>2997</v>
      </c>
      <c r="AD74" s="87" t="s">
        <v>2997</v>
      </c>
      <c r="AE74" s="87" t="s">
        <v>2997</v>
      </c>
      <c r="AF74" s="87" t="s">
        <v>2997</v>
      </c>
      <c r="AG74" s="87" t="s">
        <v>2997</v>
      </c>
      <c r="AH74" s="87" t="s">
        <v>2997</v>
      </c>
      <c r="AI74" s="87" t="s">
        <v>2997</v>
      </c>
      <c r="AJ74" s="87" t="s">
        <v>2997</v>
      </c>
      <c r="AK74" s="87" t="s">
        <v>2997</v>
      </c>
      <c r="AL74" s="87" t="s">
        <v>2997</v>
      </c>
      <c r="AM74" s="101" t="str">
        <f>CHOOSE(CharGenMain!$C$212,X74,Y74,Z74,AA74,AB74,AC74,AD74,AE74,AF74,AG74,AH74,AI74,AJ74,AK74,AL74)</f>
        <v>scrying, see text</v>
      </c>
      <c r="AN74" s="101" t="str">
        <f>CHOOSE(CharGenMain!$C$213,X74,Y74,Z74,AA74,AB74,AC74,AD74,AE74,AF74,AG74,AH74,AI74,AJ74,AK74,AL74)</f>
        <v>scrying, see text</v>
      </c>
      <c r="AO74" s="101" t="str">
        <f>CHOOSE(CharGenMain!$C$214,X74,Y74,Z74,AA74,AB74,AC74,AD74,AE74,AF74,AG74,AH74,AI74,AJ74,AK74,AL74)</f>
        <v>scrying, see text</v>
      </c>
      <c r="AP74" s="101" t="str">
        <f>CHOOSE(CharGenMain!$C$215,X74,Y74,Z74,AA74,AB74,AC74,AD74,AE74,AF74,AG74,AH74,AI74,AJ74,AK74,AL74)</f>
        <v>scrying, see text</v>
      </c>
      <c r="AQ74" s="101" t="str">
        <f>CHOOSE(CharGenMain!$C$216,X74,Y74,Z74,AA74,AB74,AC74,AD74,AE74,AF74,AG74,AH74,AI74,AJ74,AK74,AL74)</f>
        <v>scrying, see text</v>
      </c>
      <c r="AR74" s="101" t="str">
        <f>CHOOSE(CharGenMain!$C$217,X74,Y74,Z74,AA74,AB74,AC74,AD74,AE74,AF74,AG74,AH74,AI74,AJ74,AK74,AL74)</f>
        <v>scrying, see text</v>
      </c>
      <c r="AS74" s="101" t="e">
        <f>CHOOSE(CharGenMain!$C$218,X74,Y74,Z74,AA74,AB74,AC74,AD74,AE74,AF74,AG74,AH74,AI74,AJ74,AK74,AL74)</f>
        <v>#VALUE!</v>
      </c>
      <c r="AT74" s="101" t="e">
        <f>CHOOSE(CharGenMain!$C$219,X74,Y74,Z74,AA74,AB74,AC74,AD74,AE74,AF74,AG74,AH74,AI74,AJ74,AK74,AL74)</f>
        <v>#VALUE!</v>
      </c>
      <c r="AU74" s="101" t="e">
        <f>CHOOSE(CharGenMain!$C$220,X74,Y74,Z74,AA74,AB74,AC74,AD74,AE74,AF74,AG74,AH74,AI74,AJ74,AK74,AL74)</f>
        <v>#VALUE!</v>
      </c>
      <c r="AV74" s="101" t="e">
        <f>CHOOSE(CharGenMain!$C$221,X74,Y74,Z74,AA74,AB74,AC74,AD74,AE74,AF74,AG74,AH74,AI74,AJ74,AK74,AL74)</f>
        <v>#VALUE!</v>
      </c>
      <c r="AW74" s="101" t="e">
        <f>CHOOSE(CharGenMain!$C$222,X74,Y74,Z74,AA74,AB74,AC74,AD74,AE74,AF74,AG74,AH74,AI74,AJ74,AK74,AL74)</f>
        <v>#VALUE!</v>
      </c>
      <c r="AX74" s="101" t="e">
        <f>CHOOSE(CharGenMain!$C$223,X74,Y74,Z74,AA74,AB74,AC74,AD74,AE74,AF74,AG74,AH74,AI74,AJ74,AK74,AL74)</f>
        <v>#VALUE!</v>
      </c>
      <c r="AY74" s="101" t="e">
        <f>CHOOSE(CharGenMain!$C$224,X74,Y74,Z74,AA74,AB74,AC74,AD74,AE74,AF74,AG74,AH74,AI74,AJ74,AK74,AL74)</f>
        <v>#VALUE!</v>
      </c>
      <c r="AZ74" s="101" t="e">
        <f>CHOOSE(CharGenMain!$C$225,X74,Y74,Z74,AA74,AB74,AC74,AD74,AE74,AF74,AG74,AH74,AI74,AJ74,AK74,AL74)</f>
        <v>#VALUE!</v>
      </c>
      <c r="BA74" s="271" t="e">
        <f>CHOOSE(CharGenMain!$C$226,X74,Y74,Z74,AA74,AB74,AC74,AD74,AE74,AF74,AG74,AH74,AI74,AJ74,AK74,AL74)</f>
        <v>#VALUE!</v>
      </c>
    </row>
    <row r="75" spans="1:53">
      <c r="F75" s="20" t="s">
        <v>3953</v>
      </c>
      <c r="G75" s="14" t="s">
        <v>3952</v>
      </c>
      <c r="H75" s="14" t="s">
        <v>5323</v>
      </c>
      <c r="I75" s="14">
        <v>2</v>
      </c>
      <c r="J75" s="14">
        <v>0</v>
      </c>
      <c r="K75" s="28" t="s">
        <v>63</v>
      </c>
      <c r="M75" s="204" t="s">
        <v>1791</v>
      </c>
      <c r="N75" s="14" t="s">
        <v>2565</v>
      </c>
      <c r="O75" s="14" t="s">
        <v>5796</v>
      </c>
      <c r="P75" s="45" t="s">
        <v>1792</v>
      </c>
      <c r="R75" s="20" t="s">
        <v>1722</v>
      </c>
      <c r="S75" s="14" t="s">
        <v>1723</v>
      </c>
      <c r="T75" s="14" t="s">
        <v>2279</v>
      </c>
      <c r="U75" s="14">
        <v>1</v>
      </c>
      <c r="V75" s="14">
        <v>4</v>
      </c>
      <c r="W75" s="14">
        <v>11</v>
      </c>
      <c r="X75" s="87" t="s">
        <v>1724</v>
      </c>
      <c r="Y75" s="87" t="s">
        <v>1724</v>
      </c>
      <c r="Z75" s="87" t="s">
        <v>1724</v>
      </c>
      <c r="AA75" s="87" t="s">
        <v>1724</v>
      </c>
      <c r="AB75" s="87" t="s">
        <v>2997</v>
      </c>
      <c r="AC75" s="87" t="s">
        <v>2997</v>
      </c>
      <c r="AD75" s="87" t="s">
        <v>2997</v>
      </c>
      <c r="AE75" s="87" t="s">
        <v>2997</v>
      </c>
      <c r="AF75" s="87" t="s">
        <v>2997</v>
      </c>
      <c r="AG75" s="87" t="s">
        <v>2997</v>
      </c>
      <c r="AH75" s="87" t="s">
        <v>2997</v>
      </c>
      <c r="AI75" s="87" t="s">
        <v>2997</v>
      </c>
      <c r="AJ75" s="87" t="s">
        <v>2997</v>
      </c>
      <c r="AK75" s="87" t="s">
        <v>2997</v>
      </c>
      <c r="AL75" s="87" t="s">
        <v>2997</v>
      </c>
      <c r="AM75" s="101" t="str">
        <f>CHOOSE(CharGenMain!$C$212,X75,Y75,Z75,AA75,AB75,AC75,AD75,AE75,AF75,AG75,AH75,AI75,AJ75,AK75,AL75)</f>
        <v>Bonuses to charisma ana social, see text</v>
      </c>
      <c r="AN75" s="101" t="str">
        <f>CHOOSE(CharGenMain!$C$213,X75,Y75,Z75,AA75,AB75,AC75,AD75,AE75,AF75,AG75,AH75,AI75,AJ75,AK75,AL75)</f>
        <v>Bonuses to charisma ana social, see text</v>
      </c>
      <c r="AO75" s="101" t="str">
        <f>CHOOSE(CharGenMain!$C$214,X75,Y75,Z75,AA75,AB75,AC75,AD75,AE75,AF75,AG75,AH75,AI75,AJ75,AK75,AL75)</f>
        <v>Bonuses to charisma ana social, see text</v>
      </c>
      <c r="AP75" s="101" t="str">
        <f>CHOOSE(CharGenMain!$C$215,X75,Y75,Z75,AA75,AB75,AC75,AD75,AE75,AF75,AG75,AH75,AI75,AJ75,AK75,AL75)</f>
        <v>Bonuses to charisma ana social, see text</v>
      </c>
      <c r="AQ75" s="101" t="str">
        <f>CHOOSE(CharGenMain!$C$216,X75,Y75,Z75,AA75,AB75,AC75,AD75,AE75,AF75,AG75,AH75,AI75,AJ75,AK75,AL75)</f>
        <v>Bonuses to charisma ana social, see text</v>
      </c>
      <c r="AR75" s="101" t="str">
        <f>CHOOSE(CharGenMain!$C$217,X75,Y75,Z75,AA75,AB75,AC75,AD75,AE75,AF75,AG75,AH75,AI75,AJ75,AK75,AL75)</f>
        <v>Thread Max Exceeded</v>
      </c>
      <c r="AS75" s="101" t="e">
        <f>CHOOSE(CharGenMain!$C$218,X75,Y75,Z75,AA75,AB75,AC75,AD75,AE75,AF75,AG75,AH75,AI75,AJ75,AK75,AL75)</f>
        <v>#VALUE!</v>
      </c>
      <c r="AT75" s="101" t="e">
        <f>CHOOSE(CharGenMain!$C$219,X75,Y75,Z75,AA75,AB75,AC75,AD75,AE75,AF75,AG75,AH75,AI75,AJ75,AK75,AL75)</f>
        <v>#VALUE!</v>
      </c>
      <c r="AU75" s="101" t="e">
        <f>CHOOSE(CharGenMain!$C$220,X75,Y75,Z75,AA75,AB75,AC75,AD75,AE75,AF75,AG75,AH75,AI75,AJ75,AK75,AL75)</f>
        <v>#VALUE!</v>
      </c>
      <c r="AV75" s="101" t="e">
        <f>CHOOSE(CharGenMain!$C$221,X75,Y75,Z75,AA75,AB75,AC75,AD75,AE75,AF75,AG75,AH75,AI75,AJ75,AK75,AL75)</f>
        <v>#VALUE!</v>
      </c>
      <c r="AW75" s="101" t="e">
        <f>CHOOSE(CharGenMain!$C$222,X75,Y75,Z75,AA75,AB75,AC75,AD75,AE75,AF75,AG75,AH75,AI75,AJ75,AK75,AL75)</f>
        <v>#VALUE!</v>
      </c>
      <c r="AX75" s="101" t="e">
        <f>CHOOSE(CharGenMain!$C$223,X75,Y75,Z75,AA75,AB75,AC75,AD75,AE75,AF75,AG75,AH75,AI75,AJ75,AK75,AL75)</f>
        <v>#VALUE!</v>
      </c>
      <c r="AY75" s="101" t="e">
        <f>CHOOSE(CharGenMain!$C$224,X75,Y75,Z75,AA75,AB75,AC75,AD75,AE75,AF75,AG75,AH75,AI75,AJ75,AK75,AL75)</f>
        <v>#VALUE!</v>
      </c>
      <c r="AZ75" s="101" t="e">
        <f>CHOOSE(CharGenMain!$C$225,X75,Y75,Z75,AA75,AB75,AC75,AD75,AE75,AF75,AG75,AH75,AI75,AJ75,AK75,AL75)</f>
        <v>#VALUE!</v>
      </c>
      <c r="BA75" s="271" t="e">
        <f>CHOOSE(CharGenMain!$C$226,X75,Y75,Z75,AA75,AB75,AC75,AD75,AE75,AF75,AG75,AH75,AI75,AJ75,AK75,AL75)</f>
        <v>#VALUE!</v>
      </c>
    </row>
    <row r="76" spans="1:53">
      <c r="F76" s="20" t="s">
        <v>1779</v>
      </c>
      <c r="G76" s="14" t="s">
        <v>54</v>
      </c>
      <c r="H76" s="14" t="s">
        <v>5323</v>
      </c>
      <c r="I76" s="14">
        <v>1</v>
      </c>
      <c r="J76" s="14">
        <v>2</v>
      </c>
      <c r="K76" s="28" t="s">
        <v>1780</v>
      </c>
      <c r="M76" s="20" t="s">
        <v>1720</v>
      </c>
      <c r="N76" s="14" t="s">
        <v>1721</v>
      </c>
      <c r="O76" s="14" t="s">
        <v>2279</v>
      </c>
      <c r="P76" s="28" t="s">
        <v>2578</v>
      </c>
      <c r="R76" s="226" t="s">
        <v>1825</v>
      </c>
      <c r="S76" s="14" t="s">
        <v>1826</v>
      </c>
      <c r="T76" s="14" t="s">
        <v>2667</v>
      </c>
      <c r="U76" s="14">
        <v>4</v>
      </c>
      <c r="V76" s="14">
        <v>3</v>
      </c>
      <c r="W76" s="14">
        <v>25</v>
      </c>
      <c r="X76" s="87" t="s">
        <v>1939</v>
      </c>
      <c r="Y76" s="87" t="s">
        <v>1939</v>
      </c>
      <c r="Z76" s="87" t="s">
        <v>1939</v>
      </c>
      <c r="AA76" s="87" t="s">
        <v>2997</v>
      </c>
      <c r="AB76" s="87" t="s">
        <v>2997</v>
      </c>
      <c r="AC76" s="87" t="s">
        <v>2997</v>
      </c>
      <c r="AD76" s="87" t="s">
        <v>2997</v>
      </c>
      <c r="AE76" s="87" t="s">
        <v>2997</v>
      </c>
      <c r="AF76" s="87" t="s">
        <v>2997</v>
      </c>
      <c r="AG76" s="87" t="s">
        <v>2997</v>
      </c>
      <c r="AH76" s="87" t="s">
        <v>2997</v>
      </c>
      <c r="AI76" s="87" t="s">
        <v>2997</v>
      </c>
      <c r="AJ76" s="87" t="s">
        <v>2997</v>
      </c>
      <c r="AK76" s="87" t="s">
        <v>2997</v>
      </c>
      <c r="AL76" s="87" t="s">
        <v>2997</v>
      </c>
      <c r="AM76" s="101" t="str">
        <f>CHOOSE(CharGenMain!$C$212,X76,Y76,Z76,AA76,AB76,AC76,AD76,AE76,AF76,AG76,AH76,AI76,AJ76,AK76,AL76)</f>
        <v>location info, see text</v>
      </c>
      <c r="AN76" s="101" t="str">
        <f>CHOOSE(CharGenMain!$C$213,X76,Y76,Z76,AA76,AB76,AC76,AD76,AE76,AF76,AG76,AH76,AI76,AJ76,AK76,AL76)</f>
        <v>location info, see text</v>
      </c>
      <c r="AO76" s="101" t="str">
        <f>CHOOSE(CharGenMain!$C$214,X76,Y76,Z76,AA76,AB76,AC76,AD76,AE76,AF76,AG76,AH76,AI76,AJ76,AK76,AL76)</f>
        <v>location info, see text</v>
      </c>
      <c r="AP76" s="101" t="str">
        <f>CHOOSE(CharGenMain!$C$215,X76,Y76,Z76,AA76,AB76,AC76,AD76,AE76,AF76,AG76,AH76,AI76,AJ76,AK76,AL76)</f>
        <v>location info, see text</v>
      </c>
      <c r="AQ76" s="101" t="str">
        <f>CHOOSE(CharGenMain!$C$216,X76,Y76,Z76,AA76,AB76,AC76,AD76,AE76,AF76,AG76,AH76,AI76,AJ76,AK76,AL76)</f>
        <v>Thread Max Exceeded</v>
      </c>
      <c r="AR76" s="101" t="str">
        <f>CHOOSE(CharGenMain!$C$217,X76,Y76,Z76,AA76,AB76,AC76,AD76,AE76,AF76,AG76,AH76,AI76,AJ76,AK76,AL76)</f>
        <v>Thread Max Exceeded</v>
      </c>
      <c r="AS76" s="101" t="e">
        <f>CHOOSE(CharGenMain!$C$218,X76,Y76,Z76,AA76,AB76,AC76,AD76,AE76,AF76,AG76,AH76,AI76,AJ76,AK76,AL76)</f>
        <v>#VALUE!</v>
      </c>
      <c r="AT76" s="101" t="e">
        <f>CHOOSE(CharGenMain!$C$219,X76,Y76,Z76,AA76,AB76,AC76,AD76,AE76,AF76,AG76,AH76,AI76,AJ76,AK76,AL76)</f>
        <v>#VALUE!</v>
      </c>
      <c r="AU76" s="101" t="e">
        <f>CHOOSE(CharGenMain!$C$220,X76,Y76,Z76,AA76,AB76,AC76,AD76,AE76,AF76,AG76,AH76,AI76,AJ76,AK76,AL76)</f>
        <v>#VALUE!</v>
      </c>
      <c r="AV76" s="101" t="e">
        <f>CHOOSE(CharGenMain!$C$221,X76,Y76,Z76,AA76,AB76,AC76,AD76,AE76,AF76,AG76,AH76,AI76,AJ76,AK76,AL76)</f>
        <v>#VALUE!</v>
      </c>
      <c r="AW76" s="101" t="e">
        <f>CHOOSE(CharGenMain!$C$222,X76,Y76,Z76,AA76,AB76,AC76,AD76,AE76,AF76,AG76,AH76,AI76,AJ76,AK76,AL76)</f>
        <v>#VALUE!</v>
      </c>
      <c r="AX76" s="101" t="e">
        <f>CHOOSE(CharGenMain!$C$223,X76,Y76,Z76,AA76,AB76,AC76,AD76,AE76,AF76,AG76,AH76,AI76,AJ76,AK76,AL76)</f>
        <v>#VALUE!</v>
      </c>
      <c r="AY76" s="101" t="e">
        <f>CHOOSE(CharGenMain!$C$224,X76,Y76,Z76,AA76,AB76,AC76,AD76,AE76,AF76,AG76,AH76,AI76,AJ76,AK76,AL76)</f>
        <v>#VALUE!</v>
      </c>
      <c r="AZ76" s="101" t="e">
        <f>CHOOSE(CharGenMain!$C$225,X76,Y76,Z76,AA76,AB76,AC76,AD76,AE76,AF76,AG76,AH76,AI76,AJ76,AK76,AL76)</f>
        <v>#VALUE!</v>
      </c>
      <c r="BA76" s="271" t="e">
        <f>CHOOSE(CharGenMain!$C$226,X76,Y76,Z76,AA76,AB76,AC76,AD76,AE76,AF76,AG76,AH76,AI76,AJ76,AK76,AL76)</f>
        <v>#VALUE!</v>
      </c>
    </row>
    <row r="77" spans="1:53">
      <c r="F77" s="20" t="s">
        <v>1881</v>
      </c>
      <c r="G77" s="14" t="s">
        <v>58</v>
      </c>
      <c r="H77" s="14" t="s">
        <v>5323</v>
      </c>
      <c r="I77" s="14">
        <v>8</v>
      </c>
      <c r="J77" s="14">
        <v>5</v>
      </c>
      <c r="K77" s="28" t="s">
        <v>1783</v>
      </c>
      <c r="M77" s="20" t="s">
        <v>1729</v>
      </c>
      <c r="N77" s="14" t="s">
        <v>2380</v>
      </c>
      <c r="O77" s="14" t="s">
        <v>2501</v>
      </c>
      <c r="P77" s="45" t="s">
        <v>64</v>
      </c>
      <c r="R77" s="20" t="s">
        <v>1745</v>
      </c>
      <c r="S77" s="14" t="s">
        <v>1723</v>
      </c>
      <c r="T77" s="14" t="s">
        <v>2279</v>
      </c>
      <c r="U77" s="14">
        <v>1</v>
      </c>
      <c r="V77" s="14">
        <v>5</v>
      </c>
      <c r="W77" s="14">
        <v>9</v>
      </c>
      <c r="X77" s="87" t="s">
        <v>1534</v>
      </c>
      <c r="Y77" s="87" t="s">
        <v>1534</v>
      </c>
      <c r="Z77" s="87" t="s">
        <v>1534</v>
      </c>
      <c r="AA77" s="87" t="s">
        <v>1534</v>
      </c>
      <c r="AB77" s="87" t="s">
        <v>1534</v>
      </c>
      <c r="AC77" s="87" t="s">
        <v>2997</v>
      </c>
      <c r="AD77" s="87" t="s">
        <v>2997</v>
      </c>
      <c r="AE77" s="87" t="s">
        <v>2997</v>
      </c>
      <c r="AF77" s="87" t="s">
        <v>2997</v>
      </c>
      <c r="AG77" s="87" t="s">
        <v>2997</v>
      </c>
      <c r="AH77" s="87" t="s">
        <v>2997</v>
      </c>
      <c r="AI77" s="87" t="s">
        <v>2997</v>
      </c>
      <c r="AJ77" s="87" t="s">
        <v>2997</v>
      </c>
      <c r="AK77" s="87" t="s">
        <v>2997</v>
      </c>
      <c r="AL77" s="87" t="s">
        <v>2997</v>
      </c>
      <c r="AM77" s="101" t="str">
        <f>CHOOSE(CharGenMain!$C$212,X77,Y77,Z77,AA77,AB77,AC77,AD77,AE77,AF77,AG77,AH77,AI77,AJ77,AK77,AL77)</f>
        <v>aids in recovery tests, see text</v>
      </c>
      <c r="AN77" s="101" t="str">
        <f>CHOOSE(CharGenMain!$C$213,X77,Y77,Z77,AA77,AB77,AC77,AD77,AE77,AF77,AG77,AH77,AI77,AJ77,AK77,AL77)</f>
        <v>aids in recovery tests, see text</v>
      </c>
      <c r="AO77" s="101" t="str">
        <f>CHOOSE(CharGenMain!$C$214,X77,Y77,Z77,AA77,AB77,AC77,AD77,AE77,AF77,AG77,AH77,AI77,AJ77,AK77,AL77)</f>
        <v>aids in recovery tests, see text</v>
      </c>
      <c r="AP77" s="101" t="str">
        <f>CHOOSE(CharGenMain!$C$215,X77,Y77,Z77,AA77,AB77,AC77,AD77,AE77,AF77,AG77,AH77,AI77,AJ77,AK77,AL77)</f>
        <v>aids in recovery tests, see text</v>
      </c>
      <c r="AQ77" s="101" t="str">
        <f>CHOOSE(CharGenMain!$C$216,X77,Y77,Z77,AA77,AB77,AC77,AD77,AE77,AF77,AG77,AH77,AI77,AJ77,AK77,AL77)</f>
        <v>aids in recovery tests, see text</v>
      </c>
      <c r="AR77" s="101" t="str">
        <f>CHOOSE(CharGenMain!$C$217,X77,Y77,Z77,AA77,AB77,AC77,AD77,AE77,AF77,AG77,AH77,AI77,AJ77,AK77,AL77)</f>
        <v>aids in recovery tests, see text</v>
      </c>
      <c r="AS77" s="101" t="e">
        <f>CHOOSE(CharGenMain!$C$218,X77,Y77,Z77,AA77,AB77,AC77,AD77,AE77,AF77,AG77,AH77,AI77,AJ77,AK77,AL77)</f>
        <v>#VALUE!</v>
      </c>
      <c r="AT77" s="101" t="e">
        <f>CHOOSE(CharGenMain!$C$219,X77,Y77,Z77,AA77,AB77,AC77,AD77,AE77,AF77,AG77,AH77,AI77,AJ77,AK77,AL77)</f>
        <v>#VALUE!</v>
      </c>
      <c r="AU77" s="101" t="e">
        <f>CHOOSE(CharGenMain!$C$220,X77,Y77,Z77,AA77,AB77,AC77,AD77,AE77,AF77,AG77,AH77,AI77,AJ77,AK77,AL77)</f>
        <v>#VALUE!</v>
      </c>
      <c r="AV77" s="101" t="e">
        <f>CHOOSE(CharGenMain!$C$221,X77,Y77,Z77,AA77,AB77,AC77,AD77,AE77,AF77,AG77,AH77,AI77,AJ77,AK77,AL77)</f>
        <v>#VALUE!</v>
      </c>
      <c r="AW77" s="101" t="e">
        <f>CHOOSE(CharGenMain!$C$222,X77,Y77,Z77,AA77,AB77,AC77,AD77,AE77,AF77,AG77,AH77,AI77,AJ77,AK77,AL77)</f>
        <v>#VALUE!</v>
      </c>
      <c r="AX77" s="101" t="e">
        <f>CHOOSE(CharGenMain!$C$223,X77,Y77,Z77,AA77,AB77,AC77,AD77,AE77,AF77,AG77,AH77,AI77,AJ77,AK77,AL77)</f>
        <v>#VALUE!</v>
      </c>
      <c r="AY77" s="101" t="e">
        <f>CHOOSE(CharGenMain!$C$224,X77,Y77,Z77,AA77,AB77,AC77,AD77,AE77,AF77,AG77,AH77,AI77,AJ77,AK77,AL77)</f>
        <v>#VALUE!</v>
      </c>
      <c r="AZ77" s="101" t="e">
        <f>CHOOSE(CharGenMain!$C$225,X77,Y77,Z77,AA77,AB77,AC77,AD77,AE77,AF77,AG77,AH77,AI77,AJ77,AK77,AL77)</f>
        <v>#VALUE!</v>
      </c>
      <c r="BA77" s="271" t="e">
        <f>CHOOSE(CharGenMain!$C$226,X77,Y77,Z77,AA77,AB77,AC77,AD77,AE77,AF77,AG77,AH77,AI77,AJ77,AK77,AL77)</f>
        <v>#VALUE!</v>
      </c>
    </row>
    <row r="78" spans="1:53">
      <c r="F78" s="20" t="s">
        <v>1692</v>
      </c>
      <c r="G78" s="14" t="s">
        <v>1810</v>
      </c>
      <c r="H78" s="14" t="s">
        <v>5323</v>
      </c>
      <c r="I78" s="14">
        <v>2</v>
      </c>
      <c r="J78" s="14">
        <v>1</v>
      </c>
      <c r="K78" s="188" t="s">
        <v>1693</v>
      </c>
      <c r="M78" s="20" t="s">
        <v>1743</v>
      </c>
      <c r="N78" s="14" t="s">
        <v>2171</v>
      </c>
      <c r="O78" s="14" t="s">
        <v>5796</v>
      </c>
      <c r="P78" s="45" t="s">
        <v>1744</v>
      </c>
      <c r="R78" s="20" t="s">
        <v>1537</v>
      </c>
      <c r="S78" s="14" t="s">
        <v>1538</v>
      </c>
      <c r="T78" s="14" t="s">
        <v>2279</v>
      </c>
      <c r="U78" s="14">
        <v>2</v>
      </c>
      <c r="V78" s="14">
        <v>5</v>
      </c>
      <c r="W78" s="14">
        <v>13</v>
      </c>
      <c r="X78" s="87" t="s">
        <v>1539</v>
      </c>
      <c r="Y78" s="87" t="s">
        <v>1539</v>
      </c>
      <c r="Z78" s="87" t="s">
        <v>1539</v>
      </c>
      <c r="AA78" s="87" t="s">
        <v>1539</v>
      </c>
      <c r="AB78" s="87" t="s">
        <v>1539</v>
      </c>
      <c r="AC78" s="87" t="s">
        <v>2997</v>
      </c>
      <c r="AD78" s="87" t="s">
        <v>2997</v>
      </c>
      <c r="AE78" s="87" t="s">
        <v>2997</v>
      </c>
      <c r="AF78" s="87" t="s">
        <v>2997</v>
      </c>
      <c r="AG78" s="87" t="s">
        <v>2997</v>
      </c>
      <c r="AH78" s="87" t="s">
        <v>2997</v>
      </c>
      <c r="AI78" s="87" t="s">
        <v>2997</v>
      </c>
      <c r="AJ78" s="87" t="s">
        <v>2997</v>
      </c>
      <c r="AK78" s="87" t="s">
        <v>2997</v>
      </c>
      <c r="AL78" s="87" t="s">
        <v>2997</v>
      </c>
      <c r="AM78" s="101" t="str">
        <f>CHOOSE(CharGenMain!$C$212,X78,Y78,Z78,AA78,AB78,AC78,AD78,AE78,AF78,AG78,AH78,AI78,AJ78,AK78,AL78)</f>
        <v>various powers, see text</v>
      </c>
      <c r="AN78" s="101" t="str">
        <f>CHOOSE(CharGenMain!$C$213,X78,Y78,Z78,AA78,AB78,AC78,AD78,AE78,AF78,AG78,AH78,AI78,AJ78,AK78,AL78)</f>
        <v>various powers, see text</v>
      </c>
      <c r="AO78" s="101" t="str">
        <f>CHOOSE(CharGenMain!$C$214,X78,Y78,Z78,AA78,AB78,AC78,AD78,AE78,AF78,AG78,AH78,AI78,AJ78,AK78,AL78)</f>
        <v>various powers, see text</v>
      </c>
      <c r="AP78" s="101" t="str">
        <f>CHOOSE(CharGenMain!$C$215,X78,Y78,Z78,AA78,AB78,AC78,AD78,AE78,AF78,AG78,AH78,AI78,AJ78,AK78,AL78)</f>
        <v>various powers, see text</v>
      </c>
      <c r="AQ78" s="101" t="str">
        <f>CHOOSE(CharGenMain!$C$216,X78,Y78,Z78,AA78,AB78,AC78,AD78,AE78,AF78,AG78,AH78,AI78,AJ78,AK78,AL78)</f>
        <v>various powers, see text</v>
      </c>
      <c r="AR78" s="101" t="str">
        <f>CHOOSE(CharGenMain!$C$217,X78,Y78,Z78,AA78,AB78,AC78,AD78,AE78,AF78,AG78,AH78,AI78,AJ78,AK78,AL78)</f>
        <v>various powers, see text</v>
      </c>
      <c r="AS78" s="101" t="e">
        <f>CHOOSE(CharGenMain!$C$218,X78,Y78,Z78,AA78,AB78,AC78,AD78,AE78,AF78,AG78,AH78,AI78,AJ78,AK78,AL78)</f>
        <v>#VALUE!</v>
      </c>
      <c r="AT78" s="101" t="e">
        <f>CHOOSE(CharGenMain!$C$219,X78,Y78,Z78,AA78,AB78,AC78,AD78,AE78,AF78,AG78,AH78,AI78,AJ78,AK78,AL78)</f>
        <v>#VALUE!</v>
      </c>
      <c r="AU78" s="101" t="e">
        <f>CHOOSE(CharGenMain!$C$220,X78,Y78,Z78,AA78,AB78,AC78,AD78,AE78,AF78,AG78,AH78,AI78,AJ78,AK78,AL78)</f>
        <v>#VALUE!</v>
      </c>
      <c r="AV78" s="101" t="e">
        <f>CHOOSE(CharGenMain!$C$221,X78,Y78,Z78,AA78,AB78,AC78,AD78,AE78,AF78,AG78,AH78,AI78,AJ78,AK78,AL78)</f>
        <v>#VALUE!</v>
      </c>
      <c r="AW78" s="101" t="e">
        <f>CHOOSE(CharGenMain!$C$222,X78,Y78,Z78,AA78,AB78,AC78,AD78,AE78,AF78,AG78,AH78,AI78,AJ78,AK78,AL78)</f>
        <v>#VALUE!</v>
      </c>
      <c r="AX78" s="101" t="e">
        <f>CHOOSE(CharGenMain!$C$223,X78,Y78,Z78,AA78,AB78,AC78,AD78,AE78,AF78,AG78,AH78,AI78,AJ78,AK78,AL78)</f>
        <v>#VALUE!</v>
      </c>
      <c r="AY78" s="101" t="e">
        <f>CHOOSE(CharGenMain!$C$224,X78,Y78,Z78,AA78,AB78,AC78,AD78,AE78,AF78,AG78,AH78,AI78,AJ78,AK78,AL78)</f>
        <v>#VALUE!</v>
      </c>
      <c r="AZ78" s="101" t="e">
        <f>CHOOSE(CharGenMain!$C$225,X78,Y78,Z78,AA78,AB78,AC78,AD78,AE78,AF78,AG78,AH78,AI78,AJ78,AK78,AL78)</f>
        <v>#VALUE!</v>
      </c>
      <c r="BA78" s="271" t="e">
        <f>CHOOSE(CharGenMain!$C$226,X78,Y78,Z78,AA78,AB78,AC78,AD78,AE78,AF78,AG78,AH78,AI78,AJ78,AK78,AL78)</f>
        <v>#VALUE!</v>
      </c>
    </row>
    <row r="79" spans="1:53">
      <c r="A79" s="203"/>
      <c r="F79" s="20" t="s">
        <v>1696</v>
      </c>
      <c r="G79" s="14" t="s">
        <v>1697</v>
      </c>
      <c r="H79" s="14" t="s">
        <v>5323</v>
      </c>
      <c r="I79" s="14">
        <v>2</v>
      </c>
      <c r="J79" s="14">
        <v>0</v>
      </c>
      <c r="K79" s="28" t="s">
        <v>1473</v>
      </c>
      <c r="M79" s="204" t="s">
        <v>1421</v>
      </c>
      <c r="N79" s="14" t="s">
        <v>2565</v>
      </c>
      <c r="O79" s="14" t="s">
        <v>5796</v>
      </c>
      <c r="P79" s="45" t="s">
        <v>1536</v>
      </c>
      <c r="R79" s="20" t="s">
        <v>1751</v>
      </c>
      <c r="S79" s="14" t="s">
        <v>1752</v>
      </c>
      <c r="T79" s="14" t="s">
        <v>2279</v>
      </c>
      <c r="U79" s="14">
        <v>3</v>
      </c>
      <c r="V79" s="14">
        <v>5</v>
      </c>
      <c r="W79" s="14">
        <v>16</v>
      </c>
      <c r="X79" s="87" t="s">
        <v>1555</v>
      </c>
      <c r="Y79" s="87" t="s">
        <v>1555</v>
      </c>
      <c r="Z79" s="87" t="s">
        <v>1555</v>
      </c>
      <c r="AA79" s="87" t="s">
        <v>1555</v>
      </c>
      <c r="AB79" s="87" t="s">
        <v>1555</v>
      </c>
      <c r="AC79" s="87" t="s">
        <v>2997</v>
      </c>
      <c r="AD79" s="87" t="s">
        <v>2997</v>
      </c>
      <c r="AE79" s="87" t="s">
        <v>2997</v>
      </c>
      <c r="AF79" s="87" t="s">
        <v>2997</v>
      </c>
      <c r="AG79" s="87" t="s">
        <v>2997</v>
      </c>
      <c r="AH79" s="87" t="s">
        <v>2997</v>
      </c>
      <c r="AI79" s="87" t="s">
        <v>2997</v>
      </c>
      <c r="AJ79" s="87" t="s">
        <v>2997</v>
      </c>
      <c r="AK79" s="87" t="s">
        <v>2997</v>
      </c>
      <c r="AL79" s="87" t="s">
        <v>2997</v>
      </c>
      <c r="AM79" s="101" t="str">
        <f>CHOOSE(CharGenMain!$C$212,X79,Y79,Z79,AA79,AB79,AC79,AD79,AE79,AF79,AG79,AH79,AI79,AJ79,AK79,AL79)</f>
        <v>Bonues to mimic and disguise, see text</v>
      </c>
      <c r="AN79" s="101" t="str">
        <f>CHOOSE(CharGenMain!$C$213,X79,Y79,Z79,AA79,AB79,AC79,AD79,AE79,AF79,AG79,AH79,AI79,AJ79,AK79,AL79)</f>
        <v>Bonues to mimic and disguise, see text</v>
      </c>
      <c r="AO79" s="101" t="str">
        <f>CHOOSE(CharGenMain!$C$214,X79,Y79,Z79,AA79,AB79,AC79,AD79,AE79,AF79,AG79,AH79,AI79,AJ79,AK79,AL79)</f>
        <v>Bonues to mimic and disguise, see text</v>
      </c>
      <c r="AP79" s="101" t="str">
        <f>CHOOSE(CharGenMain!$C$215,X79,Y79,Z79,AA79,AB79,AC79,AD79,AE79,AF79,AG79,AH79,AI79,AJ79,AK79,AL79)</f>
        <v>Bonues to mimic and disguise, see text</v>
      </c>
      <c r="AQ79" s="101" t="str">
        <f>CHOOSE(CharGenMain!$C$216,X79,Y79,Z79,AA79,AB79,AC79,AD79,AE79,AF79,AG79,AH79,AI79,AJ79,AK79,AL79)</f>
        <v>Bonues to mimic and disguise, see text</v>
      </c>
      <c r="AR79" s="101" t="str">
        <f>CHOOSE(CharGenMain!$C$217,X79,Y79,Z79,AA79,AB79,AC79,AD79,AE79,AF79,AG79,AH79,AI79,AJ79,AK79,AL79)</f>
        <v>Bonues to mimic and disguise, see text</v>
      </c>
      <c r="AS79" s="101" t="e">
        <f>CHOOSE(CharGenMain!$C$218,X79,Y79,Z79,AA79,AB79,AC79,AD79,AE79,AF79,AG79,AH79,AI79,AJ79,AK79,AL79)</f>
        <v>#VALUE!</v>
      </c>
      <c r="AT79" s="101" t="e">
        <f>CHOOSE(CharGenMain!$C$219,X79,Y79,Z79,AA79,AB79,AC79,AD79,AE79,AF79,AG79,AH79,AI79,AJ79,AK79,AL79)</f>
        <v>#VALUE!</v>
      </c>
      <c r="AU79" s="101" t="e">
        <f>CHOOSE(CharGenMain!$C$220,X79,Y79,Z79,AA79,AB79,AC79,AD79,AE79,AF79,AG79,AH79,AI79,AJ79,AK79,AL79)</f>
        <v>#VALUE!</v>
      </c>
      <c r="AV79" s="101" t="e">
        <f>CHOOSE(CharGenMain!$C$221,X79,Y79,Z79,AA79,AB79,AC79,AD79,AE79,AF79,AG79,AH79,AI79,AJ79,AK79,AL79)</f>
        <v>#VALUE!</v>
      </c>
      <c r="AW79" s="101" t="e">
        <f>CHOOSE(CharGenMain!$C$222,X79,Y79,Z79,AA79,AB79,AC79,AD79,AE79,AF79,AG79,AH79,AI79,AJ79,AK79,AL79)</f>
        <v>#VALUE!</v>
      </c>
      <c r="AX79" s="101" t="e">
        <f>CHOOSE(CharGenMain!$C$223,X79,Y79,Z79,AA79,AB79,AC79,AD79,AE79,AF79,AG79,AH79,AI79,AJ79,AK79,AL79)</f>
        <v>#VALUE!</v>
      </c>
      <c r="AY79" s="101" t="e">
        <f>CHOOSE(CharGenMain!$C$224,X79,Y79,Z79,AA79,AB79,AC79,AD79,AE79,AF79,AG79,AH79,AI79,AJ79,AK79,AL79)</f>
        <v>#VALUE!</v>
      </c>
      <c r="AZ79" s="101" t="e">
        <f>CHOOSE(CharGenMain!$C$225,X79,Y79,Z79,AA79,AB79,AC79,AD79,AE79,AF79,AG79,AH79,AI79,AJ79,AK79,AL79)</f>
        <v>#VALUE!</v>
      </c>
      <c r="BA79" s="271" t="e">
        <f>CHOOSE(CharGenMain!$C$226,X79,Y79,Z79,AA79,AB79,AC79,AD79,AE79,AF79,AG79,AH79,AI79,AJ79,AK79,AL79)</f>
        <v>#VALUE!</v>
      </c>
    </row>
    <row r="80" spans="1:53">
      <c r="A80" s="203"/>
      <c r="F80" s="20" t="s">
        <v>1363</v>
      </c>
      <c r="G80" s="14" t="s">
        <v>1364</v>
      </c>
      <c r="H80" s="14" t="s">
        <v>5323</v>
      </c>
      <c r="I80" s="14">
        <v>2</v>
      </c>
      <c r="J80" s="14">
        <v>0</v>
      </c>
      <c r="K80" s="28" t="s">
        <v>1365</v>
      </c>
      <c r="M80" s="20" t="s">
        <v>1749</v>
      </c>
      <c r="N80" s="14" t="s">
        <v>2171</v>
      </c>
      <c r="O80" s="14" t="s">
        <v>5796</v>
      </c>
      <c r="P80" s="45" t="s">
        <v>1750</v>
      </c>
      <c r="R80" s="226" t="s">
        <v>1671</v>
      </c>
      <c r="S80" s="14" t="s">
        <v>1672</v>
      </c>
      <c r="T80" s="14" t="s">
        <v>2667</v>
      </c>
      <c r="U80" s="14">
        <v>1</v>
      </c>
      <c r="V80" s="14">
        <v>4</v>
      </c>
      <c r="W80" s="14">
        <v>11</v>
      </c>
      <c r="X80" s="87" t="s">
        <v>1673</v>
      </c>
      <c r="Y80" s="87" t="s">
        <v>1673</v>
      </c>
      <c r="Z80" s="87" t="s">
        <v>1673</v>
      </c>
      <c r="AA80" s="87" t="s">
        <v>1673</v>
      </c>
      <c r="AB80" s="87" t="s">
        <v>1673</v>
      </c>
      <c r="AC80" s="87" t="s">
        <v>2997</v>
      </c>
      <c r="AD80" s="87" t="s">
        <v>2997</v>
      </c>
      <c r="AE80" s="87" t="s">
        <v>2997</v>
      </c>
      <c r="AF80" s="87" t="s">
        <v>2997</v>
      </c>
      <c r="AG80" s="87" t="s">
        <v>2997</v>
      </c>
      <c r="AH80" s="87" t="s">
        <v>2997</v>
      </c>
      <c r="AI80" s="87" t="s">
        <v>2997</v>
      </c>
      <c r="AJ80" s="87" t="s">
        <v>2997</v>
      </c>
      <c r="AK80" s="87" t="s">
        <v>2997</v>
      </c>
      <c r="AL80" s="87" t="s">
        <v>2997</v>
      </c>
      <c r="AM80" s="101" t="str">
        <f>CHOOSE(CharGenMain!$C$212,X80,Y80,Z80,AA80,AB80,AC80,AD80,AE80,AF80,AG80,AH80,AI80,AJ80,AK80,AL80)</f>
        <v>visual and perception bonues</v>
      </c>
      <c r="AN80" s="101" t="str">
        <f>CHOOSE(CharGenMain!$C$213,X80,Y80,Z80,AA80,AB80,AC80,AD80,AE80,AF80,AG80,AH80,AI80,AJ80,AK80,AL80)</f>
        <v>visual and perception bonues</v>
      </c>
      <c r="AO80" s="101" t="str">
        <f>CHOOSE(CharGenMain!$C$214,X80,Y80,Z80,AA80,AB80,AC80,AD80,AE80,AF80,AG80,AH80,AI80,AJ80,AK80,AL80)</f>
        <v>visual and perception bonues</v>
      </c>
      <c r="AP80" s="101" t="str">
        <f>CHOOSE(CharGenMain!$C$215,X80,Y80,Z80,AA80,AB80,AC80,AD80,AE80,AF80,AG80,AH80,AI80,AJ80,AK80,AL80)</f>
        <v>visual and perception bonues</v>
      </c>
      <c r="AQ80" s="101" t="str">
        <f>CHOOSE(CharGenMain!$C$216,X80,Y80,Z80,AA80,AB80,AC80,AD80,AE80,AF80,AG80,AH80,AI80,AJ80,AK80,AL80)</f>
        <v>visual and perception bonues</v>
      </c>
      <c r="AR80" s="101" t="str">
        <f>CHOOSE(CharGenMain!$C$217,X80,Y80,Z80,AA80,AB80,AC80,AD80,AE80,AF80,AG80,AH80,AI80,AJ80,AK80,AL80)</f>
        <v>visual and perception bonues</v>
      </c>
      <c r="AS80" s="101" t="e">
        <f>CHOOSE(CharGenMain!$C$218,X80,Y80,Z80,AA80,AB80,AC80,AD80,AE80,AF80,AG80,AH80,AI80,AJ80,AK80,AL80)</f>
        <v>#VALUE!</v>
      </c>
      <c r="AT80" s="101" t="e">
        <f>CHOOSE(CharGenMain!$C$219,X80,Y80,Z80,AA80,AB80,AC80,AD80,AE80,AF80,AG80,AH80,AI80,AJ80,AK80,AL80)</f>
        <v>#VALUE!</v>
      </c>
      <c r="AU80" s="101" t="e">
        <f>CHOOSE(CharGenMain!$C$220,X80,Y80,Z80,AA80,AB80,AC80,AD80,AE80,AF80,AG80,AH80,AI80,AJ80,AK80,AL80)</f>
        <v>#VALUE!</v>
      </c>
      <c r="AV80" s="101" t="e">
        <f>CHOOSE(CharGenMain!$C$221,X80,Y80,Z80,AA80,AB80,AC80,AD80,AE80,AF80,AG80,AH80,AI80,AJ80,AK80,AL80)</f>
        <v>#VALUE!</v>
      </c>
      <c r="AW80" s="101" t="e">
        <f>CHOOSE(CharGenMain!$C$222,X80,Y80,Z80,AA80,AB80,AC80,AD80,AE80,AF80,AG80,AH80,AI80,AJ80,AK80,AL80)</f>
        <v>#VALUE!</v>
      </c>
      <c r="AX80" s="101" t="e">
        <f>CHOOSE(CharGenMain!$C$223,X80,Y80,Z80,AA80,AB80,AC80,AD80,AE80,AF80,AG80,AH80,AI80,AJ80,AK80,AL80)</f>
        <v>#VALUE!</v>
      </c>
      <c r="AY80" s="101" t="e">
        <f>CHOOSE(CharGenMain!$C$224,X80,Y80,Z80,AA80,AB80,AC80,AD80,AE80,AF80,AG80,AH80,AI80,AJ80,AK80,AL80)</f>
        <v>#VALUE!</v>
      </c>
      <c r="AZ80" s="101" t="e">
        <f>CHOOSE(CharGenMain!$C$225,X80,Y80,Z80,AA80,AB80,AC80,AD80,AE80,AF80,AG80,AH80,AI80,AJ80,AK80,AL80)</f>
        <v>#VALUE!</v>
      </c>
      <c r="BA80" s="271" t="e">
        <f>CHOOSE(CharGenMain!$C$226,X80,Y80,Z80,AA80,AB80,AC80,AD80,AE80,AF80,AG80,AH80,AI80,AJ80,AK80,AL80)</f>
        <v>#VALUE!</v>
      </c>
    </row>
    <row r="81" spans="1:53">
      <c r="A81" s="203"/>
      <c r="F81" s="20" t="s">
        <v>1615</v>
      </c>
      <c r="G81" s="14" t="s">
        <v>2395</v>
      </c>
      <c r="H81" s="14" t="s">
        <v>5323</v>
      </c>
      <c r="I81" s="14">
        <v>2</v>
      </c>
      <c r="J81" s="14">
        <v>1</v>
      </c>
      <c r="K81" s="188" t="s">
        <v>1616</v>
      </c>
      <c r="M81" s="20" t="s">
        <v>1669</v>
      </c>
      <c r="N81" s="14" t="s">
        <v>2171</v>
      </c>
      <c r="O81" s="14" t="s">
        <v>5796</v>
      </c>
      <c r="P81" s="45" t="s">
        <v>1670</v>
      </c>
      <c r="R81" s="226" t="s">
        <v>1778</v>
      </c>
      <c r="S81" s="14" t="s">
        <v>1672</v>
      </c>
      <c r="T81" s="14" t="s">
        <v>2667</v>
      </c>
      <c r="U81" s="14">
        <v>1</v>
      </c>
      <c r="V81" s="14">
        <v>4</v>
      </c>
      <c r="W81" s="14">
        <v>11</v>
      </c>
      <c r="X81" s="87" t="s">
        <v>1673</v>
      </c>
      <c r="Y81" s="87" t="s">
        <v>1673</v>
      </c>
      <c r="Z81" s="87" t="s">
        <v>1673</v>
      </c>
      <c r="AA81" s="87" t="s">
        <v>1673</v>
      </c>
      <c r="AB81" s="87" t="s">
        <v>1673</v>
      </c>
      <c r="AC81" s="87" t="s">
        <v>2997</v>
      </c>
      <c r="AD81" s="87" t="s">
        <v>2997</v>
      </c>
      <c r="AE81" s="87" t="s">
        <v>2997</v>
      </c>
      <c r="AF81" s="87" t="s">
        <v>2997</v>
      </c>
      <c r="AG81" s="87" t="s">
        <v>2997</v>
      </c>
      <c r="AH81" s="87" t="s">
        <v>2997</v>
      </c>
      <c r="AI81" s="87" t="s">
        <v>2997</v>
      </c>
      <c r="AJ81" s="87" t="s">
        <v>2997</v>
      </c>
      <c r="AK81" s="87" t="s">
        <v>2997</v>
      </c>
      <c r="AL81" s="87" t="s">
        <v>2997</v>
      </c>
      <c r="AM81" s="101" t="str">
        <f>CHOOSE(CharGenMain!$C$212,X81,Y81,Z81,AA81,AB81,AC81,AD81,AE81,AF81,AG81,AH81,AI81,AJ81,AK81,AL81)</f>
        <v>visual and perception bonues</v>
      </c>
      <c r="AN81" s="101" t="str">
        <f>CHOOSE(CharGenMain!$C$213,X81,Y81,Z81,AA81,AB81,AC81,AD81,AE81,AF81,AG81,AH81,AI81,AJ81,AK81,AL81)</f>
        <v>visual and perception bonues</v>
      </c>
      <c r="AO81" s="101" t="str">
        <f>CHOOSE(CharGenMain!$C$214,X81,Y81,Z81,AA81,AB81,AC81,AD81,AE81,AF81,AG81,AH81,AI81,AJ81,AK81,AL81)</f>
        <v>visual and perception bonues</v>
      </c>
      <c r="AP81" s="101" t="str">
        <f>CHOOSE(CharGenMain!$C$215,X81,Y81,Z81,AA81,AB81,AC81,AD81,AE81,AF81,AG81,AH81,AI81,AJ81,AK81,AL81)</f>
        <v>visual and perception bonues</v>
      </c>
      <c r="AQ81" s="101" t="str">
        <f>CHOOSE(CharGenMain!$C$216,X81,Y81,Z81,AA81,AB81,AC81,AD81,AE81,AF81,AG81,AH81,AI81,AJ81,AK81,AL81)</f>
        <v>visual and perception bonues</v>
      </c>
      <c r="AR81" s="101" t="str">
        <f>CHOOSE(CharGenMain!$C$217,X81,Y81,Z81,AA81,AB81,AC81,AD81,AE81,AF81,AG81,AH81,AI81,AJ81,AK81,AL81)</f>
        <v>visual and perception bonues</v>
      </c>
      <c r="AS81" s="101" t="e">
        <f>CHOOSE(CharGenMain!$C$218,X81,Y81,Z81,AA81,AB81,AC81,AD81,AE81,AF81,AG81,AH81,AI81,AJ81,AK81,AL81)</f>
        <v>#VALUE!</v>
      </c>
      <c r="AT81" s="101" t="e">
        <f>CHOOSE(CharGenMain!$C$219,X81,Y81,Z81,AA81,AB81,AC81,AD81,AE81,AF81,AG81,AH81,AI81,AJ81,AK81,AL81)</f>
        <v>#VALUE!</v>
      </c>
      <c r="AU81" s="101" t="e">
        <f>CHOOSE(CharGenMain!$C$220,X81,Y81,Z81,AA81,AB81,AC81,AD81,AE81,AF81,AG81,AH81,AI81,AJ81,AK81,AL81)</f>
        <v>#VALUE!</v>
      </c>
      <c r="AV81" s="101" t="e">
        <f>CHOOSE(CharGenMain!$C$221,X81,Y81,Z81,AA81,AB81,AC81,AD81,AE81,AF81,AG81,AH81,AI81,AJ81,AK81,AL81)</f>
        <v>#VALUE!</v>
      </c>
      <c r="AW81" s="101" t="e">
        <f>CHOOSE(CharGenMain!$C$222,X81,Y81,Z81,AA81,AB81,AC81,AD81,AE81,AF81,AG81,AH81,AI81,AJ81,AK81,AL81)</f>
        <v>#VALUE!</v>
      </c>
      <c r="AX81" s="101" t="e">
        <f>CHOOSE(CharGenMain!$C$223,X81,Y81,Z81,AA81,AB81,AC81,AD81,AE81,AF81,AG81,AH81,AI81,AJ81,AK81,AL81)</f>
        <v>#VALUE!</v>
      </c>
      <c r="AY81" s="101" t="e">
        <f>CHOOSE(CharGenMain!$C$224,X81,Y81,Z81,AA81,AB81,AC81,AD81,AE81,AF81,AG81,AH81,AI81,AJ81,AK81,AL81)</f>
        <v>#VALUE!</v>
      </c>
      <c r="AZ81" s="101" t="e">
        <f>CHOOSE(CharGenMain!$C$225,X81,Y81,Z81,AA81,AB81,AC81,AD81,AE81,AF81,AG81,AH81,AI81,AJ81,AK81,AL81)</f>
        <v>#VALUE!</v>
      </c>
      <c r="BA81" s="271" t="e">
        <f>CHOOSE(CharGenMain!$C$226,X81,Y81,Z81,AA81,AB81,AC81,AD81,AE81,AF81,AG81,AH81,AI81,AJ81,AK81,AL81)</f>
        <v>#VALUE!</v>
      </c>
    </row>
    <row r="82" spans="1:53">
      <c r="A82" s="203"/>
      <c r="F82" s="20" t="s">
        <v>1730</v>
      </c>
      <c r="G82" s="14" t="s">
        <v>1852</v>
      </c>
      <c r="H82" s="14" t="s">
        <v>5323</v>
      </c>
      <c r="I82" s="14">
        <v>1</v>
      </c>
      <c r="J82" s="14">
        <v>2</v>
      </c>
      <c r="K82" s="188" t="s">
        <v>1731</v>
      </c>
      <c r="M82" s="20" t="s">
        <v>1675</v>
      </c>
      <c r="N82" s="14" t="s">
        <v>2367</v>
      </c>
      <c r="O82" s="14" t="s">
        <v>2501</v>
      </c>
      <c r="P82" s="45" t="s">
        <v>1676</v>
      </c>
      <c r="R82" s="226" t="s">
        <v>1876</v>
      </c>
      <c r="S82" s="14" t="s">
        <v>1877</v>
      </c>
      <c r="T82" s="14" t="s">
        <v>2667</v>
      </c>
      <c r="U82" s="14">
        <v>3</v>
      </c>
      <c r="V82" s="14">
        <v>3</v>
      </c>
      <c r="W82" s="14">
        <v>12</v>
      </c>
      <c r="X82" s="207" t="s">
        <v>1878</v>
      </c>
      <c r="Y82" s="207" t="s">
        <v>1879</v>
      </c>
      <c r="Z82" s="207" t="s">
        <v>1880</v>
      </c>
      <c r="AA82" s="87" t="s">
        <v>2997</v>
      </c>
      <c r="AB82" s="87" t="s">
        <v>2997</v>
      </c>
      <c r="AC82" s="87" t="s">
        <v>2997</v>
      </c>
      <c r="AD82" s="87" t="s">
        <v>2997</v>
      </c>
      <c r="AE82" s="87" t="s">
        <v>2997</v>
      </c>
      <c r="AF82" s="87" t="s">
        <v>2997</v>
      </c>
      <c r="AG82" s="87" t="s">
        <v>2997</v>
      </c>
      <c r="AH82" s="87" t="s">
        <v>2997</v>
      </c>
      <c r="AI82" s="87" t="s">
        <v>2997</v>
      </c>
      <c r="AJ82" s="87" t="s">
        <v>2997</v>
      </c>
      <c r="AK82" s="87" t="s">
        <v>2997</v>
      </c>
      <c r="AL82" s="87" t="s">
        <v>2997</v>
      </c>
      <c r="AM82" s="101" t="str">
        <f>CHOOSE(CharGenMain!$C$212,X82,Y82,Z82,AA82,AB82,AC82,AD82,AE82,AF82,AG82,AH82,AI82,AJ82,AK82,AL82)</f>
        <v>+4 to detect lies</v>
      </c>
      <c r="AN82" s="101" t="str">
        <f>CHOOSE(CharGenMain!$C$213,X82,Y82,Z82,AA82,AB82,AC82,AD82,AE82,AF82,AG82,AH82,AI82,AJ82,AK82,AL82)</f>
        <v>+2 to detect lies</v>
      </c>
      <c r="AO82" s="101" t="str">
        <f>CHOOSE(CharGenMain!$C$214,X82,Y82,Z82,AA82,AB82,AC82,AD82,AE82,AF82,AG82,AH82,AI82,AJ82,AK82,AL82)</f>
        <v>+2 to detect lies</v>
      </c>
      <c r="AP82" s="101" t="str">
        <f>CHOOSE(CharGenMain!$C$215,X82,Y82,Z82,AA82,AB82,AC82,AD82,AE82,AF82,AG82,AH82,AI82,AJ82,AK82,AL82)</f>
        <v>+3 to detect lies</v>
      </c>
      <c r="AQ82" s="101" t="str">
        <f>CHOOSE(CharGenMain!$C$216,X82,Y82,Z82,AA82,AB82,AC82,AD82,AE82,AF82,AG82,AH82,AI82,AJ82,AK82,AL82)</f>
        <v>Thread Max Exceeded</v>
      </c>
      <c r="AR82" s="101" t="str">
        <f>CHOOSE(CharGenMain!$C$217,X82,Y82,Z82,AA82,AB82,AC82,AD82,AE82,AF82,AG82,AH82,AI82,AJ82,AK82,AL82)</f>
        <v>Thread Max Exceeded</v>
      </c>
      <c r="AS82" s="101" t="e">
        <f>CHOOSE(CharGenMain!$C$218,X82,Y82,Z82,AA82,AB82,AC82,AD82,AE82,AF82,AG82,AH82,AI82,AJ82,AK82,AL82)</f>
        <v>#VALUE!</v>
      </c>
      <c r="AT82" s="101" t="e">
        <f>CHOOSE(CharGenMain!$C$219,X82,Y82,Z82,AA82,AB82,AC82,AD82,AE82,AF82,AG82,AH82,AI82,AJ82,AK82,AL82)</f>
        <v>#VALUE!</v>
      </c>
      <c r="AU82" s="101" t="e">
        <f>CHOOSE(CharGenMain!$C$220,X82,Y82,Z82,AA82,AB82,AC82,AD82,AE82,AF82,AG82,AH82,AI82,AJ82,AK82,AL82)</f>
        <v>#VALUE!</v>
      </c>
      <c r="AV82" s="101" t="e">
        <f>CHOOSE(CharGenMain!$C$221,X82,Y82,Z82,AA82,AB82,AC82,AD82,AE82,AF82,AG82,AH82,AI82,AJ82,AK82,AL82)</f>
        <v>#VALUE!</v>
      </c>
      <c r="AW82" s="101" t="e">
        <f>CHOOSE(CharGenMain!$C$222,X82,Y82,Z82,AA82,AB82,AC82,AD82,AE82,AF82,AG82,AH82,AI82,AJ82,AK82,AL82)</f>
        <v>#VALUE!</v>
      </c>
      <c r="AX82" s="101" t="e">
        <f>CHOOSE(CharGenMain!$C$223,X82,Y82,Z82,AA82,AB82,AC82,AD82,AE82,AF82,AG82,AH82,AI82,AJ82,AK82,AL82)</f>
        <v>#VALUE!</v>
      </c>
      <c r="AY82" s="101" t="e">
        <f>CHOOSE(CharGenMain!$C$224,X82,Y82,Z82,AA82,AB82,AC82,AD82,AE82,AF82,AG82,AH82,AI82,AJ82,AK82,AL82)</f>
        <v>#VALUE!</v>
      </c>
      <c r="AZ82" s="101" t="e">
        <f>CHOOSE(CharGenMain!$C$225,X82,Y82,Z82,AA82,AB82,AC82,AD82,AE82,AF82,AG82,AH82,AI82,AJ82,AK82,AL82)</f>
        <v>#VALUE!</v>
      </c>
      <c r="BA82" s="271" t="e">
        <f>CHOOSE(CharGenMain!$C$226,X82,Y82,Z82,AA82,AB82,AC82,AD82,AE82,AF82,AG82,AH82,AI82,AJ82,AK82,AL82)</f>
        <v>#VALUE!</v>
      </c>
    </row>
    <row r="83" spans="1:53">
      <c r="A83" s="203"/>
      <c r="F83" s="20" t="s">
        <v>1828</v>
      </c>
      <c r="G83" s="14" t="s">
        <v>58</v>
      </c>
      <c r="H83" s="14" t="s">
        <v>5323</v>
      </c>
      <c r="I83" s="14">
        <v>2</v>
      </c>
      <c r="J83" s="14">
        <v>1</v>
      </c>
      <c r="K83" s="28" t="s">
        <v>1734</v>
      </c>
      <c r="M83" s="20" t="s">
        <v>65</v>
      </c>
      <c r="N83" s="14" t="s">
        <v>60</v>
      </c>
      <c r="O83" s="14" t="s">
        <v>123</v>
      </c>
      <c r="P83" s="45" t="s">
        <v>66</v>
      </c>
      <c r="R83" s="226" t="s">
        <v>5656</v>
      </c>
      <c r="S83" s="14" t="s">
        <v>527</v>
      </c>
      <c r="T83" s="14" t="s">
        <v>2667</v>
      </c>
      <c r="U83" s="14">
        <v>2</v>
      </c>
      <c r="V83" s="14">
        <v>6</v>
      </c>
      <c r="W83" s="14">
        <v>14</v>
      </c>
      <c r="X83" s="207" t="s">
        <v>5657</v>
      </c>
      <c r="Y83" s="207" t="s">
        <v>5658</v>
      </c>
      <c r="Z83" s="207" t="s">
        <v>5659</v>
      </c>
      <c r="AA83" s="7" t="s">
        <v>5660</v>
      </c>
      <c r="AB83" s="7" t="s">
        <v>5661</v>
      </c>
      <c r="AC83" s="7" t="s">
        <v>5662</v>
      </c>
      <c r="AD83" s="87" t="s">
        <v>2997</v>
      </c>
      <c r="AE83" s="87" t="s">
        <v>2997</v>
      </c>
      <c r="AF83" s="87" t="s">
        <v>2997</v>
      </c>
      <c r="AG83" s="87" t="s">
        <v>2997</v>
      </c>
      <c r="AH83" s="87" t="s">
        <v>2997</v>
      </c>
      <c r="AI83" s="87" t="s">
        <v>2997</v>
      </c>
      <c r="AJ83" s="87" t="s">
        <v>2997</v>
      </c>
      <c r="AK83" s="87" t="s">
        <v>2997</v>
      </c>
      <c r="AL83" s="87" t="s">
        <v>2997</v>
      </c>
      <c r="AM83" s="101" t="str">
        <f>CHOOSE(CharGenMain!$C$212,X83,Y83,Z83,AA83,AB83,AC83,AD83,AE83,AF83,AG83,AH83,AI83,AJ83,AK83,AL83)</f>
        <v>+1 Spell Def, +1 Steel Thought, +1 Soc Def</v>
      </c>
      <c r="AN83" s="101" t="str">
        <f>CHOOSE(CharGenMain!$C$213,X83,Y83,Z83,AA83,AB83,AC83,AD83,AE83,AF83,AG83,AH83,AI83,AJ83,AK83,AL83)</f>
        <v>+1 Spell Def</v>
      </c>
      <c r="AO83" s="101" t="str">
        <f>CHOOSE(CharGenMain!$C$214,X83,Y83,Z83,AA83,AB83,AC83,AD83,AE83,AF83,AG83,AH83,AI83,AJ83,AK83,AL83)</f>
        <v>+1 Spell Def</v>
      </c>
      <c r="AP83" s="101" t="str">
        <f>CHOOSE(CharGenMain!$C$215,X83,Y83,Z83,AA83,AB83,AC83,AD83,AE83,AF83,AG83,AH83,AI83,AJ83,AK83,AL83)</f>
        <v>+1 Spell Def, +1 Steel Thought</v>
      </c>
      <c r="AQ83" s="101" t="str">
        <f>CHOOSE(CharGenMain!$C$216,X83,Y83,Z83,AA83,AB83,AC83,AD83,AE83,AF83,AG83,AH83,AI83,AJ83,AK83,AL83)</f>
        <v>+1 Spell Def, +2 Steel Thought, +1 Soc Def</v>
      </c>
      <c r="AR83" s="101" t="str">
        <f>CHOOSE(CharGenMain!$C$217,X83,Y83,Z83,AA83,AB83,AC83,AD83,AE83,AF83,AG83,AH83,AI83,AJ83,AK83,AL83)</f>
        <v>+1 Spell Def, +3 Steel Thought, +1 Soc Def</v>
      </c>
      <c r="AS83" s="101" t="e">
        <f>CHOOSE(CharGenMain!$C$218,X83,Y83,Z83,AA83,AB83,AC83,AD83,AE83,AF83,AG83,AH83,AI83,AJ83,AK83,AL83)</f>
        <v>#VALUE!</v>
      </c>
      <c r="AT83" s="101" t="e">
        <f>CHOOSE(CharGenMain!$C$219,X83,Y83,Z83,AA83,AB83,AC83,AD83,AE83,AF83,AG83,AH83,AI83,AJ83,AK83,AL83)</f>
        <v>#VALUE!</v>
      </c>
      <c r="AU83" s="101" t="e">
        <f>CHOOSE(CharGenMain!$C$220,X83,Y83,Z83,AA83,AB83,AC83,AD83,AE83,AF83,AG83,AH83,AI83,AJ83,AK83,AL83)</f>
        <v>#VALUE!</v>
      </c>
      <c r="AV83" s="101" t="e">
        <f>CHOOSE(CharGenMain!$C$221,X83,Y83,Z83,AA83,AB83,AC83,AD83,AE83,AF83,AG83,AH83,AI83,AJ83,AK83,AL83)</f>
        <v>#VALUE!</v>
      </c>
      <c r="AW83" s="101" t="e">
        <f>CHOOSE(CharGenMain!$C$222,X83,Y83,Z83,AA83,AB83,AC83,AD83,AE83,AF83,AG83,AH83,AI83,AJ83,AK83,AL83)</f>
        <v>#VALUE!</v>
      </c>
      <c r="AX83" s="101" t="e">
        <f>CHOOSE(CharGenMain!$C$223,X83,Y83,Z83,AA83,AB83,AC83,AD83,AE83,AF83,AG83,AH83,AI83,AJ83,AK83,AL83)</f>
        <v>#VALUE!</v>
      </c>
      <c r="AY83" s="101" t="e">
        <f>CHOOSE(CharGenMain!$C$224,X83,Y83,Z83,AA83,AB83,AC83,AD83,AE83,AF83,AG83,AH83,AI83,AJ83,AK83,AL83)</f>
        <v>#VALUE!</v>
      </c>
      <c r="AZ83" s="101" t="e">
        <f>CHOOSE(CharGenMain!$C$225,X83,Y83,Z83,AA83,AB83,AC83,AD83,AE83,AF83,AG83,AH83,AI83,AJ83,AK83,AL83)</f>
        <v>#VALUE!</v>
      </c>
      <c r="BA83" s="271" t="e">
        <f>CHOOSE(CharGenMain!$C$226,X83,Y83,Z83,AA83,AB83,AC83,AD83,AE83,AF83,AG83,AH83,AI83,AJ83,AK83,AL83)</f>
        <v>#VALUE!</v>
      </c>
    </row>
    <row r="84" spans="1:53">
      <c r="A84" s="203"/>
      <c r="F84" s="20" t="s">
        <v>1737</v>
      </c>
      <c r="G84" s="14" t="s">
        <v>2215</v>
      </c>
      <c r="H84" s="14" t="s">
        <v>5323</v>
      </c>
      <c r="I84" s="14">
        <v>2</v>
      </c>
      <c r="J84" s="14">
        <v>2</v>
      </c>
      <c r="K84" s="28" t="s">
        <v>1738</v>
      </c>
      <c r="M84" s="22" t="s">
        <v>1781</v>
      </c>
      <c r="N84" s="23" t="s">
        <v>2171</v>
      </c>
      <c r="O84" s="23" t="s">
        <v>5796</v>
      </c>
      <c r="P84" s="189" t="s">
        <v>1782</v>
      </c>
      <c r="R84" s="20" t="s">
        <v>1689</v>
      </c>
      <c r="S84" s="14" t="s">
        <v>1690</v>
      </c>
      <c r="T84" s="14" t="s">
        <v>2279</v>
      </c>
      <c r="U84" s="14">
        <v>4</v>
      </c>
      <c r="V84" s="14">
        <v>5</v>
      </c>
      <c r="W84" s="14">
        <v>27</v>
      </c>
      <c r="X84" s="87" t="s">
        <v>1691</v>
      </c>
      <c r="Y84" s="87" t="s">
        <v>1691</v>
      </c>
      <c r="Z84" s="87" t="s">
        <v>1691</v>
      </c>
      <c r="AA84" s="87" t="s">
        <v>1691</v>
      </c>
      <c r="AB84" s="87" t="s">
        <v>1691</v>
      </c>
      <c r="AC84" s="87" t="s">
        <v>2997</v>
      </c>
      <c r="AD84" s="87" t="s">
        <v>2997</v>
      </c>
      <c r="AE84" s="87" t="s">
        <v>2997</v>
      </c>
      <c r="AF84" s="87" t="s">
        <v>2997</v>
      </c>
      <c r="AG84" s="87" t="s">
        <v>2997</v>
      </c>
      <c r="AH84" s="87" t="s">
        <v>2997</v>
      </c>
      <c r="AI84" s="87" t="s">
        <v>2997</v>
      </c>
      <c r="AJ84" s="87" t="s">
        <v>2997</v>
      </c>
      <c r="AK84" s="87" t="s">
        <v>2997</v>
      </c>
      <c r="AL84" s="87" t="s">
        <v>2997</v>
      </c>
      <c r="AM84" s="101" t="str">
        <f>CHOOSE(CharGenMain!$C$212,X84,Y84,Z84,AA84,AB84,AC84,AD84,AE84,AF84,AG84,AH84,AI84,AJ84,AK84,AL84)</f>
        <v>resists horror effects, see text</v>
      </c>
      <c r="AN84" s="101" t="str">
        <f>CHOOSE(CharGenMain!$C$213,X84,Y84,Z84,AA84,AB84,AC84,AD84,AE84,AF84,AG84,AH84,AI84,AJ84,AK84,AL84)</f>
        <v>resists horror effects, see text</v>
      </c>
      <c r="AO84" s="101" t="str">
        <f>CHOOSE(CharGenMain!$C$214,X84,Y84,Z84,AA84,AB84,AC84,AD84,AE84,AF84,AG84,AH84,AI84,AJ84,AK84,AL84)</f>
        <v>resists horror effects, see text</v>
      </c>
      <c r="AP84" s="101" t="str">
        <f>CHOOSE(CharGenMain!$C$215,X84,Y84,Z84,AA84,AB84,AC84,AD84,AE84,AF84,AG84,AH84,AI84,AJ84,AK84,AL84)</f>
        <v>resists horror effects, see text</v>
      </c>
      <c r="AQ84" s="101" t="str">
        <f>CHOOSE(CharGenMain!$C$216,X84,Y84,Z84,AA84,AB84,AC84,AD84,AE84,AF84,AG84,AH84,AI84,AJ84,AK84,AL84)</f>
        <v>resists horror effects, see text</v>
      </c>
      <c r="AR84" s="101" t="str">
        <f>CHOOSE(CharGenMain!$C$217,X84,Y84,Z84,AA84,AB84,AC84,AD84,AE84,AF84,AG84,AH84,AI84,AJ84,AK84,AL84)</f>
        <v>resists horror effects, see text</v>
      </c>
      <c r="AS84" s="101" t="e">
        <f>CHOOSE(CharGenMain!$C$218,X84,Y84,Z84,AA84,AB84,AC84,AD84,AE84,AF84,AG84,AH84,AI84,AJ84,AK84,AL84)</f>
        <v>#VALUE!</v>
      </c>
      <c r="AT84" s="101" t="e">
        <f>CHOOSE(CharGenMain!$C$219,X84,Y84,Z84,AA84,AB84,AC84,AD84,AE84,AF84,AG84,AH84,AI84,AJ84,AK84,AL84)</f>
        <v>#VALUE!</v>
      </c>
      <c r="AU84" s="101" t="e">
        <f>CHOOSE(CharGenMain!$C$220,X84,Y84,Z84,AA84,AB84,AC84,AD84,AE84,AF84,AG84,AH84,AI84,AJ84,AK84,AL84)</f>
        <v>#VALUE!</v>
      </c>
      <c r="AV84" s="101" t="e">
        <f>CHOOSE(CharGenMain!$C$221,X84,Y84,Z84,AA84,AB84,AC84,AD84,AE84,AF84,AG84,AH84,AI84,AJ84,AK84,AL84)</f>
        <v>#VALUE!</v>
      </c>
      <c r="AW84" s="101" t="e">
        <f>CHOOSE(CharGenMain!$C$222,X84,Y84,Z84,AA84,AB84,AC84,AD84,AE84,AF84,AG84,AH84,AI84,AJ84,AK84,AL84)</f>
        <v>#VALUE!</v>
      </c>
      <c r="AX84" s="101" t="e">
        <f>CHOOSE(CharGenMain!$C$223,X84,Y84,Z84,AA84,AB84,AC84,AD84,AE84,AF84,AG84,AH84,AI84,AJ84,AK84,AL84)</f>
        <v>#VALUE!</v>
      </c>
      <c r="AY84" s="101" t="e">
        <f>CHOOSE(CharGenMain!$C$224,X84,Y84,Z84,AA84,AB84,AC84,AD84,AE84,AF84,AG84,AH84,AI84,AJ84,AK84,AL84)</f>
        <v>#VALUE!</v>
      </c>
      <c r="AZ84" s="101" t="e">
        <f>CHOOSE(CharGenMain!$C$225,X84,Y84,Z84,AA84,AB84,AC84,AD84,AE84,AF84,AG84,AH84,AI84,AJ84,AK84,AL84)</f>
        <v>#VALUE!</v>
      </c>
      <c r="BA84" s="271" t="e">
        <f>CHOOSE(CharGenMain!$C$226,X84,Y84,Z84,AA84,AB84,AC84,AD84,AE84,AF84,AG84,AH84,AI84,AJ84,AK84,AL84)</f>
        <v>#VALUE!</v>
      </c>
    </row>
    <row r="85" spans="1:53">
      <c r="A85" s="203"/>
      <c r="F85" s="20" t="s">
        <v>1638</v>
      </c>
      <c r="G85" s="14" t="s">
        <v>58</v>
      </c>
      <c r="H85" s="14" t="s">
        <v>5323</v>
      </c>
      <c r="I85" s="14">
        <v>3</v>
      </c>
      <c r="J85" s="14">
        <v>1</v>
      </c>
      <c r="K85" s="28" t="s">
        <v>1639</v>
      </c>
      <c r="R85" s="20" t="s">
        <v>1694</v>
      </c>
      <c r="S85" s="14" t="s">
        <v>1538</v>
      </c>
      <c r="T85" s="14" t="s">
        <v>2279</v>
      </c>
      <c r="U85" s="14">
        <v>3</v>
      </c>
      <c r="V85" s="14">
        <v>6</v>
      </c>
      <c r="W85" s="14">
        <v>19</v>
      </c>
      <c r="X85" s="87" t="s">
        <v>1695</v>
      </c>
      <c r="Y85" s="87" t="s">
        <v>1695</v>
      </c>
      <c r="Z85" s="87" t="s">
        <v>1695</v>
      </c>
      <c r="AA85" s="87" t="s">
        <v>1695</v>
      </c>
      <c r="AB85" s="87" t="s">
        <v>1695</v>
      </c>
      <c r="AC85" s="87" t="s">
        <v>1695</v>
      </c>
      <c r="AD85" s="87" t="s">
        <v>2997</v>
      </c>
      <c r="AE85" s="87" t="s">
        <v>2997</v>
      </c>
      <c r="AF85" s="87" t="s">
        <v>2997</v>
      </c>
      <c r="AG85" s="87" t="s">
        <v>2997</v>
      </c>
      <c r="AH85" s="87" t="s">
        <v>2997</v>
      </c>
      <c r="AI85" s="87" t="s">
        <v>2997</v>
      </c>
      <c r="AJ85" s="87" t="s">
        <v>2997</v>
      </c>
      <c r="AK85" s="87" t="s">
        <v>2997</v>
      </c>
      <c r="AL85" s="87" t="s">
        <v>2997</v>
      </c>
      <c r="AM85" s="101" t="str">
        <f>CHOOSE(CharGenMain!$C$212,X85,Y85,Z85,AA85,AB85,AC85,AD85,AE85,AF85,AG85,AH85,AI85,AJ85,AK85,AL85)</f>
        <v>flying carpet, see text</v>
      </c>
      <c r="AN85" s="101" t="str">
        <f>CHOOSE(CharGenMain!$C$213,X85,Y85,Z85,AA85,AB85,AC85,AD85,AE85,AF85,AG85,AH85,AI85,AJ85,AK85,AL85)</f>
        <v>flying carpet, see text</v>
      </c>
      <c r="AO85" s="101" t="str">
        <f>CHOOSE(CharGenMain!$C$214,X85,Y85,Z85,AA85,AB85,AC85,AD85,AE85,AF85,AG85,AH85,AI85,AJ85,AK85,AL85)</f>
        <v>flying carpet, see text</v>
      </c>
      <c r="AP85" s="101" t="str">
        <f>CHOOSE(CharGenMain!$C$215,X85,Y85,Z85,AA85,AB85,AC85,AD85,AE85,AF85,AG85,AH85,AI85,AJ85,AK85,AL85)</f>
        <v>flying carpet, see text</v>
      </c>
      <c r="AQ85" s="101" t="str">
        <f>CHOOSE(CharGenMain!$C$216,X85,Y85,Z85,AA85,AB85,AC85,AD85,AE85,AF85,AG85,AH85,AI85,AJ85,AK85,AL85)</f>
        <v>flying carpet, see text</v>
      </c>
      <c r="AR85" s="101" t="str">
        <f>CHOOSE(CharGenMain!$C$217,X85,Y85,Z85,AA85,AB85,AC85,AD85,AE85,AF85,AG85,AH85,AI85,AJ85,AK85,AL85)</f>
        <v>flying carpet, see text</v>
      </c>
      <c r="AS85" s="101" t="e">
        <f>CHOOSE(CharGenMain!$C$218,X85,Y85,Z85,AA85,AB85,AC85,AD85,AE85,AF85,AG85,AH85,AI85,AJ85,AK85,AL85)</f>
        <v>#VALUE!</v>
      </c>
      <c r="AT85" s="101" t="e">
        <f>CHOOSE(CharGenMain!$C$219,X85,Y85,Z85,AA85,AB85,AC85,AD85,AE85,AF85,AG85,AH85,AI85,AJ85,AK85,AL85)</f>
        <v>#VALUE!</v>
      </c>
      <c r="AU85" s="101" t="e">
        <f>CHOOSE(CharGenMain!$C$220,X85,Y85,Z85,AA85,AB85,AC85,AD85,AE85,AF85,AG85,AH85,AI85,AJ85,AK85,AL85)</f>
        <v>#VALUE!</v>
      </c>
      <c r="AV85" s="101" t="e">
        <f>CHOOSE(CharGenMain!$C$221,X85,Y85,Z85,AA85,AB85,AC85,AD85,AE85,AF85,AG85,AH85,AI85,AJ85,AK85,AL85)</f>
        <v>#VALUE!</v>
      </c>
      <c r="AW85" s="101" t="e">
        <f>CHOOSE(CharGenMain!$C$222,X85,Y85,Z85,AA85,AB85,AC85,AD85,AE85,AF85,AG85,AH85,AI85,AJ85,AK85,AL85)</f>
        <v>#VALUE!</v>
      </c>
      <c r="AX85" s="101" t="e">
        <f>CHOOSE(CharGenMain!$C$223,X85,Y85,Z85,AA85,AB85,AC85,AD85,AE85,AF85,AG85,AH85,AI85,AJ85,AK85,AL85)</f>
        <v>#VALUE!</v>
      </c>
      <c r="AY85" s="101" t="e">
        <f>CHOOSE(CharGenMain!$C$224,X85,Y85,Z85,AA85,AB85,AC85,AD85,AE85,AF85,AG85,AH85,AI85,AJ85,AK85,AL85)</f>
        <v>#VALUE!</v>
      </c>
      <c r="AZ85" s="101" t="e">
        <f>CHOOSE(CharGenMain!$C$225,X85,Y85,Z85,AA85,AB85,AC85,AD85,AE85,AF85,AG85,AH85,AI85,AJ85,AK85,AL85)</f>
        <v>#VALUE!</v>
      </c>
      <c r="BA85" s="271" t="e">
        <f>CHOOSE(CharGenMain!$C$226,X85,Y85,Z85,AA85,AB85,AC85,AD85,AE85,AF85,AG85,AH85,AI85,AJ85,AK85,AL85)</f>
        <v>#VALUE!</v>
      </c>
    </row>
    <row r="86" spans="1:53">
      <c r="A86" s="203"/>
      <c r="F86" s="20" t="s">
        <v>1416</v>
      </c>
      <c r="G86" s="14" t="s">
        <v>67</v>
      </c>
      <c r="H86" s="14" t="s">
        <v>5323</v>
      </c>
      <c r="I86" s="14">
        <v>2</v>
      </c>
      <c r="J86" s="14">
        <v>0</v>
      </c>
      <c r="K86" s="28" t="s">
        <v>1417</v>
      </c>
      <c r="R86" s="226" t="s">
        <v>1474</v>
      </c>
      <c r="S86" s="14" t="s">
        <v>1475</v>
      </c>
      <c r="T86" s="14" t="s">
        <v>2667</v>
      </c>
      <c r="U86" s="14">
        <v>1</v>
      </c>
      <c r="V86" s="14">
        <v>4</v>
      </c>
      <c r="W86" s="106">
        <v>11</v>
      </c>
      <c r="X86" s="206" t="s">
        <v>1476</v>
      </c>
      <c r="Y86" s="206" t="s">
        <v>1596</v>
      </c>
      <c r="Z86" s="206" t="s">
        <v>1597</v>
      </c>
      <c r="AA86" s="206" t="s">
        <v>1598</v>
      </c>
      <c r="AB86" s="87" t="s">
        <v>2997</v>
      </c>
      <c r="AC86" s="87" t="s">
        <v>2997</v>
      </c>
      <c r="AD86" s="87" t="s">
        <v>2997</v>
      </c>
      <c r="AE86" s="87" t="s">
        <v>2997</v>
      </c>
      <c r="AF86" s="87" t="s">
        <v>2997</v>
      </c>
      <c r="AG86" s="87" t="s">
        <v>2997</v>
      </c>
      <c r="AH86" s="87" t="s">
        <v>2997</v>
      </c>
      <c r="AI86" s="87" t="s">
        <v>2997</v>
      </c>
      <c r="AJ86" s="87" t="s">
        <v>2997</v>
      </c>
      <c r="AK86" s="87" t="s">
        <v>2997</v>
      </c>
      <c r="AL86" s="87" t="s">
        <v>2997</v>
      </c>
      <c r="AM86" s="101" t="str">
        <f>CHOOSE(CharGenMain!$C$212,X86,Y86,Z86,AA86,AB86,AC86,AD86,AE86,AF86,AG86,AH86,AI86,AJ86,AK86,AL86)</f>
        <v>+3 rank emotion song</v>
      </c>
      <c r="AN86" s="101" t="str">
        <f>CHOOSE(CharGenMain!$C$213,X86,Y86,Z86,AA86,AB86,AC86,AD86,AE86,AF86,AG86,AH86,AI86,AJ86,AK86,AL86)</f>
        <v>+1 rank emotion song</v>
      </c>
      <c r="AO86" s="101" t="str">
        <f>CHOOSE(CharGenMain!$C$214,X86,Y86,Z86,AA86,AB86,AC86,AD86,AE86,AF86,AG86,AH86,AI86,AJ86,AK86,AL86)</f>
        <v>+1 rank emotion song</v>
      </c>
      <c r="AP86" s="101" t="str">
        <f>CHOOSE(CharGenMain!$C$215,X86,Y86,Z86,AA86,AB86,AC86,AD86,AE86,AF86,AG86,AH86,AI86,AJ86,AK86,AL86)</f>
        <v>+2 rank emotion song</v>
      </c>
      <c r="AQ86" s="101" t="str">
        <f>CHOOSE(CharGenMain!$C$216,X86,Y86,Z86,AA86,AB86,AC86,AD86,AE86,AF86,AG86,AH86,AI86,AJ86,AK86,AL86)</f>
        <v>+4 rank emotion song, +1 soc def</v>
      </c>
      <c r="AR86" s="101" t="str">
        <f>CHOOSE(CharGenMain!$C$217,X86,Y86,Z86,AA86,AB86,AC86,AD86,AE86,AF86,AG86,AH86,AI86,AJ86,AK86,AL86)</f>
        <v>Thread Max Exceeded</v>
      </c>
      <c r="AS86" s="101" t="e">
        <f>CHOOSE(CharGenMain!$C$218,X86,Y86,Z86,AA86,AB86,AC86,AD86,AE86,AF86,AG86,AH86,AI86,AJ86,AK86,AL86)</f>
        <v>#VALUE!</v>
      </c>
      <c r="AT86" s="101" t="e">
        <f>CHOOSE(CharGenMain!$C$219,X86,Y86,Z86,AA86,AB86,AC86,AD86,AE86,AF86,AG86,AH86,AI86,AJ86,AK86,AL86)</f>
        <v>#VALUE!</v>
      </c>
      <c r="AU86" s="101" t="e">
        <f>CHOOSE(CharGenMain!$C$220,X86,Y86,Z86,AA86,AB86,AC86,AD86,AE86,AF86,AG86,AH86,AI86,AJ86,AK86,AL86)</f>
        <v>#VALUE!</v>
      </c>
      <c r="AV86" s="101" t="e">
        <f>CHOOSE(CharGenMain!$C$221,X86,Y86,Z86,AA86,AB86,AC86,AD86,AE86,AF86,AG86,AH86,AI86,AJ86,AK86,AL86)</f>
        <v>#VALUE!</v>
      </c>
      <c r="AW86" s="101" t="e">
        <f>CHOOSE(CharGenMain!$C$222,X86,Y86,Z86,AA86,AB86,AC86,AD86,AE86,AF86,AG86,AH86,AI86,AJ86,AK86,AL86)</f>
        <v>#VALUE!</v>
      </c>
      <c r="AX86" s="101" t="e">
        <f>CHOOSE(CharGenMain!$C$223,X86,Y86,Z86,AA86,AB86,AC86,AD86,AE86,AF86,AG86,AH86,AI86,AJ86,AK86,AL86)</f>
        <v>#VALUE!</v>
      </c>
      <c r="AY86" s="101" t="e">
        <f>CHOOSE(CharGenMain!$C$224,X86,Y86,Z86,AA86,AB86,AC86,AD86,AE86,AF86,AG86,AH86,AI86,AJ86,AK86,AL86)</f>
        <v>#VALUE!</v>
      </c>
      <c r="AZ86" s="101" t="e">
        <f>CHOOSE(CharGenMain!$C$225,X86,Y86,Z86,AA86,AB86,AC86,AD86,AE86,AF86,AG86,AH86,AI86,AJ86,AK86,AL86)</f>
        <v>#VALUE!</v>
      </c>
      <c r="BA86" s="271" t="e">
        <f>CHOOSE(CharGenMain!$C$226,X86,Y86,Z86,AA86,AB86,AC86,AD86,AE86,AF86,AG86,AH86,AI86,AJ86,AK86,AL86)</f>
        <v>#VALUE!</v>
      </c>
    </row>
    <row r="87" spans="1:53">
      <c r="A87" s="203"/>
      <c r="F87" s="20" t="s">
        <v>1314</v>
      </c>
      <c r="G87" s="14" t="s">
        <v>68</v>
      </c>
      <c r="H87" s="14" t="s">
        <v>5323</v>
      </c>
      <c r="I87" s="14">
        <v>15</v>
      </c>
      <c r="J87" s="14">
        <v>2</v>
      </c>
      <c r="K87" s="28" t="s">
        <v>1422</v>
      </c>
      <c r="R87" s="226" t="s">
        <v>1366</v>
      </c>
      <c r="S87" s="14" t="s">
        <v>1367</v>
      </c>
      <c r="T87" s="14" t="s">
        <v>2279</v>
      </c>
      <c r="U87" s="14">
        <v>4</v>
      </c>
      <c r="V87" s="14">
        <v>10</v>
      </c>
      <c r="W87" s="106">
        <v>22</v>
      </c>
      <c r="X87" s="87" t="s">
        <v>1368</v>
      </c>
      <c r="Y87" s="87" t="s">
        <v>1369</v>
      </c>
      <c r="Z87" s="87" t="s">
        <v>1605</v>
      </c>
      <c r="AA87" s="87" t="s">
        <v>1708</v>
      </c>
      <c r="AB87" s="87" t="s">
        <v>1491</v>
      </c>
      <c r="AC87" s="87" t="s">
        <v>1492</v>
      </c>
      <c r="AD87" s="87" t="s">
        <v>1378</v>
      </c>
      <c r="AE87" s="87" t="s">
        <v>1379</v>
      </c>
      <c r="AF87" s="87" t="s">
        <v>1613</v>
      </c>
      <c r="AG87" s="87" t="s">
        <v>1614</v>
      </c>
      <c r="AH87" s="87" t="s">
        <v>2997</v>
      </c>
      <c r="AI87" s="87" t="s">
        <v>2997</v>
      </c>
      <c r="AJ87" s="87" t="s">
        <v>2997</v>
      </c>
      <c r="AK87" s="87" t="s">
        <v>2997</v>
      </c>
      <c r="AL87" s="87" t="s">
        <v>2997</v>
      </c>
      <c r="AM87" s="101" t="str">
        <f>CHOOSE(CharGenMain!$C$212,X87,Y87,Z87,AA87,AB87,AC87,AD87,AE87,AF87,AG87,AH87,AI87,AJ87,AK87,AL87)</f>
        <v>Ship is +3 Ramming Step, +1 Speed, +1 Maneuverability</v>
      </c>
      <c r="AN87" s="101" t="str">
        <f>CHOOSE(CharGenMain!$C$213,X87,Y87,Z87,AA87,AB87,AC87,AD87,AE87,AF87,AG87,AH87,AI87,AJ87,AK87,AL87)</f>
        <v>Ship is +1 Ramming Step</v>
      </c>
      <c r="AO87" s="101" t="str">
        <f>CHOOSE(CharGenMain!$C$214,X87,Y87,Z87,AA87,AB87,AC87,AD87,AE87,AF87,AG87,AH87,AI87,AJ87,AK87,AL87)</f>
        <v>Ship is +1 Ramming Step</v>
      </c>
      <c r="AP87" s="101" t="str">
        <f>CHOOSE(CharGenMain!$C$215,X87,Y87,Z87,AA87,AB87,AC87,AD87,AE87,AF87,AG87,AH87,AI87,AJ87,AK87,AL87)</f>
        <v>Ship is +2 Ramming Step, +1 Speed</v>
      </c>
      <c r="AQ87" s="101" t="str">
        <f>CHOOSE(CharGenMain!$C$216,X87,Y87,Z87,AA87,AB87,AC87,AD87,AE87,AF87,AG87,AH87,AI87,AJ87,AK87,AL87)</f>
        <v>Ship is +4 Ramming Step, +2 Speed, +1 Maneuverability, +3 Armor</v>
      </c>
      <c r="AR87" s="101" t="str">
        <f>CHOOSE(CharGenMain!$C$217,X87,Y87,Z87,AA87,AB87,AC87,AD87,AE87,AF87,AG87,AH87,AI87,AJ87,AK87,AL87)</f>
        <v>Ship is +5 Ramming Step, +2 Speed, +2 Maneuverability, +3 Armor</v>
      </c>
      <c r="AS87" s="101" t="e">
        <f>CHOOSE(CharGenMain!$C$218,X87,Y87,Z87,AA87,AB87,AC87,AD87,AE87,AF87,AG87,AH87,AI87,AJ87,AK87,AL87)</f>
        <v>#VALUE!</v>
      </c>
      <c r="AT87" s="101" t="e">
        <f>CHOOSE(CharGenMain!$C$219,X87,Y87,Z87,AA87,AB87,AC87,AD87,AE87,AF87,AG87,AH87,AI87,AJ87,AK87,AL87)</f>
        <v>#VALUE!</v>
      </c>
      <c r="AU87" s="101" t="e">
        <f>CHOOSE(CharGenMain!$C$220,X87,Y87,Z87,AA87,AB87,AC87,AD87,AE87,AF87,AG87,AH87,AI87,AJ87,AK87,AL87)</f>
        <v>#VALUE!</v>
      </c>
      <c r="AV87" s="101" t="e">
        <f>CHOOSE(CharGenMain!$C$221,X87,Y87,Z87,AA87,AB87,AC87,AD87,AE87,AF87,AG87,AH87,AI87,AJ87,AK87,AL87)</f>
        <v>#VALUE!</v>
      </c>
      <c r="AW87" s="101" t="e">
        <f>CHOOSE(CharGenMain!$C$222,X87,Y87,Z87,AA87,AB87,AC87,AD87,AE87,AF87,AG87,AH87,AI87,AJ87,AK87,AL87)</f>
        <v>#VALUE!</v>
      </c>
      <c r="AX87" s="101" t="e">
        <f>CHOOSE(CharGenMain!$C$223,X87,Y87,Z87,AA87,AB87,AC87,AD87,AE87,AF87,AG87,AH87,AI87,AJ87,AK87,AL87)</f>
        <v>#VALUE!</v>
      </c>
      <c r="AY87" s="101" t="e">
        <f>CHOOSE(CharGenMain!$C$224,X87,Y87,Z87,AA87,AB87,AC87,AD87,AE87,AF87,AG87,AH87,AI87,AJ87,AK87,AL87)</f>
        <v>#VALUE!</v>
      </c>
      <c r="AZ87" s="101" t="e">
        <f>CHOOSE(CharGenMain!$C$225,X87,Y87,Z87,AA87,AB87,AC87,AD87,AE87,AF87,AG87,AH87,AI87,AJ87,AK87,AL87)</f>
        <v>#VALUE!</v>
      </c>
      <c r="BA87" s="271" t="e">
        <f>CHOOSE(CharGenMain!$C$226,X87,Y87,Z87,AA87,AB87,AC87,AD87,AE87,AF87,AG87,AH87,AI87,AJ87,AK87,AL87)</f>
        <v>#VALUE!</v>
      </c>
    </row>
    <row r="88" spans="1:53">
      <c r="A88" s="203"/>
      <c r="F88" s="20" t="s">
        <v>1550</v>
      </c>
      <c r="G88" s="14" t="s">
        <v>2681</v>
      </c>
      <c r="H88" s="14" t="s">
        <v>5323</v>
      </c>
      <c r="I88" s="14">
        <v>3</v>
      </c>
      <c r="J88" s="14">
        <v>1</v>
      </c>
      <c r="K88" s="28" t="s">
        <v>1441</v>
      </c>
      <c r="R88" s="226" t="s">
        <v>1617</v>
      </c>
      <c r="S88" s="14" t="s">
        <v>1618</v>
      </c>
      <c r="T88" s="14" t="s">
        <v>2667</v>
      </c>
      <c r="U88" s="14">
        <v>2</v>
      </c>
      <c r="V88" s="14">
        <v>6</v>
      </c>
      <c r="W88" s="106">
        <v>15</v>
      </c>
      <c r="X88" s="206" t="s">
        <v>1619</v>
      </c>
      <c r="Y88" s="206" t="s">
        <v>1620</v>
      </c>
      <c r="Z88" s="206" t="s">
        <v>1621</v>
      </c>
      <c r="AA88" s="206" t="s">
        <v>1622</v>
      </c>
      <c r="AB88" s="206" t="s">
        <v>1623</v>
      </c>
      <c r="AC88" s="206" t="s">
        <v>1624</v>
      </c>
      <c r="AD88" s="87" t="s">
        <v>2997</v>
      </c>
      <c r="AE88" s="87" t="s">
        <v>2997</v>
      </c>
      <c r="AF88" s="87" t="s">
        <v>2997</v>
      </c>
      <c r="AG88" s="87" t="s">
        <v>2997</v>
      </c>
      <c r="AH88" s="87" t="s">
        <v>2997</v>
      </c>
      <c r="AI88" s="87" t="s">
        <v>2997</v>
      </c>
      <c r="AJ88" s="87" t="s">
        <v>2997</v>
      </c>
      <c r="AK88" s="87" t="s">
        <v>2997</v>
      </c>
      <c r="AL88" s="87" t="s">
        <v>2997</v>
      </c>
      <c r="AM88" s="101" t="str">
        <f>CHOOSE(CharGenMain!$C$212,X88,Y88,Z88,AA88,AB88,AC88,AD88,AE88,AF88,AG88,AH88,AI88,AJ88,AK88,AL88)</f>
        <v>+2 charisma, +1 soc def</v>
      </c>
      <c r="AN88" s="101" t="str">
        <f>CHOOSE(CharGenMain!$C$213,X88,Y88,Z88,AA88,AB88,AC88,AD88,AE88,AF88,AG88,AH88,AI88,AJ88,AK88,AL88)</f>
        <v>+1 charisma</v>
      </c>
      <c r="AO88" s="101" t="str">
        <f>CHOOSE(CharGenMain!$C$214,X88,Y88,Z88,AA88,AB88,AC88,AD88,AE88,AF88,AG88,AH88,AI88,AJ88,AK88,AL88)</f>
        <v>+1 charisma</v>
      </c>
      <c r="AP88" s="101" t="str">
        <f>CHOOSE(CharGenMain!$C$215,X88,Y88,Z88,AA88,AB88,AC88,AD88,AE88,AF88,AG88,AH88,AI88,AJ88,AK88,AL88)</f>
        <v>+2 charisma</v>
      </c>
      <c r="AQ88" s="101" t="str">
        <f>CHOOSE(CharGenMain!$C$216,X88,Y88,Z88,AA88,AB88,AC88,AD88,AE88,AF88,AG88,AH88,AI88,AJ88,AK88,AL88)</f>
        <v>+3 charisma, +2 soc def</v>
      </c>
      <c r="AR88" s="101" t="str">
        <f>CHOOSE(CharGenMain!$C$217,X88,Y88,Z88,AA88,AB88,AC88,AD88,AE88,AF88,AG88,AH88,AI88,AJ88,AK88,AL88)</f>
        <v>+3 charisma, +2 soc def, +1 rank hypnotize</v>
      </c>
      <c r="AS88" s="101" t="e">
        <f>CHOOSE(CharGenMain!$C$218,X88,Y88,Z88,AA88,AB88,AC88,AD88,AE88,AF88,AG88,AH88,AI88,AJ88,AK88,AL88)</f>
        <v>#VALUE!</v>
      </c>
      <c r="AT88" s="101" t="e">
        <f>CHOOSE(CharGenMain!$C$219,X88,Y88,Z88,AA88,AB88,AC88,AD88,AE88,AF88,AG88,AH88,AI88,AJ88,AK88,AL88)</f>
        <v>#VALUE!</v>
      </c>
      <c r="AU88" s="101" t="e">
        <f>CHOOSE(CharGenMain!$C$220,X88,Y88,Z88,AA88,AB88,AC88,AD88,AE88,AF88,AG88,AH88,AI88,AJ88,AK88,AL88)</f>
        <v>#VALUE!</v>
      </c>
      <c r="AV88" s="101" t="e">
        <f>CHOOSE(CharGenMain!$C$221,X88,Y88,Z88,AA88,AB88,AC88,AD88,AE88,AF88,AG88,AH88,AI88,AJ88,AK88,AL88)</f>
        <v>#VALUE!</v>
      </c>
      <c r="AW88" s="101" t="e">
        <f>CHOOSE(CharGenMain!$C$222,X88,Y88,Z88,AA88,AB88,AC88,AD88,AE88,AF88,AG88,AH88,AI88,AJ88,AK88,AL88)</f>
        <v>#VALUE!</v>
      </c>
      <c r="AX88" s="101" t="e">
        <f>CHOOSE(CharGenMain!$C$223,X88,Y88,Z88,AA88,AB88,AC88,AD88,AE88,AF88,AG88,AH88,AI88,AJ88,AK88,AL88)</f>
        <v>#VALUE!</v>
      </c>
      <c r="AY88" s="101" t="e">
        <f>CHOOSE(CharGenMain!$C$224,X88,Y88,Z88,AA88,AB88,AC88,AD88,AE88,AF88,AG88,AH88,AI88,AJ88,AK88,AL88)</f>
        <v>#VALUE!</v>
      </c>
      <c r="AZ88" s="101" t="e">
        <f>CHOOSE(CharGenMain!$C$225,X88,Y88,Z88,AA88,AB88,AC88,AD88,AE88,AF88,AG88,AH88,AI88,AJ88,AK88,AL88)</f>
        <v>#VALUE!</v>
      </c>
      <c r="BA88" s="271" t="e">
        <f>CHOOSE(CharGenMain!$C$226,X88,Y88,Z88,AA88,AB88,AC88,AD88,AE88,AF88,AG88,AH88,AI88,AJ88,AK88,AL88)</f>
        <v>#VALUE!</v>
      </c>
    </row>
    <row r="89" spans="1:53">
      <c r="A89" s="203"/>
      <c r="F89" s="22" t="s">
        <v>1330</v>
      </c>
      <c r="G89" s="23" t="s">
        <v>58</v>
      </c>
      <c r="H89" s="23" t="s">
        <v>5323</v>
      </c>
      <c r="I89" s="23">
        <v>4</v>
      </c>
      <c r="J89" s="23">
        <v>2</v>
      </c>
      <c r="K89" s="61" t="s">
        <v>1331</v>
      </c>
      <c r="R89" s="20" t="s">
        <v>1732</v>
      </c>
      <c r="S89" s="14" t="s">
        <v>1733</v>
      </c>
      <c r="T89" s="14" t="s">
        <v>2279</v>
      </c>
      <c r="U89" s="14">
        <v>2</v>
      </c>
      <c r="V89" s="14">
        <v>6</v>
      </c>
      <c r="W89" s="14">
        <v>12</v>
      </c>
      <c r="X89" s="87" t="s">
        <v>1827</v>
      </c>
      <c r="Y89" s="87" t="s">
        <v>1827</v>
      </c>
      <c r="Z89" s="87" t="s">
        <v>1827</v>
      </c>
      <c r="AA89" s="87" t="s">
        <v>1827</v>
      </c>
      <c r="AB89" s="87" t="s">
        <v>1827</v>
      </c>
      <c r="AC89" s="87" t="s">
        <v>1827</v>
      </c>
      <c r="AD89" s="87" t="s">
        <v>2997</v>
      </c>
      <c r="AE89" s="87" t="s">
        <v>2997</v>
      </c>
      <c r="AF89" s="87" t="s">
        <v>2997</v>
      </c>
      <c r="AG89" s="87" t="s">
        <v>2997</v>
      </c>
      <c r="AH89" s="87" t="s">
        <v>2997</v>
      </c>
      <c r="AI89" s="87" t="s">
        <v>2997</v>
      </c>
      <c r="AJ89" s="87" t="s">
        <v>2997</v>
      </c>
      <c r="AK89" s="87" t="s">
        <v>2997</v>
      </c>
      <c r="AL89" s="87" t="s">
        <v>2997</v>
      </c>
      <c r="AM89" s="101" t="str">
        <f>CHOOSE(CharGenMain!$C$212,X89,Y89,Z89,AA89,AB89,AC89,AD89,AE89,AF89,AG89,AH89,AI89,AJ89,AK89,AL89)</f>
        <v>bonuses to emotion song talent, see text</v>
      </c>
      <c r="AN89" s="101" t="str">
        <f>CHOOSE(CharGenMain!$C$213,X89,Y89,Z89,AA89,AB89,AC89,AD89,AE89,AF89,AG89,AH89,AI89,AJ89,AK89,AL89)</f>
        <v>bonuses to emotion song talent, see text</v>
      </c>
      <c r="AO89" s="101" t="str">
        <f>CHOOSE(CharGenMain!$C$214,X89,Y89,Z89,AA89,AB89,AC89,AD89,AE89,AF89,AG89,AH89,AI89,AJ89,AK89,AL89)</f>
        <v>bonuses to emotion song talent, see text</v>
      </c>
      <c r="AP89" s="101" t="str">
        <f>CHOOSE(CharGenMain!$C$215,X89,Y89,Z89,AA89,AB89,AC89,AD89,AE89,AF89,AG89,AH89,AI89,AJ89,AK89,AL89)</f>
        <v>bonuses to emotion song talent, see text</v>
      </c>
      <c r="AQ89" s="101" t="str">
        <f>CHOOSE(CharGenMain!$C$216,X89,Y89,Z89,AA89,AB89,AC89,AD89,AE89,AF89,AG89,AH89,AI89,AJ89,AK89,AL89)</f>
        <v>bonuses to emotion song talent, see text</v>
      </c>
      <c r="AR89" s="101" t="str">
        <f>CHOOSE(CharGenMain!$C$217,X89,Y89,Z89,AA89,AB89,AC89,AD89,AE89,AF89,AG89,AH89,AI89,AJ89,AK89,AL89)</f>
        <v>bonuses to emotion song talent, see text</v>
      </c>
      <c r="AS89" s="101" t="e">
        <f>CHOOSE(CharGenMain!$C$218,X89,Y89,Z89,AA89,AB89,AC89,AD89,AE89,AF89,AG89,AH89,AI89,AJ89,AK89,AL89)</f>
        <v>#VALUE!</v>
      </c>
      <c r="AT89" s="101" t="e">
        <f>CHOOSE(CharGenMain!$C$219,X89,Y89,Z89,AA89,AB89,AC89,AD89,AE89,AF89,AG89,AH89,AI89,AJ89,AK89,AL89)</f>
        <v>#VALUE!</v>
      </c>
      <c r="AU89" s="101" t="e">
        <f>CHOOSE(CharGenMain!$C$220,X89,Y89,Z89,AA89,AB89,AC89,AD89,AE89,AF89,AG89,AH89,AI89,AJ89,AK89,AL89)</f>
        <v>#VALUE!</v>
      </c>
      <c r="AV89" s="101" t="e">
        <f>CHOOSE(CharGenMain!$C$221,X89,Y89,Z89,AA89,AB89,AC89,AD89,AE89,AF89,AG89,AH89,AI89,AJ89,AK89,AL89)</f>
        <v>#VALUE!</v>
      </c>
      <c r="AW89" s="101" t="e">
        <f>CHOOSE(CharGenMain!$C$222,X89,Y89,Z89,AA89,AB89,AC89,AD89,AE89,AF89,AG89,AH89,AI89,AJ89,AK89,AL89)</f>
        <v>#VALUE!</v>
      </c>
      <c r="AX89" s="101" t="e">
        <f>CHOOSE(CharGenMain!$C$223,X89,Y89,Z89,AA89,AB89,AC89,AD89,AE89,AF89,AG89,AH89,AI89,AJ89,AK89,AL89)</f>
        <v>#VALUE!</v>
      </c>
      <c r="AY89" s="101" t="e">
        <f>CHOOSE(CharGenMain!$C$224,X89,Y89,Z89,AA89,AB89,AC89,AD89,AE89,AF89,AG89,AH89,AI89,AJ89,AK89,AL89)</f>
        <v>#VALUE!</v>
      </c>
      <c r="AZ89" s="101" t="e">
        <f>CHOOSE(CharGenMain!$C$225,X89,Y89,Z89,AA89,AB89,AC89,AD89,AE89,AF89,AG89,AH89,AI89,AJ89,AK89,AL89)</f>
        <v>#VALUE!</v>
      </c>
      <c r="BA89" s="271" t="e">
        <f>CHOOSE(CharGenMain!$C$226,X89,Y89,Z89,AA89,AB89,AC89,AD89,AE89,AF89,AG89,AH89,AI89,AJ89,AK89,AL89)</f>
        <v>#VALUE!</v>
      </c>
    </row>
    <row r="90" spans="1:53">
      <c r="R90" s="20" t="s">
        <v>1735</v>
      </c>
      <c r="S90" s="14" t="s">
        <v>1736</v>
      </c>
      <c r="T90" s="14" t="s">
        <v>2279</v>
      </c>
      <c r="U90" s="14">
        <v>3</v>
      </c>
      <c r="V90" s="14">
        <v>9</v>
      </c>
      <c r="W90" s="14">
        <v>19</v>
      </c>
      <c r="X90" s="87" t="s">
        <v>1539</v>
      </c>
      <c r="Y90" s="87" t="s">
        <v>1539</v>
      </c>
      <c r="Z90" s="87" t="s">
        <v>1539</v>
      </c>
      <c r="AA90" s="87" t="s">
        <v>1539</v>
      </c>
      <c r="AB90" s="87" t="s">
        <v>1539</v>
      </c>
      <c r="AC90" s="87" t="s">
        <v>1539</v>
      </c>
      <c r="AD90" s="87" t="s">
        <v>1539</v>
      </c>
      <c r="AE90" s="87" t="s">
        <v>1539</v>
      </c>
      <c r="AF90" s="87" t="s">
        <v>1539</v>
      </c>
      <c r="AG90" s="87" t="s">
        <v>2997</v>
      </c>
      <c r="AH90" s="87" t="s">
        <v>2997</v>
      </c>
      <c r="AI90" s="87" t="s">
        <v>2997</v>
      </c>
      <c r="AJ90" s="87" t="s">
        <v>2997</v>
      </c>
      <c r="AK90" s="87" t="s">
        <v>2997</v>
      </c>
      <c r="AL90" s="87" t="s">
        <v>2997</v>
      </c>
      <c r="AM90" s="101" t="str">
        <f>CHOOSE(CharGenMain!$C$212,X90,Y90,Z90,AA90,AB90,AC90,AD90,AE90,AF90,AG90,AH90,AI90,AJ90,AK90,AL90)</f>
        <v>various powers, see text</v>
      </c>
      <c r="AN90" s="101" t="str">
        <f>CHOOSE(CharGenMain!$C$213,X90,Y90,Z90,AA90,AB90,AC90,AD90,AE90,AF90,AG90,AH90,AI90,AJ90,AK90,AL90)</f>
        <v>various powers, see text</v>
      </c>
      <c r="AO90" s="101" t="str">
        <f>CHOOSE(CharGenMain!$C$214,X90,Y90,Z90,AA90,AB90,AC90,AD90,AE90,AF90,AG90,AH90,AI90,AJ90,AK90,AL90)</f>
        <v>various powers, see text</v>
      </c>
      <c r="AP90" s="101" t="str">
        <f>CHOOSE(CharGenMain!$C$215,X90,Y90,Z90,AA90,AB90,AC90,AD90,AE90,AF90,AG90,AH90,AI90,AJ90,AK90,AL90)</f>
        <v>various powers, see text</v>
      </c>
      <c r="AQ90" s="101" t="str">
        <f>CHOOSE(CharGenMain!$C$216,X90,Y90,Z90,AA90,AB90,AC90,AD90,AE90,AF90,AG90,AH90,AI90,AJ90,AK90,AL90)</f>
        <v>various powers, see text</v>
      </c>
      <c r="AR90" s="101" t="str">
        <f>CHOOSE(CharGenMain!$C$217,X90,Y90,Z90,AA90,AB90,AC90,AD90,AE90,AF90,AG90,AH90,AI90,AJ90,AK90,AL90)</f>
        <v>various powers, see text</v>
      </c>
      <c r="AS90" s="101" t="e">
        <f>CHOOSE(CharGenMain!$C$218,X90,Y90,Z90,AA90,AB90,AC90,AD90,AE90,AF90,AG90,AH90,AI90,AJ90,AK90,AL90)</f>
        <v>#VALUE!</v>
      </c>
      <c r="AT90" s="101" t="e">
        <f>CHOOSE(CharGenMain!$C$219,X90,Y90,Z90,AA90,AB90,AC90,AD90,AE90,AF90,AG90,AH90,AI90,AJ90,AK90,AL90)</f>
        <v>#VALUE!</v>
      </c>
      <c r="AU90" s="101" t="e">
        <f>CHOOSE(CharGenMain!$C$220,X90,Y90,Z90,AA90,AB90,AC90,AD90,AE90,AF90,AG90,AH90,AI90,AJ90,AK90,AL90)</f>
        <v>#VALUE!</v>
      </c>
      <c r="AV90" s="101" t="e">
        <f>CHOOSE(CharGenMain!$C$221,X90,Y90,Z90,AA90,AB90,AC90,AD90,AE90,AF90,AG90,AH90,AI90,AJ90,AK90,AL90)</f>
        <v>#VALUE!</v>
      </c>
      <c r="AW90" s="101" t="e">
        <f>CHOOSE(CharGenMain!$C$222,X90,Y90,Z90,AA90,AB90,AC90,AD90,AE90,AF90,AG90,AH90,AI90,AJ90,AK90,AL90)</f>
        <v>#VALUE!</v>
      </c>
      <c r="AX90" s="101" t="e">
        <f>CHOOSE(CharGenMain!$C$223,X90,Y90,Z90,AA90,AB90,AC90,AD90,AE90,AF90,AG90,AH90,AI90,AJ90,AK90,AL90)</f>
        <v>#VALUE!</v>
      </c>
      <c r="AY90" s="101" t="e">
        <f>CHOOSE(CharGenMain!$C$224,X90,Y90,Z90,AA90,AB90,AC90,AD90,AE90,AF90,AG90,AH90,AI90,AJ90,AK90,AL90)</f>
        <v>#VALUE!</v>
      </c>
      <c r="AZ90" s="101" t="e">
        <f>CHOOSE(CharGenMain!$C$225,X90,Y90,Z90,AA90,AB90,AC90,AD90,AE90,AF90,AG90,AH90,AI90,AJ90,AK90,AL90)</f>
        <v>#VALUE!</v>
      </c>
      <c r="BA90" s="271" t="e">
        <f>CHOOSE(CharGenMain!$C$226,X90,Y90,Z90,AA90,AB90,AC90,AD90,AE90,AF90,AG90,AH90,AI90,AJ90,AK90,AL90)</f>
        <v>#VALUE!</v>
      </c>
    </row>
    <row r="91" spans="1:53">
      <c r="M91" s="203"/>
      <c r="R91" s="20" t="s">
        <v>1739</v>
      </c>
      <c r="S91" s="14" t="s">
        <v>1740</v>
      </c>
      <c r="T91" s="14" t="s">
        <v>2279</v>
      </c>
      <c r="U91" s="14">
        <v>1</v>
      </c>
      <c r="V91" s="14">
        <v>5</v>
      </c>
      <c r="W91" s="14">
        <v>9</v>
      </c>
      <c r="X91" s="87" t="s">
        <v>1637</v>
      </c>
      <c r="Y91" s="87" t="s">
        <v>1637</v>
      </c>
      <c r="Z91" s="87" t="s">
        <v>1637</v>
      </c>
      <c r="AA91" s="87" t="s">
        <v>1637</v>
      </c>
      <c r="AB91" s="87" t="s">
        <v>1637</v>
      </c>
      <c r="AC91" s="87" t="s">
        <v>2997</v>
      </c>
      <c r="AD91" s="87" t="s">
        <v>2997</v>
      </c>
      <c r="AE91" s="87" t="s">
        <v>2997</v>
      </c>
      <c r="AF91" s="87" t="s">
        <v>2997</v>
      </c>
      <c r="AG91" s="87" t="s">
        <v>2997</v>
      </c>
      <c r="AH91" s="87" t="s">
        <v>2997</v>
      </c>
      <c r="AI91" s="87" t="s">
        <v>2997</v>
      </c>
      <c r="AJ91" s="87" t="s">
        <v>2997</v>
      </c>
      <c r="AK91" s="87" t="s">
        <v>2997</v>
      </c>
      <c r="AL91" s="87" t="s">
        <v>2997</v>
      </c>
      <c r="AM91" s="101" t="str">
        <f>CHOOSE(CharGenMain!$C$212,X91,Y91,Z91,AA91,AB91,AC91,AD91,AE91,AF91,AG91,AH91,AI91,AJ91,AK91,AL91)</f>
        <v>magical torch with various powers, see text</v>
      </c>
      <c r="AN91" s="101" t="str">
        <f>CHOOSE(CharGenMain!$C$213,X91,Y91,Z91,AA91,AB91,AC91,AD91,AE91,AF91,AG91,AH91,AI91,AJ91,AK91,AL91)</f>
        <v>magical torch with various powers, see text</v>
      </c>
      <c r="AO91" s="101" t="str">
        <f>CHOOSE(CharGenMain!$C$214,X91,Y91,Z91,AA91,AB91,AC91,AD91,AE91,AF91,AG91,AH91,AI91,AJ91,AK91,AL91)</f>
        <v>magical torch with various powers, see text</v>
      </c>
      <c r="AP91" s="101" t="str">
        <f>CHOOSE(CharGenMain!$C$215,X91,Y91,Z91,AA91,AB91,AC91,AD91,AE91,AF91,AG91,AH91,AI91,AJ91,AK91,AL91)</f>
        <v>magical torch with various powers, see text</v>
      </c>
      <c r="AQ91" s="101" t="str">
        <f>CHOOSE(CharGenMain!$C$216,X91,Y91,Z91,AA91,AB91,AC91,AD91,AE91,AF91,AG91,AH91,AI91,AJ91,AK91,AL91)</f>
        <v>magical torch with various powers, see text</v>
      </c>
      <c r="AR91" s="101" t="str">
        <f>CHOOSE(CharGenMain!$C$217,X91,Y91,Z91,AA91,AB91,AC91,AD91,AE91,AF91,AG91,AH91,AI91,AJ91,AK91,AL91)</f>
        <v>magical torch with various powers, see text</v>
      </c>
      <c r="AS91" s="101" t="e">
        <f>CHOOSE(CharGenMain!$C$218,X91,Y91,Z91,AA91,AB91,AC91,AD91,AE91,AF91,AG91,AH91,AI91,AJ91,AK91,AL91)</f>
        <v>#VALUE!</v>
      </c>
      <c r="AT91" s="101" t="e">
        <f>CHOOSE(CharGenMain!$C$219,X91,Y91,Z91,AA91,AB91,AC91,AD91,AE91,AF91,AG91,AH91,AI91,AJ91,AK91,AL91)</f>
        <v>#VALUE!</v>
      </c>
      <c r="AU91" s="101" t="e">
        <f>CHOOSE(CharGenMain!$C$220,X91,Y91,Z91,AA91,AB91,AC91,AD91,AE91,AF91,AG91,AH91,AI91,AJ91,AK91,AL91)</f>
        <v>#VALUE!</v>
      </c>
      <c r="AV91" s="101" t="e">
        <f>CHOOSE(CharGenMain!$C$221,X91,Y91,Z91,AA91,AB91,AC91,AD91,AE91,AF91,AG91,AH91,AI91,AJ91,AK91,AL91)</f>
        <v>#VALUE!</v>
      </c>
      <c r="AW91" s="101" t="e">
        <f>CHOOSE(CharGenMain!$C$222,X91,Y91,Z91,AA91,AB91,AC91,AD91,AE91,AF91,AG91,AH91,AI91,AJ91,AK91,AL91)</f>
        <v>#VALUE!</v>
      </c>
      <c r="AX91" s="101" t="e">
        <f>CHOOSE(CharGenMain!$C$223,X91,Y91,Z91,AA91,AB91,AC91,AD91,AE91,AF91,AG91,AH91,AI91,AJ91,AK91,AL91)</f>
        <v>#VALUE!</v>
      </c>
      <c r="AY91" s="101" t="e">
        <f>CHOOSE(CharGenMain!$C$224,X91,Y91,Z91,AA91,AB91,AC91,AD91,AE91,AF91,AG91,AH91,AI91,AJ91,AK91,AL91)</f>
        <v>#VALUE!</v>
      </c>
      <c r="AZ91" s="101" t="e">
        <f>CHOOSE(CharGenMain!$C$225,X91,Y91,Z91,AA91,AB91,AC91,AD91,AE91,AF91,AG91,AH91,AI91,AJ91,AK91,AL91)</f>
        <v>#VALUE!</v>
      </c>
      <c r="BA91" s="271" t="e">
        <f>CHOOSE(CharGenMain!$C$226,X91,Y91,Z91,AA91,AB91,AC91,AD91,AE91,AF91,AG91,AH91,AI91,AJ91,AK91,AL91)</f>
        <v>#VALUE!</v>
      </c>
    </row>
    <row r="92" spans="1:53">
      <c r="M92" s="203"/>
      <c r="R92" s="226" t="s">
        <v>1640</v>
      </c>
      <c r="S92" s="14" t="s">
        <v>1641</v>
      </c>
      <c r="T92" s="14" t="s">
        <v>2223</v>
      </c>
      <c r="U92" s="14">
        <v>1</v>
      </c>
      <c r="V92" s="14">
        <v>8</v>
      </c>
      <c r="W92" s="106">
        <v>8</v>
      </c>
      <c r="X92" s="206" t="s">
        <v>1619</v>
      </c>
      <c r="Y92" s="206" t="s">
        <v>1642</v>
      </c>
      <c r="Z92" s="206" t="s">
        <v>1621</v>
      </c>
      <c r="AA92" s="206" t="s">
        <v>1643</v>
      </c>
      <c r="AB92" s="206" t="s">
        <v>1643</v>
      </c>
      <c r="AC92" s="206" t="s">
        <v>1532</v>
      </c>
      <c r="AD92" s="206" t="s">
        <v>1533</v>
      </c>
      <c r="AE92" s="206" t="s">
        <v>1531</v>
      </c>
      <c r="AF92" s="87" t="s">
        <v>2997</v>
      </c>
      <c r="AG92" s="87" t="s">
        <v>2997</v>
      </c>
      <c r="AH92" s="87" t="s">
        <v>2997</v>
      </c>
      <c r="AI92" s="87" t="s">
        <v>2997</v>
      </c>
      <c r="AJ92" s="87" t="s">
        <v>2997</v>
      </c>
      <c r="AK92" s="87" t="s">
        <v>2997</v>
      </c>
      <c r="AL92" s="87" t="s">
        <v>2997</v>
      </c>
      <c r="AM92" s="101" t="str">
        <f>CHOOSE(CharGenMain!$C$212,X92,Y92,Z92,AA92,AB92,AC92,AD92,AE92,AF92,AG92,AH92,AI92,AJ92,AK92,AL92)</f>
        <v>+2 charisma, +1 soc def</v>
      </c>
      <c r="AN92" s="101" t="str">
        <f>CHOOSE(CharGenMain!$C$213,X92,Y92,Z92,AA92,AB92,AC92,AD92,AE92,AF92,AG92,AH92,AI92,AJ92,AK92,AL92)</f>
        <v>+1 charisma</v>
      </c>
      <c r="AO92" s="101" t="str">
        <f>CHOOSE(CharGenMain!$C$214,X92,Y92,Z92,AA92,AB92,AC92,AD92,AE92,AF92,AG92,AH92,AI92,AJ92,AK92,AL92)</f>
        <v>+1 charisma</v>
      </c>
      <c r="AP92" s="101" t="str">
        <f>CHOOSE(CharGenMain!$C$215,X92,Y92,Z92,AA92,AB92,AC92,AD92,AE92,AF92,AG92,AH92,AI92,AJ92,AK92,AL92)</f>
        <v>+1 charisma, +1 soc def</v>
      </c>
      <c r="AQ92" s="101" t="str">
        <f>CHOOSE(CharGenMain!$C$216,X92,Y92,Z92,AA92,AB92,AC92,AD92,AE92,AF92,AG92,AH92,AI92,AJ92,AK92,AL92)</f>
        <v>+2 charisma, +1 soc def, see text</v>
      </c>
      <c r="AR92" s="101" t="str">
        <f>CHOOSE(CharGenMain!$C$217,X92,Y92,Z92,AA92,AB92,AC92,AD92,AE92,AF92,AG92,AH92,AI92,AJ92,AK92,AL92)</f>
        <v>+2 charisma, +1 soc def, see text</v>
      </c>
      <c r="AS92" s="101" t="e">
        <f>CHOOSE(CharGenMain!$C$218,X92,Y92,Z92,AA92,AB92,AC92,AD92,AE92,AF92,AG92,AH92,AI92,AJ92,AK92,AL92)</f>
        <v>#VALUE!</v>
      </c>
      <c r="AT92" s="101" t="e">
        <f>CHOOSE(CharGenMain!$C$219,X92,Y92,Z92,AA92,AB92,AC92,AD92,AE92,AF92,AG92,AH92,AI92,AJ92,AK92,AL92)</f>
        <v>#VALUE!</v>
      </c>
      <c r="AU92" s="101" t="e">
        <f>CHOOSE(CharGenMain!$C$220,X92,Y92,Z92,AA92,AB92,AC92,AD92,AE92,AF92,AG92,AH92,AI92,AJ92,AK92,AL92)</f>
        <v>#VALUE!</v>
      </c>
      <c r="AV92" s="101" t="e">
        <f>CHOOSE(CharGenMain!$C$221,X92,Y92,Z92,AA92,AB92,AC92,AD92,AE92,AF92,AG92,AH92,AI92,AJ92,AK92,AL92)</f>
        <v>#VALUE!</v>
      </c>
      <c r="AW92" s="101" t="e">
        <f>CHOOSE(CharGenMain!$C$222,X92,Y92,Z92,AA92,AB92,AC92,AD92,AE92,AF92,AG92,AH92,AI92,AJ92,AK92,AL92)</f>
        <v>#VALUE!</v>
      </c>
      <c r="AX92" s="101" t="e">
        <f>CHOOSE(CharGenMain!$C$223,X92,Y92,Z92,AA92,AB92,AC92,AD92,AE92,AF92,AG92,AH92,AI92,AJ92,AK92,AL92)</f>
        <v>#VALUE!</v>
      </c>
      <c r="AY92" s="101" t="e">
        <f>CHOOSE(CharGenMain!$C$224,X92,Y92,Z92,AA92,AB92,AC92,AD92,AE92,AF92,AG92,AH92,AI92,AJ92,AK92,AL92)</f>
        <v>#VALUE!</v>
      </c>
      <c r="AZ92" s="101" t="e">
        <f>CHOOSE(CharGenMain!$C$225,X92,Y92,Z92,AA92,AB92,AC92,AD92,AE92,AF92,AG92,AH92,AI92,AJ92,AK92,AL92)</f>
        <v>#VALUE!</v>
      </c>
      <c r="BA92" s="271" t="e">
        <f>CHOOSE(CharGenMain!$C$226,X92,Y92,Z92,AA92,AB92,AC92,AD92,AE92,AF92,AG92,AH92,AI92,AJ92,AK92,AL92)</f>
        <v>#VALUE!</v>
      </c>
    </row>
    <row r="93" spans="1:53">
      <c r="M93" s="203"/>
      <c r="R93" s="205" t="s">
        <v>5663</v>
      </c>
      <c r="S93" s="167" t="s">
        <v>5664</v>
      </c>
      <c r="T93" s="14" t="s">
        <v>2279</v>
      </c>
      <c r="U93" s="14">
        <v>1</v>
      </c>
      <c r="V93" s="14">
        <v>15</v>
      </c>
      <c r="W93" s="14" t="s">
        <v>5665</v>
      </c>
      <c r="X93" s="207" t="s">
        <v>5675</v>
      </c>
      <c r="Y93" s="207" t="s">
        <v>5676</v>
      </c>
      <c r="Z93" s="207" t="s">
        <v>5677</v>
      </c>
      <c r="AA93" s="207" t="s">
        <v>5678</v>
      </c>
      <c r="AB93" s="207" t="s">
        <v>5679</v>
      </c>
      <c r="AC93" s="207" t="s">
        <v>5680</v>
      </c>
      <c r="AD93" s="207" t="s">
        <v>5865</v>
      </c>
      <c r="AE93" s="207" t="s">
        <v>5866</v>
      </c>
      <c r="AF93" s="207" t="s">
        <v>5867</v>
      </c>
      <c r="AG93" s="207" t="s">
        <v>5868</v>
      </c>
      <c r="AH93" s="207" t="s">
        <v>5869</v>
      </c>
      <c r="AI93" s="207" t="s">
        <v>5870</v>
      </c>
      <c r="AJ93" s="207" t="s">
        <v>5502</v>
      </c>
      <c r="AK93" s="207" t="s">
        <v>5821</v>
      </c>
      <c r="AL93" s="207" t="s">
        <v>5822</v>
      </c>
      <c r="AM93" s="101" t="str">
        <f>CHOOSE(CharGenMain!$C$212,X93,Y93,Z93,AA93,AB93,AC93,AD93,AE93,AF93,AG93,AH93,AI93,AJ93,AK93,AL93)</f>
        <v>+3 to interaction, see text</v>
      </c>
      <c r="AN93" s="101" t="str">
        <f>CHOOSE(CharGenMain!$C$213,X93,Y93,Z93,AA93,AB93,AC93,AD93,AE93,AF93,AG93,AH93,AI93,AJ93,AK93,AL93)</f>
        <v>+1 to interaction, see text</v>
      </c>
      <c r="AO93" s="101" t="str">
        <f>CHOOSE(CharGenMain!$C$214,X93,Y93,Z93,AA93,AB93,AC93,AD93,AE93,AF93,AG93,AH93,AI93,AJ93,AK93,AL93)</f>
        <v>+1 to interaction, see text</v>
      </c>
      <c r="AP93" s="101" t="str">
        <f>CHOOSE(CharGenMain!$C$215,X93,Y93,Z93,AA93,AB93,AC93,AD93,AE93,AF93,AG93,AH93,AI93,AJ93,AK93,AL93)</f>
        <v>+2 to interaction, see text</v>
      </c>
      <c r="AQ93" s="101" t="str">
        <f>CHOOSE(CharGenMain!$C$216,X93,Y93,Z93,AA93,AB93,AC93,AD93,AE93,AF93,AG93,AH93,AI93,AJ93,AK93,AL93)</f>
        <v>+4 to interaction, see text</v>
      </c>
      <c r="AR93" s="101" t="str">
        <f>CHOOSE(CharGenMain!$C$217,X93,Y93,Z93,AA93,AB93,AC93,AD93,AE93,AF93,AG93,AH93,AI93,AJ93,AK93,AL93)</f>
        <v>+5 to interaction, see text</v>
      </c>
      <c r="AS93" s="101" t="e">
        <f>CHOOSE(CharGenMain!$C$218,X93,Y93,Z93,AA93,AB93,AC93,AD93,AE93,AF93,AG93,AH93,AI93,AJ93,AK93,AL93)</f>
        <v>#VALUE!</v>
      </c>
      <c r="AT93" s="101" t="e">
        <f>CHOOSE(CharGenMain!$C$219,X93,Y93,Z93,AA93,AB93,AC93,AD93,AE93,AF93,AG93,AH93,AI93,AJ93,AK93,AL93)</f>
        <v>#VALUE!</v>
      </c>
      <c r="AU93" s="101" t="e">
        <f>CHOOSE(CharGenMain!$C$220,X93,Y93,Z93,AA93,AB93,AC93,AD93,AE93,AF93,AG93,AH93,AI93,AJ93,AK93,AL93)</f>
        <v>#VALUE!</v>
      </c>
      <c r="AV93" s="101" t="e">
        <f>CHOOSE(CharGenMain!$C$221,X93,Y93,Z93,AA93,AB93,AC93,AD93,AE93,AF93,AG93,AH93,AI93,AJ93,AK93,AL93)</f>
        <v>#VALUE!</v>
      </c>
      <c r="AW93" s="101" t="e">
        <f>CHOOSE(CharGenMain!$C$222,X93,Y93,Z93,AA93,AB93,AC93,AD93,AE93,AF93,AG93,AH93,AI93,AJ93,AK93,AL93)</f>
        <v>#VALUE!</v>
      </c>
      <c r="AX93" s="101" t="e">
        <f>CHOOSE(CharGenMain!$C$223,X93,Y93,Z93,AA93,AB93,AC93,AD93,AE93,AF93,AG93,AH93,AI93,AJ93,AK93,AL93)</f>
        <v>#VALUE!</v>
      </c>
      <c r="AY93" s="101" t="e">
        <f>CHOOSE(CharGenMain!$C$224,X93,Y93,Z93,AA93,AB93,AC93,AD93,AE93,AF93,AG93,AH93,AI93,AJ93,AK93,AL93)</f>
        <v>#VALUE!</v>
      </c>
      <c r="AZ93" s="101" t="e">
        <f>CHOOSE(CharGenMain!$C$225,X93,Y93,Z93,AA93,AB93,AC93,AD93,AE93,AF93,AG93,AH93,AI93,AJ93,AK93,AL93)</f>
        <v>#VALUE!</v>
      </c>
      <c r="BA93" s="271" t="e">
        <f>CHOOSE(CharGenMain!$C$226,X93,Y93,Z93,AA93,AB93,AC93,AD93,AE93,AF93,AG93,AH93,AI93,AJ93,AK93,AL93)</f>
        <v>#VALUE!</v>
      </c>
    </row>
    <row r="94" spans="1:53">
      <c r="M94" s="203"/>
      <c r="R94" s="205" t="s">
        <v>5823</v>
      </c>
      <c r="S94" s="167" t="s">
        <v>5664</v>
      </c>
      <c r="T94" s="14" t="s">
        <v>2279</v>
      </c>
      <c r="U94" s="14">
        <v>1</v>
      </c>
      <c r="V94" s="14">
        <v>10</v>
      </c>
      <c r="W94" s="14" t="s">
        <v>5665</v>
      </c>
      <c r="X94" s="207" t="s">
        <v>5675</v>
      </c>
      <c r="Y94" s="207" t="s">
        <v>5676</v>
      </c>
      <c r="Z94" s="207" t="s">
        <v>5677</v>
      </c>
      <c r="AA94" s="207" t="s">
        <v>5678</v>
      </c>
      <c r="AB94" s="207" t="s">
        <v>5679</v>
      </c>
      <c r="AC94" s="207" t="s">
        <v>5680</v>
      </c>
      <c r="AD94" s="207" t="s">
        <v>5865</v>
      </c>
      <c r="AE94" s="207" t="s">
        <v>5866</v>
      </c>
      <c r="AF94" s="207" t="s">
        <v>5867</v>
      </c>
      <c r="AG94" s="207" t="s">
        <v>5868</v>
      </c>
      <c r="AH94" s="87" t="s">
        <v>2997</v>
      </c>
      <c r="AI94" s="87" t="s">
        <v>2997</v>
      </c>
      <c r="AJ94" s="87" t="s">
        <v>2997</v>
      </c>
      <c r="AK94" s="87" t="s">
        <v>2997</v>
      </c>
      <c r="AL94" s="87" t="s">
        <v>2997</v>
      </c>
      <c r="AM94" s="101" t="str">
        <f>CHOOSE(CharGenMain!$C$212,X94,Y94,Z94,AA94,AB94,AC94,AD94,AE94,AF94,AG94,AH94,AI94,AJ94,AK94,AL94)</f>
        <v>+3 to interaction, see text</v>
      </c>
      <c r="AN94" s="101" t="str">
        <f>CHOOSE(CharGenMain!$C$213,X94,Y94,Z94,AA94,AB94,AC94,AD94,AE94,AF94,AG94,AH94,AI94,AJ94,AK94,AL94)</f>
        <v>+1 to interaction, see text</v>
      </c>
      <c r="AO94" s="101" t="str">
        <f>CHOOSE(CharGenMain!$C$214,X94,Y94,Z94,AA94,AB94,AC94,AD94,AE94,AF94,AG94,AH94,AI94,AJ94,AK94,AL94)</f>
        <v>+1 to interaction, see text</v>
      </c>
      <c r="AP94" s="101" t="str">
        <f>CHOOSE(CharGenMain!$C$215,X94,Y94,Z94,AA94,AB94,AC94,AD94,AE94,AF94,AG94,AH94,AI94,AJ94,AK94,AL94)</f>
        <v>+2 to interaction, see text</v>
      </c>
      <c r="AQ94" s="101" t="str">
        <f>CHOOSE(CharGenMain!$C$216,X94,Y94,Z94,AA94,AB94,AC94,AD94,AE94,AF94,AG94,AH94,AI94,AJ94,AK94,AL94)</f>
        <v>+4 to interaction, see text</v>
      </c>
      <c r="AR94" s="101" t="str">
        <f>CHOOSE(CharGenMain!$C$217,X94,Y94,Z94,AA94,AB94,AC94,AD94,AE94,AF94,AG94,AH94,AI94,AJ94,AK94,AL94)</f>
        <v>+5 to interaction, see text</v>
      </c>
      <c r="AS94" s="101" t="e">
        <f>CHOOSE(CharGenMain!$C$218,X94,Y94,Z94,AA94,AB94,AC94,AD94,AE94,AF94,AG94,AH94,AI94,AJ94,AK94,AL94)</f>
        <v>#VALUE!</v>
      </c>
      <c r="AT94" s="101" t="e">
        <f>CHOOSE(CharGenMain!$C$219,X94,Y94,Z94,AA94,AB94,AC94,AD94,AE94,AF94,AG94,AH94,AI94,AJ94,AK94,AL94)</f>
        <v>#VALUE!</v>
      </c>
      <c r="AU94" s="101" t="e">
        <f>CHOOSE(CharGenMain!$C$220,X94,Y94,Z94,AA94,AB94,AC94,AD94,AE94,AF94,AG94,AH94,AI94,AJ94,AK94,AL94)</f>
        <v>#VALUE!</v>
      </c>
      <c r="AV94" s="101" t="e">
        <f>CHOOSE(CharGenMain!$C$221,X94,Y94,Z94,AA94,AB94,AC94,AD94,AE94,AF94,AG94,AH94,AI94,AJ94,AK94,AL94)</f>
        <v>#VALUE!</v>
      </c>
      <c r="AW94" s="101" t="e">
        <f>CHOOSE(CharGenMain!$C$222,X94,Y94,Z94,AA94,AB94,AC94,AD94,AE94,AF94,AG94,AH94,AI94,AJ94,AK94,AL94)</f>
        <v>#VALUE!</v>
      </c>
      <c r="AX94" s="101" t="e">
        <f>CHOOSE(CharGenMain!$C$223,X94,Y94,Z94,AA94,AB94,AC94,AD94,AE94,AF94,AG94,AH94,AI94,AJ94,AK94,AL94)</f>
        <v>#VALUE!</v>
      </c>
      <c r="AY94" s="101" t="e">
        <f>CHOOSE(CharGenMain!$C$224,X94,Y94,Z94,AA94,AB94,AC94,AD94,AE94,AF94,AG94,AH94,AI94,AJ94,AK94,AL94)</f>
        <v>#VALUE!</v>
      </c>
      <c r="AZ94" s="101" t="e">
        <f>CHOOSE(CharGenMain!$C$225,X94,Y94,Z94,AA94,AB94,AC94,AD94,AE94,AF94,AG94,AH94,AI94,AJ94,AK94,AL94)</f>
        <v>#VALUE!</v>
      </c>
      <c r="BA94" s="271" t="e">
        <f>CHOOSE(CharGenMain!$C$226,X94,Y94,Z94,AA94,AB94,AC94,AD94,AE94,AF94,AG94,AH94,AI94,AJ94,AK94,AL94)</f>
        <v>#VALUE!</v>
      </c>
    </row>
    <row r="95" spans="1:53">
      <c r="F95" s="203"/>
      <c r="M95" s="203"/>
      <c r="R95" s="205" t="s">
        <v>5824</v>
      </c>
      <c r="S95" s="167" t="s">
        <v>5664</v>
      </c>
      <c r="T95" s="14" t="s">
        <v>2279</v>
      </c>
      <c r="U95" s="14">
        <v>1</v>
      </c>
      <c r="V95" s="14">
        <v>5</v>
      </c>
      <c r="W95" s="14" t="s">
        <v>5665</v>
      </c>
      <c r="X95" s="207" t="s">
        <v>5675</v>
      </c>
      <c r="Y95" s="207" t="s">
        <v>5676</v>
      </c>
      <c r="Z95" s="207" t="s">
        <v>5677</v>
      </c>
      <c r="AA95" s="207" t="s">
        <v>5678</v>
      </c>
      <c r="AB95" s="207" t="s">
        <v>5679</v>
      </c>
      <c r="AC95" s="87" t="s">
        <v>2997</v>
      </c>
      <c r="AD95" s="87" t="s">
        <v>2997</v>
      </c>
      <c r="AE95" s="87" t="s">
        <v>2997</v>
      </c>
      <c r="AF95" s="87" t="s">
        <v>2997</v>
      </c>
      <c r="AG95" s="87" t="s">
        <v>2997</v>
      </c>
      <c r="AH95" s="87" t="s">
        <v>2997</v>
      </c>
      <c r="AI95" s="87" t="s">
        <v>2997</v>
      </c>
      <c r="AJ95" s="87" t="s">
        <v>2997</v>
      </c>
      <c r="AK95" s="87" t="s">
        <v>2997</v>
      </c>
      <c r="AL95" s="87" t="s">
        <v>2997</v>
      </c>
      <c r="AM95" s="101" t="str">
        <f>CHOOSE(CharGenMain!$C$212,X95,Y95,Z95,AA95,AB95,AC95,AD95,AE95,AF95,AG95,AH95,AI95,AJ95,AK95,AL95)</f>
        <v>+3 to interaction, see text</v>
      </c>
      <c r="AN95" s="101" t="str">
        <f>CHOOSE(CharGenMain!$C$213,X95,Y95,Z95,AA95,AB95,AC95,AD95,AE95,AF95,AG95,AH95,AI95,AJ95,AK95,AL95)</f>
        <v>+1 to interaction, see text</v>
      </c>
      <c r="AO95" s="101" t="str">
        <f>CHOOSE(CharGenMain!$C$214,X95,Y95,Z95,AA95,AB95,AC95,AD95,AE95,AF95,AG95,AH95,AI95,AJ95,AK95,AL95)</f>
        <v>+1 to interaction, see text</v>
      </c>
      <c r="AP95" s="101" t="str">
        <f>CHOOSE(CharGenMain!$C$215,X95,Y95,Z95,AA95,AB95,AC95,AD95,AE95,AF95,AG95,AH95,AI95,AJ95,AK95,AL95)</f>
        <v>+2 to interaction, see text</v>
      </c>
      <c r="AQ95" s="101" t="str">
        <f>CHOOSE(CharGenMain!$C$216,X95,Y95,Z95,AA95,AB95,AC95,AD95,AE95,AF95,AG95,AH95,AI95,AJ95,AK95,AL95)</f>
        <v>+4 to interaction, see text</v>
      </c>
      <c r="AR95" s="101" t="str">
        <f>CHOOSE(CharGenMain!$C$217,X95,Y95,Z95,AA95,AB95,AC95,AD95,AE95,AF95,AG95,AH95,AI95,AJ95,AK95,AL95)</f>
        <v>+5 to interaction, see text</v>
      </c>
      <c r="AS95" s="101" t="e">
        <f>CHOOSE(CharGenMain!$C$218,X95,Y95,Z95,AA95,AB95,AC95,AD95,AE95,AF95,AG95,AH95,AI95,AJ95,AK95,AL95)</f>
        <v>#VALUE!</v>
      </c>
      <c r="AT95" s="101" t="e">
        <f>CHOOSE(CharGenMain!$C$219,X95,Y95,Z95,AA95,AB95,AC95,AD95,AE95,AF95,AG95,AH95,AI95,AJ95,AK95,AL95)</f>
        <v>#VALUE!</v>
      </c>
      <c r="AU95" s="101" t="e">
        <f>CHOOSE(CharGenMain!$C$220,X95,Y95,Z95,AA95,AB95,AC95,AD95,AE95,AF95,AG95,AH95,AI95,AJ95,AK95,AL95)</f>
        <v>#VALUE!</v>
      </c>
      <c r="AV95" s="101" t="e">
        <f>CHOOSE(CharGenMain!$C$221,X95,Y95,Z95,AA95,AB95,AC95,AD95,AE95,AF95,AG95,AH95,AI95,AJ95,AK95,AL95)</f>
        <v>#VALUE!</v>
      </c>
      <c r="AW95" s="101" t="e">
        <f>CHOOSE(CharGenMain!$C$222,X95,Y95,Z95,AA95,AB95,AC95,AD95,AE95,AF95,AG95,AH95,AI95,AJ95,AK95,AL95)</f>
        <v>#VALUE!</v>
      </c>
      <c r="AX95" s="101" t="e">
        <f>CHOOSE(CharGenMain!$C$223,X95,Y95,Z95,AA95,AB95,AC95,AD95,AE95,AF95,AG95,AH95,AI95,AJ95,AK95,AL95)</f>
        <v>#VALUE!</v>
      </c>
      <c r="AY95" s="101" t="e">
        <f>CHOOSE(CharGenMain!$C$224,X95,Y95,Z95,AA95,AB95,AC95,AD95,AE95,AF95,AG95,AH95,AI95,AJ95,AK95,AL95)</f>
        <v>#VALUE!</v>
      </c>
      <c r="AZ95" s="101" t="e">
        <f>CHOOSE(CharGenMain!$C$225,X95,Y95,Z95,AA95,AB95,AC95,AD95,AE95,AF95,AG95,AH95,AI95,AJ95,AK95,AL95)</f>
        <v>#VALUE!</v>
      </c>
      <c r="BA95" s="271" t="e">
        <f>CHOOSE(CharGenMain!$C$226,X95,Y95,Z95,AA95,AB95,AC95,AD95,AE95,AF95,AG95,AH95,AI95,AJ95,AK95,AL95)</f>
        <v>#VALUE!</v>
      </c>
    </row>
    <row r="96" spans="1:53">
      <c r="F96" s="203"/>
      <c r="M96" s="203"/>
      <c r="R96" s="226" t="s">
        <v>1541</v>
      </c>
      <c r="S96" s="14" t="s">
        <v>1542</v>
      </c>
      <c r="T96" s="14" t="s">
        <v>2223</v>
      </c>
      <c r="U96" s="14">
        <v>1</v>
      </c>
      <c r="V96" s="14">
        <v>4</v>
      </c>
      <c r="W96" s="14">
        <v>8</v>
      </c>
      <c r="X96" s="87" t="s">
        <v>1543</v>
      </c>
      <c r="Y96" s="87" t="s">
        <v>1553</v>
      </c>
      <c r="Z96" s="87" t="s">
        <v>1554</v>
      </c>
      <c r="AA96" s="87" t="s">
        <v>1549</v>
      </c>
      <c r="AB96" s="87" t="s">
        <v>2997</v>
      </c>
      <c r="AC96" s="87" t="s">
        <v>2997</v>
      </c>
      <c r="AD96" s="87" t="s">
        <v>2997</v>
      </c>
      <c r="AE96" s="87" t="s">
        <v>2997</v>
      </c>
      <c r="AF96" s="87" t="s">
        <v>2997</v>
      </c>
      <c r="AG96" s="87" t="s">
        <v>2997</v>
      </c>
      <c r="AH96" s="87" t="s">
        <v>2997</v>
      </c>
      <c r="AI96" s="87" t="s">
        <v>2997</v>
      </c>
      <c r="AJ96" s="87" t="s">
        <v>2997</v>
      </c>
      <c r="AK96" s="87" t="s">
        <v>2997</v>
      </c>
      <c r="AL96" s="87" t="s">
        <v>2997</v>
      </c>
      <c r="AM96" s="101" t="str">
        <f>CHOOSE(CharGenMain!$C$212,X96,Y96,Z96,AA96,AB96,AC96,AD96,AE96,AF96,AG96,AH96,AI96,AJ96,AK96,AL96)</f>
        <v>recovery +8, poison resistance +4</v>
      </c>
      <c r="AN96" s="101" t="str">
        <f>CHOOSE(CharGenMain!$C$213,X96,Y96,Z96,AA96,AB96,AC96,AD96,AE96,AF96,AG96,AH96,AI96,AJ96,AK96,AL96)</f>
        <v>recovery +6</v>
      </c>
      <c r="AO96" s="101" t="str">
        <f>CHOOSE(CharGenMain!$C$214,X96,Y96,Z96,AA96,AB96,AC96,AD96,AE96,AF96,AG96,AH96,AI96,AJ96,AK96,AL96)</f>
        <v>recovery +6</v>
      </c>
      <c r="AP96" s="101" t="str">
        <f>CHOOSE(CharGenMain!$C$215,X96,Y96,Z96,AA96,AB96,AC96,AD96,AE96,AF96,AG96,AH96,AI96,AJ96,AK96,AL96)</f>
        <v>recovery +8</v>
      </c>
      <c r="AQ96" s="101" t="str">
        <f>CHOOSE(CharGenMain!$C$216,X96,Y96,Z96,AA96,AB96,AC96,AD96,AE96,AF96,AG96,AH96,AI96,AJ96,AK96,AL96)</f>
        <v>recovery +9, poison resistance +6</v>
      </c>
      <c r="AR96" s="101" t="str">
        <f>CHOOSE(CharGenMain!$C$217,X96,Y96,Z96,AA96,AB96,AC96,AD96,AE96,AF96,AG96,AH96,AI96,AJ96,AK96,AL96)</f>
        <v>Thread Max Exceeded</v>
      </c>
      <c r="AS96" s="101" t="e">
        <f>CHOOSE(CharGenMain!$C$218,X96,Y96,Z96,AA96,AB96,AC96,AD96,AE96,AF96,AG96,AH96,AI96,AJ96,AK96,AL96)</f>
        <v>#VALUE!</v>
      </c>
      <c r="AT96" s="101" t="e">
        <f>CHOOSE(CharGenMain!$C$219,X96,Y96,Z96,AA96,AB96,AC96,AD96,AE96,AF96,AG96,AH96,AI96,AJ96,AK96,AL96)</f>
        <v>#VALUE!</v>
      </c>
      <c r="AU96" s="101" t="e">
        <f>CHOOSE(CharGenMain!$C$220,X96,Y96,Z96,AA96,AB96,AC96,AD96,AE96,AF96,AG96,AH96,AI96,AJ96,AK96,AL96)</f>
        <v>#VALUE!</v>
      </c>
      <c r="AV96" s="101" t="e">
        <f>CHOOSE(CharGenMain!$C$221,X96,Y96,Z96,AA96,AB96,AC96,AD96,AE96,AF96,AG96,AH96,AI96,AJ96,AK96,AL96)</f>
        <v>#VALUE!</v>
      </c>
      <c r="AW96" s="101" t="e">
        <f>CHOOSE(CharGenMain!$C$222,X96,Y96,Z96,AA96,AB96,AC96,AD96,AE96,AF96,AG96,AH96,AI96,AJ96,AK96,AL96)</f>
        <v>#VALUE!</v>
      </c>
      <c r="AX96" s="101" t="e">
        <f>CHOOSE(CharGenMain!$C$223,X96,Y96,Z96,AA96,AB96,AC96,AD96,AE96,AF96,AG96,AH96,AI96,AJ96,AK96,AL96)</f>
        <v>#VALUE!</v>
      </c>
      <c r="AY96" s="101" t="e">
        <f>CHOOSE(CharGenMain!$C$224,X96,Y96,Z96,AA96,AB96,AC96,AD96,AE96,AF96,AG96,AH96,AI96,AJ96,AK96,AL96)</f>
        <v>#VALUE!</v>
      </c>
      <c r="AZ96" s="101" t="e">
        <f>CHOOSE(CharGenMain!$C$225,X96,Y96,Z96,AA96,AB96,AC96,AD96,AE96,AF96,AG96,AH96,AI96,AJ96,AK96,AL96)</f>
        <v>#VALUE!</v>
      </c>
      <c r="BA96" s="271" t="e">
        <f>CHOOSE(CharGenMain!$C$226,X96,Y96,Z96,AA96,AB96,AC96,AD96,AE96,AF96,AG96,AH96,AI96,AJ96,AK96,AL96)</f>
        <v>#VALUE!</v>
      </c>
    </row>
    <row r="97" spans="6:53">
      <c r="F97" s="203"/>
      <c r="M97" s="203"/>
      <c r="R97" s="226" t="s">
        <v>1442</v>
      </c>
      <c r="S97" s="14" t="s">
        <v>1826</v>
      </c>
      <c r="T97" s="14" t="s">
        <v>2667</v>
      </c>
      <c r="U97" s="14">
        <v>2</v>
      </c>
      <c r="V97" s="14">
        <v>4</v>
      </c>
      <c r="W97" s="14">
        <v>13</v>
      </c>
      <c r="X97" s="87" t="s">
        <v>1443</v>
      </c>
      <c r="Y97" s="87" t="s">
        <v>1444</v>
      </c>
      <c r="Z97" s="87" t="s">
        <v>1328</v>
      </c>
      <c r="AA97" s="87" t="s">
        <v>1329</v>
      </c>
      <c r="AB97" s="87" t="s">
        <v>2997</v>
      </c>
      <c r="AC97" s="87" t="s">
        <v>2997</v>
      </c>
      <c r="AD97" s="87" t="s">
        <v>2997</v>
      </c>
      <c r="AE97" s="87" t="s">
        <v>2997</v>
      </c>
      <c r="AF97" s="87" t="s">
        <v>2997</v>
      </c>
      <c r="AG97" s="87" t="s">
        <v>2997</v>
      </c>
      <c r="AH97" s="87" t="s">
        <v>2997</v>
      </c>
      <c r="AI97" s="87" t="s">
        <v>2997</v>
      </c>
      <c r="AJ97" s="87" t="s">
        <v>2997</v>
      </c>
      <c r="AK97" s="87" t="s">
        <v>2997</v>
      </c>
      <c r="AL97" s="87" t="s">
        <v>2997</v>
      </c>
      <c r="AM97" s="101" t="str">
        <f>CHOOSE(CharGenMain!$C$212,X97,Y97,Z97,AA97,AB97,AC97,AD97,AE97,AF97,AG97,AH97,AI97,AJ97,AK97,AL97)</f>
        <v>holds 100 lbs with no weight</v>
      </c>
      <c r="AN97" s="101" t="str">
        <f>CHOOSE(CharGenMain!$C$213,X97,Y97,Z97,AA97,AB97,AC97,AD97,AE97,AF97,AG97,AH97,AI97,AJ97,AK97,AL97)</f>
        <v>holds 50 lbs with no weight</v>
      </c>
      <c r="AO97" s="101" t="str">
        <f>CHOOSE(CharGenMain!$C$214,X97,Y97,Z97,AA97,AB97,AC97,AD97,AE97,AF97,AG97,AH97,AI97,AJ97,AK97,AL97)</f>
        <v>holds 50 lbs with no weight</v>
      </c>
      <c r="AP97" s="101" t="str">
        <f>CHOOSE(CharGenMain!$C$215,X97,Y97,Z97,AA97,AB97,AC97,AD97,AE97,AF97,AG97,AH97,AI97,AJ97,AK97,AL97)</f>
        <v>holds 75 lbs with no weight</v>
      </c>
      <c r="AQ97" s="101" t="str">
        <f>CHOOSE(CharGenMain!$C$216,X97,Y97,Z97,AA97,AB97,AC97,AD97,AE97,AF97,AG97,AH97,AI97,AJ97,AK97,AL97)</f>
        <v>holds 200 lbs with no weight</v>
      </c>
      <c r="AR97" s="101" t="str">
        <f>CHOOSE(CharGenMain!$C$217,X97,Y97,Z97,AA97,AB97,AC97,AD97,AE97,AF97,AG97,AH97,AI97,AJ97,AK97,AL97)</f>
        <v>Thread Max Exceeded</v>
      </c>
      <c r="AS97" s="101" t="e">
        <f>CHOOSE(CharGenMain!$C$218,X97,Y97,Z97,AA97,AB97,AC97,AD97,AE97,AF97,AG97,AH97,AI97,AJ97,AK97,AL97)</f>
        <v>#VALUE!</v>
      </c>
      <c r="AT97" s="101" t="e">
        <f>CHOOSE(CharGenMain!$C$219,X97,Y97,Z97,AA97,AB97,AC97,AD97,AE97,AF97,AG97,AH97,AI97,AJ97,AK97,AL97)</f>
        <v>#VALUE!</v>
      </c>
      <c r="AU97" s="101" t="e">
        <f>CHOOSE(CharGenMain!$C$220,X97,Y97,Z97,AA97,AB97,AC97,AD97,AE97,AF97,AG97,AH97,AI97,AJ97,AK97,AL97)</f>
        <v>#VALUE!</v>
      </c>
      <c r="AV97" s="101" t="e">
        <f>CHOOSE(CharGenMain!$C$221,X97,Y97,Z97,AA97,AB97,AC97,AD97,AE97,AF97,AG97,AH97,AI97,AJ97,AK97,AL97)</f>
        <v>#VALUE!</v>
      </c>
      <c r="AW97" s="101" t="e">
        <f>CHOOSE(CharGenMain!$C$222,X97,Y97,Z97,AA97,AB97,AC97,AD97,AE97,AF97,AG97,AH97,AI97,AJ97,AK97,AL97)</f>
        <v>#VALUE!</v>
      </c>
      <c r="AX97" s="101" t="e">
        <f>CHOOSE(CharGenMain!$C$223,X97,Y97,Z97,AA97,AB97,AC97,AD97,AE97,AF97,AG97,AH97,AI97,AJ97,AK97,AL97)</f>
        <v>#VALUE!</v>
      </c>
      <c r="AY97" s="101" t="e">
        <f>CHOOSE(CharGenMain!$C$224,X97,Y97,Z97,AA97,AB97,AC97,AD97,AE97,AF97,AG97,AH97,AI97,AJ97,AK97,AL97)</f>
        <v>#VALUE!</v>
      </c>
      <c r="AZ97" s="101" t="e">
        <f>CHOOSE(CharGenMain!$C$225,X97,Y97,Z97,AA97,AB97,AC97,AD97,AE97,AF97,AG97,AH97,AI97,AJ97,AK97,AL97)</f>
        <v>#VALUE!</v>
      </c>
      <c r="BA97" s="271" t="e">
        <f>CHOOSE(CharGenMain!$C$226,X97,Y97,Z97,AA97,AB97,AC97,AD97,AE97,AF97,AG97,AH97,AI97,AJ97,AK97,AL97)</f>
        <v>#VALUE!</v>
      </c>
    </row>
    <row r="98" spans="6:53">
      <c r="F98" s="203"/>
      <c r="M98" s="203"/>
      <c r="R98" s="226" t="s">
        <v>1445</v>
      </c>
      <c r="S98" s="14" t="s">
        <v>1641</v>
      </c>
      <c r="T98" s="14" t="s">
        <v>2223</v>
      </c>
      <c r="U98" s="14">
        <v>2</v>
      </c>
      <c r="V98" s="14">
        <v>7</v>
      </c>
      <c r="W98" s="14">
        <v>13</v>
      </c>
      <c r="X98" s="87" t="s">
        <v>1446</v>
      </c>
      <c r="Y98" s="87" t="s">
        <v>1446</v>
      </c>
      <c r="Z98" s="87" t="s">
        <v>1446</v>
      </c>
      <c r="AA98" s="87" t="s">
        <v>1446</v>
      </c>
      <c r="AB98" s="87" t="s">
        <v>1446</v>
      </c>
      <c r="AC98" s="87" t="s">
        <v>1446</v>
      </c>
      <c r="AD98" s="87" t="s">
        <v>1446</v>
      </c>
      <c r="AE98" s="87" t="s">
        <v>2997</v>
      </c>
      <c r="AF98" s="87" t="s">
        <v>2997</v>
      </c>
      <c r="AG98" s="87" t="s">
        <v>2997</v>
      </c>
      <c r="AH98" s="87" t="s">
        <v>2997</v>
      </c>
      <c r="AI98" s="87" t="s">
        <v>2997</v>
      </c>
      <c r="AJ98" s="87" t="s">
        <v>2997</v>
      </c>
      <c r="AK98" s="87" t="s">
        <v>2997</v>
      </c>
      <c r="AL98" s="87" t="s">
        <v>2997</v>
      </c>
      <c r="AM98" s="101" t="str">
        <f>CHOOSE(CharGenMain!$C$212,X98,Y98,Z98,AA98,AB98,AC98,AD98,AE98,AF98,AG98,AH98,AI98,AJ98,AK98,AL98)</f>
        <v>holds spell matrices, see text</v>
      </c>
      <c r="AN98" s="101" t="str">
        <f>CHOOSE(CharGenMain!$C$213,X98,Y98,Z98,AA98,AB98,AC98,AD98,AE98,AF98,AG98,AH98,AI98,AJ98,AK98,AL98)</f>
        <v>holds spell matrices, see text</v>
      </c>
      <c r="AO98" s="101" t="str">
        <f>CHOOSE(CharGenMain!$C$214,X98,Y98,Z98,AA98,AB98,AC98,AD98,AE98,AF98,AG98,AH98,AI98,AJ98,AK98,AL98)</f>
        <v>holds spell matrices, see text</v>
      </c>
      <c r="AP98" s="101" t="str">
        <f>CHOOSE(CharGenMain!$C$215,X98,Y98,Z98,AA98,AB98,AC98,AD98,AE98,AF98,AG98,AH98,AI98,AJ98,AK98,AL98)</f>
        <v>holds spell matrices, see text</v>
      </c>
      <c r="AQ98" s="101" t="str">
        <f>CHOOSE(CharGenMain!$C$216,X98,Y98,Z98,AA98,AB98,AC98,AD98,AE98,AF98,AG98,AH98,AI98,AJ98,AK98,AL98)</f>
        <v>holds spell matrices, see text</v>
      </c>
      <c r="AR98" s="101" t="str">
        <f>CHOOSE(CharGenMain!$C$217,X98,Y98,Z98,AA98,AB98,AC98,AD98,AE98,AF98,AG98,AH98,AI98,AJ98,AK98,AL98)</f>
        <v>holds spell matrices, see text</v>
      </c>
      <c r="AS98" s="101" t="e">
        <f>CHOOSE(CharGenMain!$C$218,X98,Y98,Z98,AA98,AB98,AC98,AD98,AE98,AF98,AG98,AH98,AI98,AJ98,AK98,AL98)</f>
        <v>#VALUE!</v>
      </c>
      <c r="AT98" s="101" t="e">
        <f>CHOOSE(CharGenMain!$C$219,X98,Y98,Z98,AA98,AB98,AC98,AD98,AE98,AF98,AG98,AH98,AI98,AJ98,AK98,AL98)</f>
        <v>#VALUE!</v>
      </c>
      <c r="AU98" s="101" t="e">
        <f>CHOOSE(CharGenMain!$C$220,X98,Y98,Z98,AA98,AB98,AC98,AD98,AE98,AF98,AG98,AH98,AI98,AJ98,AK98,AL98)</f>
        <v>#VALUE!</v>
      </c>
      <c r="AV98" s="101" t="e">
        <f>CHOOSE(CharGenMain!$C$221,X98,Y98,Z98,AA98,AB98,AC98,AD98,AE98,AF98,AG98,AH98,AI98,AJ98,AK98,AL98)</f>
        <v>#VALUE!</v>
      </c>
      <c r="AW98" s="101" t="e">
        <f>CHOOSE(CharGenMain!$C$222,X98,Y98,Z98,AA98,AB98,AC98,AD98,AE98,AF98,AG98,AH98,AI98,AJ98,AK98,AL98)</f>
        <v>#VALUE!</v>
      </c>
      <c r="AX98" s="101" t="e">
        <f>CHOOSE(CharGenMain!$C$223,X98,Y98,Z98,AA98,AB98,AC98,AD98,AE98,AF98,AG98,AH98,AI98,AJ98,AK98,AL98)</f>
        <v>#VALUE!</v>
      </c>
      <c r="AY98" s="101" t="e">
        <f>CHOOSE(CharGenMain!$C$224,X98,Y98,Z98,AA98,AB98,AC98,AD98,AE98,AF98,AG98,AH98,AI98,AJ98,AK98,AL98)</f>
        <v>#VALUE!</v>
      </c>
      <c r="AZ98" s="101" t="e">
        <f>CHOOSE(CharGenMain!$C$225,X98,Y98,Z98,AA98,AB98,AC98,AD98,AE98,AF98,AG98,AH98,AI98,AJ98,AK98,AL98)</f>
        <v>#VALUE!</v>
      </c>
      <c r="BA98" s="271" t="e">
        <f>CHOOSE(CharGenMain!$C$226,X98,Y98,Z98,AA98,AB98,AC98,AD98,AE98,AF98,AG98,AH98,AI98,AJ98,AK98,AL98)</f>
        <v>#VALUE!</v>
      </c>
    </row>
    <row r="99" spans="6:53">
      <c r="F99" s="203"/>
      <c r="M99" s="203"/>
      <c r="R99" s="226" t="s">
        <v>1447</v>
      </c>
      <c r="S99" s="14" t="s">
        <v>1448</v>
      </c>
      <c r="T99" s="14" t="s">
        <v>2223</v>
      </c>
      <c r="U99" s="14">
        <v>2</v>
      </c>
      <c r="V99" s="14">
        <v>6</v>
      </c>
      <c r="W99" s="14">
        <v>14</v>
      </c>
      <c r="X99" s="87" t="s">
        <v>1559</v>
      </c>
      <c r="Y99" s="87" t="s">
        <v>1559</v>
      </c>
      <c r="Z99" s="87" t="s">
        <v>1559</v>
      </c>
      <c r="AA99" s="87" t="s">
        <v>1559</v>
      </c>
      <c r="AB99" s="87" t="s">
        <v>1559</v>
      </c>
      <c r="AC99" s="87" t="s">
        <v>1559</v>
      </c>
      <c r="AD99" s="87" t="s">
        <v>2997</v>
      </c>
      <c r="AE99" s="87" t="s">
        <v>2997</v>
      </c>
      <c r="AF99" s="87" t="s">
        <v>2997</v>
      </c>
      <c r="AG99" s="87" t="s">
        <v>2997</v>
      </c>
      <c r="AH99" s="87" t="s">
        <v>2997</v>
      </c>
      <c r="AI99" s="87" t="s">
        <v>2997</v>
      </c>
      <c r="AJ99" s="87" t="s">
        <v>2997</v>
      </c>
      <c r="AK99" s="87" t="s">
        <v>2997</v>
      </c>
      <c r="AL99" s="87" t="s">
        <v>2997</v>
      </c>
      <c r="AM99" s="101" t="str">
        <f>CHOOSE(CharGenMain!$C$212,X99,Y99,Z99,AA99,AB99,AC99,AD99,AE99,AF99,AG99,AH99,AI99,AJ99,AK99,AL99)</f>
        <v>duplicates coins, see text</v>
      </c>
      <c r="AN99" s="101" t="str">
        <f>CHOOSE(CharGenMain!$C$213,X99,Y99,Z99,AA99,AB99,AC99,AD99,AE99,AF99,AG99,AH99,AI99,AJ99,AK99,AL99)</f>
        <v>duplicates coins, see text</v>
      </c>
      <c r="AO99" s="101" t="str">
        <f>CHOOSE(CharGenMain!$C$214,X99,Y99,Z99,AA99,AB99,AC99,AD99,AE99,AF99,AG99,AH99,AI99,AJ99,AK99,AL99)</f>
        <v>duplicates coins, see text</v>
      </c>
      <c r="AP99" s="101" t="str">
        <f>CHOOSE(CharGenMain!$C$215,X99,Y99,Z99,AA99,AB99,AC99,AD99,AE99,AF99,AG99,AH99,AI99,AJ99,AK99,AL99)</f>
        <v>duplicates coins, see text</v>
      </c>
      <c r="AQ99" s="101" t="str">
        <f>CHOOSE(CharGenMain!$C$216,X99,Y99,Z99,AA99,AB99,AC99,AD99,AE99,AF99,AG99,AH99,AI99,AJ99,AK99,AL99)</f>
        <v>duplicates coins, see text</v>
      </c>
      <c r="AR99" s="101" t="str">
        <f>CHOOSE(CharGenMain!$C$217,X99,Y99,Z99,AA99,AB99,AC99,AD99,AE99,AF99,AG99,AH99,AI99,AJ99,AK99,AL99)</f>
        <v>duplicates coins, see text</v>
      </c>
      <c r="AS99" s="101" t="e">
        <f>CHOOSE(CharGenMain!$C$218,X99,Y99,Z99,AA99,AB99,AC99,AD99,AE99,AF99,AG99,AH99,AI99,AJ99,AK99,AL99)</f>
        <v>#VALUE!</v>
      </c>
      <c r="AT99" s="101" t="e">
        <f>CHOOSE(CharGenMain!$C$219,X99,Y99,Z99,AA99,AB99,AC99,AD99,AE99,AF99,AG99,AH99,AI99,AJ99,AK99,AL99)</f>
        <v>#VALUE!</v>
      </c>
      <c r="AU99" s="101" t="e">
        <f>CHOOSE(CharGenMain!$C$220,X99,Y99,Z99,AA99,AB99,AC99,AD99,AE99,AF99,AG99,AH99,AI99,AJ99,AK99,AL99)</f>
        <v>#VALUE!</v>
      </c>
      <c r="AV99" s="101" t="e">
        <f>CHOOSE(CharGenMain!$C$221,X99,Y99,Z99,AA99,AB99,AC99,AD99,AE99,AF99,AG99,AH99,AI99,AJ99,AK99,AL99)</f>
        <v>#VALUE!</v>
      </c>
      <c r="AW99" s="101" t="e">
        <f>CHOOSE(CharGenMain!$C$222,X99,Y99,Z99,AA99,AB99,AC99,AD99,AE99,AF99,AG99,AH99,AI99,AJ99,AK99,AL99)</f>
        <v>#VALUE!</v>
      </c>
      <c r="AX99" s="101" t="e">
        <f>CHOOSE(CharGenMain!$C$223,X99,Y99,Z99,AA99,AB99,AC99,AD99,AE99,AF99,AG99,AH99,AI99,AJ99,AK99,AL99)</f>
        <v>#VALUE!</v>
      </c>
      <c r="AY99" s="101" t="e">
        <f>CHOOSE(CharGenMain!$C$224,X99,Y99,Z99,AA99,AB99,AC99,AD99,AE99,AF99,AG99,AH99,AI99,AJ99,AK99,AL99)</f>
        <v>#VALUE!</v>
      </c>
      <c r="AZ99" s="101" t="e">
        <f>CHOOSE(CharGenMain!$C$225,X99,Y99,Z99,AA99,AB99,AC99,AD99,AE99,AF99,AG99,AH99,AI99,AJ99,AK99,AL99)</f>
        <v>#VALUE!</v>
      </c>
      <c r="BA99" s="271" t="e">
        <f>CHOOSE(CharGenMain!$C$226,X99,Y99,Z99,AA99,AB99,AC99,AD99,AE99,AF99,AG99,AH99,AI99,AJ99,AK99,AL99)</f>
        <v>#VALUE!</v>
      </c>
    </row>
    <row r="100" spans="6:53">
      <c r="F100" s="203"/>
      <c r="M100" s="203"/>
      <c r="R100" s="20" t="s">
        <v>1560</v>
      </c>
      <c r="S100" s="14" t="s">
        <v>1561</v>
      </c>
      <c r="T100" s="14" t="s">
        <v>2279</v>
      </c>
      <c r="U100" s="14">
        <v>3</v>
      </c>
      <c r="V100" s="14">
        <v>6</v>
      </c>
      <c r="W100" s="14">
        <v>23</v>
      </c>
      <c r="X100" s="207" t="s">
        <v>1562</v>
      </c>
      <c r="Y100" s="207" t="s">
        <v>1563</v>
      </c>
      <c r="Z100" s="168" t="s">
        <v>1747</v>
      </c>
      <c r="AA100" s="168" t="s">
        <v>1747</v>
      </c>
      <c r="AB100" s="168" t="s">
        <v>1747</v>
      </c>
      <c r="AC100" s="168" t="s">
        <v>1747</v>
      </c>
      <c r="AD100" s="87" t="s">
        <v>2997</v>
      </c>
      <c r="AE100" s="87" t="s">
        <v>2997</v>
      </c>
      <c r="AF100" s="87" t="s">
        <v>2997</v>
      </c>
      <c r="AG100" s="87" t="s">
        <v>2997</v>
      </c>
      <c r="AH100" s="87" t="s">
        <v>2997</v>
      </c>
      <c r="AI100" s="87" t="s">
        <v>2997</v>
      </c>
      <c r="AJ100" s="87" t="s">
        <v>2997</v>
      </c>
      <c r="AK100" s="87" t="s">
        <v>2997</v>
      </c>
      <c r="AL100" s="87" t="s">
        <v>2997</v>
      </c>
      <c r="AM100" s="101" t="str">
        <f>CHOOSE(CharGenMain!$C$212,X100,Y100,Z100,AA100,AB100,AC100,AD100,AE100,AF100,AG100,AH100,AI100,AJ100,AK100,AL100)</f>
        <v>various</v>
      </c>
      <c r="AN100" s="101" t="str">
        <f>CHOOSE(CharGenMain!$C$213,X100,Y100,Z100,AA100,AB100,AC100,AD100,AE100,AF100,AG100,AH100,AI100,AJ100,AK100,AL100)</f>
        <v>+1 writing or drawing</v>
      </c>
      <c r="AO100" s="101" t="str">
        <f>CHOOSE(CharGenMain!$C$214,X100,Y100,Z100,AA100,AB100,AC100,AD100,AE100,AF100,AG100,AH100,AI100,AJ100,AK100,AL100)</f>
        <v>+1 writing or drawing</v>
      </c>
      <c r="AP100" s="101" t="str">
        <f>CHOOSE(CharGenMain!$C$215,X100,Y100,Z100,AA100,AB100,AC100,AD100,AE100,AF100,AG100,AH100,AI100,AJ100,AK100,AL100)</f>
        <v>+1 writing or drawing and +1 research</v>
      </c>
      <c r="AQ100" s="101" t="str">
        <f>CHOOSE(CharGenMain!$C$216,X100,Y100,Z100,AA100,AB100,AC100,AD100,AE100,AF100,AG100,AH100,AI100,AJ100,AK100,AL100)</f>
        <v>various</v>
      </c>
      <c r="AR100" s="101" t="str">
        <f>CHOOSE(CharGenMain!$C$217,X100,Y100,Z100,AA100,AB100,AC100,AD100,AE100,AF100,AG100,AH100,AI100,AJ100,AK100,AL100)</f>
        <v>various</v>
      </c>
      <c r="AS100" s="101" t="e">
        <f>CHOOSE(CharGenMain!$C$218,X100,Y100,Z100,AA100,AB100,AC100,AD100,AE100,AF100,AG100,AH100,AI100,AJ100,AK100,AL100)</f>
        <v>#VALUE!</v>
      </c>
      <c r="AT100" s="101" t="e">
        <f>CHOOSE(CharGenMain!$C$219,X100,Y100,Z100,AA100,AB100,AC100,AD100,AE100,AF100,AG100,AH100,AI100,AJ100,AK100,AL100)</f>
        <v>#VALUE!</v>
      </c>
      <c r="AU100" s="101" t="e">
        <f>CHOOSE(CharGenMain!$C$220,X100,Y100,Z100,AA100,AB100,AC100,AD100,AE100,AF100,AG100,AH100,AI100,AJ100,AK100,AL100)</f>
        <v>#VALUE!</v>
      </c>
      <c r="AV100" s="101" t="e">
        <f>CHOOSE(CharGenMain!$C$221,X100,Y100,Z100,AA100,AB100,AC100,AD100,AE100,AF100,AG100,AH100,AI100,AJ100,AK100,AL100)</f>
        <v>#VALUE!</v>
      </c>
      <c r="AW100" s="101" t="e">
        <f>CHOOSE(CharGenMain!$C$222,X100,Y100,Z100,AA100,AB100,AC100,AD100,AE100,AF100,AG100,AH100,AI100,AJ100,AK100,AL100)</f>
        <v>#VALUE!</v>
      </c>
      <c r="AX100" s="101" t="e">
        <f>CHOOSE(CharGenMain!$C$223,X100,Y100,Z100,AA100,AB100,AC100,AD100,AE100,AF100,AG100,AH100,AI100,AJ100,AK100,AL100)</f>
        <v>#VALUE!</v>
      </c>
      <c r="AY100" s="101" t="e">
        <f>CHOOSE(CharGenMain!$C$224,X100,Y100,Z100,AA100,AB100,AC100,AD100,AE100,AF100,AG100,AH100,AI100,AJ100,AK100,AL100)</f>
        <v>#VALUE!</v>
      </c>
      <c r="AZ100" s="101" t="e">
        <f>CHOOSE(CharGenMain!$C$225,X100,Y100,Z100,AA100,AB100,AC100,AD100,AE100,AF100,AG100,AH100,AI100,AJ100,AK100,AL100)</f>
        <v>#VALUE!</v>
      </c>
      <c r="BA100" s="271" t="e">
        <f>CHOOSE(CharGenMain!$C$226,X100,Y100,Z100,AA100,AB100,AC100,AD100,AE100,AF100,AG100,AH100,AI100,AJ100,AK100,AL100)</f>
        <v>#VALUE!</v>
      </c>
    </row>
    <row r="101" spans="6:53">
      <c r="F101" s="203"/>
      <c r="M101" s="203"/>
      <c r="R101" s="226" t="s">
        <v>1564</v>
      </c>
      <c r="S101" s="14" t="s">
        <v>1927</v>
      </c>
      <c r="T101" s="14" t="s">
        <v>2667</v>
      </c>
      <c r="U101" s="14">
        <v>1</v>
      </c>
      <c r="V101" s="14">
        <v>3</v>
      </c>
      <c r="W101" s="14">
        <v>9</v>
      </c>
      <c r="X101" s="168" t="s">
        <v>1565</v>
      </c>
      <c r="Y101" s="168" t="s">
        <v>1566</v>
      </c>
      <c r="Z101" s="168" t="s">
        <v>1567</v>
      </c>
      <c r="AA101" s="87" t="s">
        <v>2997</v>
      </c>
      <c r="AB101" s="87" t="s">
        <v>2997</v>
      </c>
      <c r="AC101" s="87" t="s">
        <v>2997</v>
      </c>
      <c r="AD101" s="87" t="s">
        <v>2997</v>
      </c>
      <c r="AE101" s="87" t="s">
        <v>2997</v>
      </c>
      <c r="AF101" s="87" t="s">
        <v>2997</v>
      </c>
      <c r="AG101" s="87" t="s">
        <v>2997</v>
      </c>
      <c r="AH101" s="87" t="s">
        <v>2997</v>
      </c>
      <c r="AI101" s="87" t="s">
        <v>2997</v>
      </c>
      <c r="AJ101" s="87" t="s">
        <v>2997</v>
      </c>
      <c r="AK101" s="87" t="s">
        <v>2997</v>
      </c>
      <c r="AL101" s="87" t="s">
        <v>2997</v>
      </c>
      <c r="AM101" s="101" t="str">
        <f>CHOOSE(CharGenMain!$C$212,X101,Y101,Z101,AA101,AB101,AC101,AD101,AE101,AF101,AG101,AH101,AI101,AJ101,AK101,AL101)</f>
        <v>Add thread rank to trick riding and empathic command, +1 phys def</v>
      </c>
      <c r="AN101" s="101" t="str">
        <f>CHOOSE(CharGenMain!$C$213,X101,Y101,Z101,AA101,AB101,AC101,AD101,AE101,AF101,AG101,AH101,AI101,AJ101,AK101,AL101)</f>
        <v>Add thread rank to trick riding</v>
      </c>
      <c r="AO101" s="101" t="str">
        <f>CHOOSE(CharGenMain!$C$214,X101,Y101,Z101,AA101,AB101,AC101,AD101,AE101,AF101,AG101,AH101,AI101,AJ101,AK101,AL101)</f>
        <v>Add thread rank to trick riding</v>
      </c>
      <c r="AP101" s="101" t="str">
        <f>CHOOSE(CharGenMain!$C$215,X101,Y101,Z101,AA101,AB101,AC101,AD101,AE101,AF101,AG101,AH101,AI101,AJ101,AK101,AL101)</f>
        <v>Add thread rank to trick riding and empathic command</v>
      </c>
      <c r="AQ101" s="101" t="str">
        <f>CHOOSE(CharGenMain!$C$216,X101,Y101,Z101,AA101,AB101,AC101,AD101,AE101,AF101,AG101,AH101,AI101,AJ101,AK101,AL101)</f>
        <v>Thread Max Exceeded</v>
      </c>
      <c r="AR101" s="101" t="str">
        <f>CHOOSE(CharGenMain!$C$217,X101,Y101,Z101,AA101,AB101,AC101,AD101,AE101,AF101,AG101,AH101,AI101,AJ101,AK101,AL101)</f>
        <v>Thread Max Exceeded</v>
      </c>
      <c r="AS101" s="101" t="e">
        <f>CHOOSE(CharGenMain!$C$218,X101,Y101,Z101,AA101,AB101,AC101,AD101,AE101,AF101,AG101,AH101,AI101,AJ101,AK101,AL101)</f>
        <v>#VALUE!</v>
      </c>
      <c r="AT101" s="101" t="e">
        <f>CHOOSE(CharGenMain!$C$219,X101,Y101,Z101,AA101,AB101,AC101,AD101,AE101,AF101,AG101,AH101,AI101,AJ101,AK101,AL101)</f>
        <v>#VALUE!</v>
      </c>
      <c r="AU101" s="101" t="e">
        <f>CHOOSE(CharGenMain!$C$220,X101,Y101,Z101,AA101,AB101,AC101,AD101,AE101,AF101,AG101,AH101,AI101,AJ101,AK101,AL101)</f>
        <v>#VALUE!</v>
      </c>
      <c r="AV101" s="101" t="e">
        <f>CHOOSE(CharGenMain!$C$221,X101,Y101,Z101,AA101,AB101,AC101,AD101,AE101,AF101,AG101,AH101,AI101,AJ101,AK101,AL101)</f>
        <v>#VALUE!</v>
      </c>
      <c r="AW101" s="101" t="e">
        <f>CHOOSE(CharGenMain!$C$222,X101,Y101,Z101,AA101,AB101,AC101,AD101,AE101,AF101,AG101,AH101,AI101,AJ101,AK101,AL101)</f>
        <v>#VALUE!</v>
      </c>
      <c r="AX101" s="101" t="e">
        <f>CHOOSE(CharGenMain!$C$223,X101,Y101,Z101,AA101,AB101,AC101,AD101,AE101,AF101,AG101,AH101,AI101,AJ101,AK101,AL101)</f>
        <v>#VALUE!</v>
      </c>
      <c r="AY101" s="101" t="e">
        <f>CHOOSE(CharGenMain!$C$224,X101,Y101,Z101,AA101,AB101,AC101,AD101,AE101,AF101,AG101,AH101,AI101,AJ101,AK101,AL101)</f>
        <v>#VALUE!</v>
      </c>
      <c r="AZ101" s="101" t="e">
        <f>CHOOSE(CharGenMain!$C$225,X101,Y101,Z101,AA101,AB101,AC101,AD101,AE101,AF101,AG101,AH101,AI101,AJ101,AK101,AL101)</f>
        <v>#VALUE!</v>
      </c>
      <c r="BA101" s="271" t="e">
        <f>CHOOSE(CharGenMain!$C$226,X101,Y101,Z101,AA101,AB101,AC101,AD101,AE101,AF101,AG101,AH101,AI101,AJ101,AK101,AL101)</f>
        <v>#VALUE!</v>
      </c>
    </row>
    <row r="102" spans="6:53">
      <c r="F102" s="203"/>
      <c r="M102" s="203"/>
      <c r="R102" s="20" t="s">
        <v>1677</v>
      </c>
      <c r="S102" s="14" t="s">
        <v>1678</v>
      </c>
      <c r="T102" s="14" t="s">
        <v>2279</v>
      </c>
      <c r="U102" s="14">
        <v>2</v>
      </c>
      <c r="V102" s="14">
        <v>7</v>
      </c>
      <c r="W102" s="14">
        <v>15</v>
      </c>
      <c r="X102" s="87" t="s">
        <v>1539</v>
      </c>
      <c r="Y102" s="87" t="s">
        <v>1539</v>
      </c>
      <c r="Z102" s="87" t="s">
        <v>1539</v>
      </c>
      <c r="AA102" s="87" t="s">
        <v>1539</v>
      </c>
      <c r="AB102" s="87" t="s">
        <v>1539</v>
      </c>
      <c r="AC102" s="87" t="s">
        <v>1539</v>
      </c>
      <c r="AD102" s="87" t="s">
        <v>1539</v>
      </c>
      <c r="AE102" s="87" t="s">
        <v>2997</v>
      </c>
      <c r="AF102" s="87" t="s">
        <v>2997</v>
      </c>
      <c r="AG102" s="87" t="s">
        <v>2997</v>
      </c>
      <c r="AH102" s="87" t="s">
        <v>2997</v>
      </c>
      <c r="AI102" s="87" t="s">
        <v>2997</v>
      </c>
      <c r="AJ102" s="87" t="s">
        <v>2997</v>
      </c>
      <c r="AK102" s="87" t="s">
        <v>2997</v>
      </c>
      <c r="AL102" s="87" t="s">
        <v>2997</v>
      </c>
      <c r="AM102" s="101" t="str">
        <f>CHOOSE(CharGenMain!$C$212,X102,Y102,Z102,AA102,AB102,AC102,AD102,AE102,AF102,AG102,AH102,AI102,AJ102,AK102,AL102)</f>
        <v>various powers, see text</v>
      </c>
      <c r="AN102" s="101" t="str">
        <f>CHOOSE(CharGenMain!$C$213,X102,Y102,Z102,AA102,AB102,AC102,AD102,AE102,AF102,AG102,AH102,AI102,AJ102,AK102,AL102)</f>
        <v>various powers, see text</v>
      </c>
      <c r="AO102" s="101" t="str">
        <f>CHOOSE(CharGenMain!$C$214,X102,Y102,Z102,AA102,AB102,AC102,AD102,AE102,AF102,AG102,AH102,AI102,AJ102,AK102,AL102)</f>
        <v>various powers, see text</v>
      </c>
      <c r="AP102" s="101" t="str">
        <f>CHOOSE(CharGenMain!$C$215,X102,Y102,Z102,AA102,AB102,AC102,AD102,AE102,AF102,AG102,AH102,AI102,AJ102,AK102,AL102)</f>
        <v>various powers, see text</v>
      </c>
      <c r="AQ102" s="101" t="str">
        <f>CHOOSE(CharGenMain!$C$216,X102,Y102,Z102,AA102,AB102,AC102,AD102,AE102,AF102,AG102,AH102,AI102,AJ102,AK102,AL102)</f>
        <v>various powers, see text</v>
      </c>
      <c r="AR102" s="101" t="str">
        <f>CHOOSE(CharGenMain!$C$217,X102,Y102,Z102,AA102,AB102,AC102,AD102,AE102,AF102,AG102,AH102,AI102,AJ102,AK102,AL102)</f>
        <v>various powers, see text</v>
      </c>
      <c r="AS102" s="101" t="e">
        <f>CHOOSE(CharGenMain!$C$218,X102,Y102,Z102,AA102,AB102,AC102,AD102,AE102,AF102,AG102,AH102,AI102,AJ102,AK102,AL102)</f>
        <v>#VALUE!</v>
      </c>
      <c r="AT102" s="101" t="e">
        <f>CHOOSE(CharGenMain!$C$219,X102,Y102,Z102,AA102,AB102,AC102,AD102,AE102,AF102,AG102,AH102,AI102,AJ102,AK102,AL102)</f>
        <v>#VALUE!</v>
      </c>
      <c r="AU102" s="101" t="e">
        <f>CHOOSE(CharGenMain!$C$220,X102,Y102,Z102,AA102,AB102,AC102,AD102,AE102,AF102,AG102,AH102,AI102,AJ102,AK102,AL102)</f>
        <v>#VALUE!</v>
      </c>
      <c r="AV102" s="101" t="e">
        <f>CHOOSE(CharGenMain!$C$221,X102,Y102,Z102,AA102,AB102,AC102,AD102,AE102,AF102,AG102,AH102,AI102,AJ102,AK102,AL102)</f>
        <v>#VALUE!</v>
      </c>
      <c r="AW102" s="101" t="e">
        <f>CHOOSE(CharGenMain!$C$222,X102,Y102,Z102,AA102,AB102,AC102,AD102,AE102,AF102,AG102,AH102,AI102,AJ102,AK102,AL102)</f>
        <v>#VALUE!</v>
      </c>
      <c r="AX102" s="101" t="e">
        <f>CHOOSE(CharGenMain!$C$223,X102,Y102,Z102,AA102,AB102,AC102,AD102,AE102,AF102,AG102,AH102,AI102,AJ102,AK102,AL102)</f>
        <v>#VALUE!</v>
      </c>
      <c r="AY102" s="101" t="e">
        <f>CHOOSE(CharGenMain!$C$224,X102,Y102,Z102,AA102,AB102,AC102,AD102,AE102,AF102,AG102,AH102,AI102,AJ102,AK102,AL102)</f>
        <v>#VALUE!</v>
      </c>
      <c r="AZ102" s="101" t="e">
        <f>CHOOSE(CharGenMain!$C$225,X102,Y102,Z102,AA102,AB102,AC102,AD102,AE102,AF102,AG102,AH102,AI102,AJ102,AK102,AL102)</f>
        <v>#VALUE!</v>
      </c>
      <c r="BA102" s="271" t="e">
        <f>CHOOSE(CharGenMain!$C$226,X102,Y102,Z102,AA102,AB102,AC102,AD102,AE102,AF102,AG102,AH102,AI102,AJ102,AK102,AL102)</f>
        <v>#VALUE!</v>
      </c>
    </row>
    <row r="103" spans="6:53">
      <c r="F103" s="203"/>
      <c r="M103" s="203"/>
      <c r="R103" s="226" t="s">
        <v>1679</v>
      </c>
      <c r="S103" s="14" t="s">
        <v>1680</v>
      </c>
      <c r="T103" s="14" t="s">
        <v>2667</v>
      </c>
      <c r="U103" s="14">
        <v>2</v>
      </c>
      <c r="V103" s="14">
        <v>4</v>
      </c>
      <c r="W103" s="106">
        <v>13</v>
      </c>
      <c r="X103" s="206" t="s">
        <v>2269</v>
      </c>
      <c r="Y103" s="206" t="s">
        <v>1681</v>
      </c>
      <c r="Z103" s="206" t="s">
        <v>1682</v>
      </c>
      <c r="AA103" s="206" t="s">
        <v>2271</v>
      </c>
      <c r="AB103" s="87" t="s">
        <v>2997</v>
      </c>
      <c r="AC103" s="87" t="s">
        <v>2997</v>
      </c>
      <c r="AD103" s="87" t="s">
        <v>2997</v>
      </c>
      <c r="AE103" s="87" t="s">
        <v>2997</v>
      </c>
      <c r="AF103" s="87" t="s">
        <v>2997</v>
      </c>
      <c r="AG103" s="87" t="s">
        <v>2997</v>
      </c>
      <c r="AH103" s="87" t="s">
        <v>2997</v>
      </c>
      <c r="AI103" s="87" t="s">
        <v>2997</v>
      </c>
      <c r="AJ103" s="87" t="s">
        <v>2997</v>
      </c>
      <c r="AK103" s="87" t="s">
        <v>2997</v>
      </c>
      <c r="AL103" s="87" t="s">
        <v>2997</v>
      </c>
      <c r="AM103" s="101" t="str">
        <f>CHOOSE(CharGenMain!$C$212,X103,Y103,Z103,AA103,AB103,AC103,AD103,AE103,AF103,AG103,AH103,AI103,AJ103,AK103,AL103)</f>
        <v>+2 soc def, +1 spell def</v>
      </c>
      <c r="AN103" s="101" t="str">
        <f>CHOOSE(CharGenMain!$C$213,X103,Y103,Z103,AA103,AB103,AC103,AD103,AE103,AF103,AG103,AH103,AI103,AJ103,AK103,AL103)</f>
        <v>+1 soc def</v>
      </c>
      <c r="AO103" s="101" t="str">
        <f>CHOOSE(CharGenMain!$C$214,X103,Y103,Z103,AA103,AB103,AC103,AD103,AE103,AF103,AG103,AH103,AI103,AJ103,AK103,AL103)</f>
        <v>+1 soc def</v>
      </c>
      <c r="AP103" s="101" t="str">
        <f>CHOOSE(CharGenMain!$C$215,X103,Y103,Z103,AA103,AB103,AC103,AD103,AE103,AF103,AG103,AH103,AI103,AJ103,AK103,AL103)</f>
        <v>+1 soc def, +1 spell def</v>
      </c>
      <c r="AQ103" s="101" t="str">
        <f>CHOOSE(CharGenMain!$C$216,X103,Y103,Z103,AA103,AB103,AC103,AD103,AE103,AF103,AG103,AH103,AI103,AJ103,AK103,AL103)</f>
        <v>+2 soc def, +2 spell def</v>
      </c>
      <c r="AR103" s="101" t="str">
        <f>CHOOSE(CharGenMain!$C$217,X103,Y103,Z103,AA103,AB103,AC103,AD103,AE103,AF103,AG103,AH103,AI103,AJ103,AK103,AL103)</f>
        <v>Thread Max Exceeded</v>
      </c>
      <c r="AS103" s="101" t="e">
        <f>CHOOSE(CharGenMain!$C$218,X103,Y103,Z103,AA103,AB103,AC103,AD103,AE103,AF103,AG103,AH103,AI103,AJ103,AK103,AL103)</f>
        <v>#VALUE!</v>
      </c>
      <c r="AT103" s="101" t="e">
        <f>CHOOSE(CharGenMain!$C$219,X103,Y103,Z103,AA103,AB103,AC103,AD103,AE103,AF103,AG103,AH103,AI103,AJ103,AK103,AL103)</f>
        <v>#VALUE!</v>
      </c>
      <c r="AU103" s="101" t="e">
        <f>CHOOSE(CharGenMain!$C$220,X103,Y103,Z103,AA103,AB103,AC103,AD103,AE103,AF103,AG103,AH103,AI103,AJ103,AK103,AL103)</f>
        <v>#VALUE!</v>
      </c>
      <c r="AV103" s="101" t="e">
        <f>CHOOSE(CharGenMain!$C$221,X103,Y103,Z103,AA103,AB103,AC103,AD103,AE103,AF103,AG103,AH103,AI103,AJ103,AK103,AL103)</f>
        <v>#VALUE!</v>
      </c>
      <c r="AW103" s="101" t="e">
        <f>CHOOSE(CharGenMain!$C$222,X103,Y103,Z103,AA103,AB103,AC103,AD103,AE103,AF103,AG103,AH103,AI103,AJ103,AK103,AL103)</f>
        <v>#VALUE!</v>
      </c>
      <c r="AX103" s="101" t="e">
        <f>CHOOSE(CharGenMain!$C$223,X103,Y103,Z103,AA103,AB103,AC103,AD103,AE103,AF103,AG103,AH103,AI103,AJ103,AK103,AL103)</f>
        <v>#VALUE!</v>
      </c>
      <c r="AY103" s="101" t="e">
        <f>CHOOSE(CharGenMain!$C$224,X103,Y103,Z103,AA103,AB103,AC103,AD103,AE103,AF103,AG103,AH103,AI103,AJ103,AK103,AL103)</f>
        <v>#VALUE!</v>
      </c>
      <c r="AZ103" s="101" t="e">
        <f>CHOOSE(CharGenMain!$C$225,X103,Y103,Z103,AA103,AB103,AC103,AD103,AE103,AF103,AG103,AH103,AI103,AJ103,AK103,AL103)</f>
        <v>#VALUE!</v>
      </c>
      <c r="BA103" s="271" t="e">
        <f>CHOOSE(CharGenMain!$C$226,X103,Y103,Z103,AA103,AB103,AC103,AD103,AE103,AF103,AG103,AH103,AI103,AJ103,AK103,AL103)</f>
        <v>#VALUE!</v>
      </c>
    </row>
    <row r="104" spans="6:53">
      <c r="F104" s="203"/>
      <c r="M104" s="203"/>
      <c r="R104" s="226" t="s">
        <v>5149</v>
      </c>
      <c r="S104" s="14" t="s">
        <v>1680</v>
      </c>
      <c r="T104" s="14" t="s">
        <v>2667</v>
      </c>
      <c r="U104" s="14">
        <v>3</v>
      </c>
      <c r="V104" s="14">
        <v>4</v>
      </c>
      <c r="W104" s="106">
        <v>18</v>
      </c>
      <c r="X104" s="206" t="s">
        <v>1683</v>
      </c>
      <c r="Y104" s="206" t="s">
        <v>1684</v>
      </c>
      <c r="Z104" s="206" t="s">
        <v>1685</v>
      </c>
      <c r="AA104" s="206" t="s">
        <v>1686</v>
      </c>
      <c r="AB104" s="87" t="s">
        <v>2997</v>
      </c>
      <c r="AC104" s="87" t="s">
        <v>2997</v>
      </c>
      <c r="AD104" s="87" t="s">
        <v>2997</v>
      </c>
      <c r="AE104" s="87" t="s">
        <v>2997</v>
      </c>
      <c r="AF104" s="87" t="s">
        <v>2997</v>
      </c>
      <c r="AG104" s="87" t="s">
        <v>2997</v>
      </c>
      <c r="AH104" s="87" t="s">
        <v>2997</v>
      </c>
      <c r="AI104" s="87" t="s">
        <v>2997</v>
      </c>
      <c r="AJ104" s="87" t="s">
        <v>2997</v>
      </c>
      <c r="AK104" s="87" t="s">
        <v>2997</v>
      </c>
      <c r="AL104" s="87" t="s">
        <v>2997</v>
      </c>
      <c r="AM104" s="101" t="str">
        <f>CHOOSE(CharGenMain!$C$212,X104,Y104,Z104,AA104,AB104,AC104,AD104,AE104,AF104,AG104,AH104,AI104,AJ104,AK104,AL104)</f>
        <v>+2 step to attacks, +1 steps to damage</v>
      </c>
      <c r="AN104" s="101" t="str">
        <f>CHOOSE(CharGenMain!$C$213,X104,Y104,Z104,AA104,AB104,AC104,AD104,AE104,AF104,AG104,AH104,AI104,AJ104,AK104,AL104)</f>
        <v>+1 step to attacks</v>
      </c>
      <c r="AO104" s="101" t="str">
        <f>CHOOSE(CharGenMain!$C$214,X104,Y104,Z104,AA104,AB104,AC104,AD104,AE104,AF104,AG104,AH104,AI104,AJ104,AK104,AL104)</f>
        <v>+1 step to attacks</v>
      </c>
      <c r="AP104" s="101" t="str">
        <f>CHOOSE(CharGenMain!$C$215,X104,Y104,Z104,AA104,AB104,AC104,AD104,AE104,AF104,AG104,AH104,AI104,AJ104,AK104,AL104)</f>
        <v>+2 step to attacks</v>
      </c>
      <c r="AQ104" s="101" t="str">
        <f>CHOOSE(CharGenMain!$C$216,X104,Y104,Z104,AA104,AB104,AC104,AD104,AE104,AF104,AG104,AH104,AI104,AJ104,AK104,AL104)</f>
        <v>+3 step to attacks, +2 steps to damage</v>
      </c>
      <c r="AR104" s="101" t="str">
        <f>CHOOSE(CharGenMain!$C$217,X104,Y104,Z104,AA104,AB104,AC104,AD104,AE104,AF104,AG104,AH104,AI104,AJ104,AK104,AL104)</f>
        <v>Thread Max Exceeded</v>
      </c>
      <c r="AS104" s="101" t="e">
        <f>CHOOSE(CharGenMain!$C$218,X104,Y104,Z104,AA104,AB104,AC104,AD104,AE104,AF104,AG104,AH104,AI104,AJ104,AK104,AL104)</f>
        <v>#VALUE!</v>
      </c>
      <c r="AT104" s="101" t="e">
        <f>CHOOSE(CharGenMain!$C$219,X104,Y104,Z104,AA104,AB104,AC104,AD104,AE104,AF104,AG104,AH104,AI104,AJ104,AK104,AL104)</f>
        <v>#VALUE!</v>
      </c>
      <c r="AU104" s="101" t="e">
        <f>CHOOSE(CharGenMain!$C$220,X104,Y104,Z104,AA104,AB104,AC104,AD104,AE104,AF104,AG104,AH104,AI104,AJ104,AK104,AL104)</f>
        <v>#VALUE!</v>
      </c>
      <c r="AV104" s="101" t="e">
        <f>CHOOSE(CharGenMain!$C$221,X104,Y104,Z104,AA104,AB104,AC104,AD104,AE104,AF104,AG104,AH104,AI104,AJ104,AK104,AL104)</f>
        <v>#VALUE!</v>
      </c>
      <c r="AW104" s="101" t="e">
        <f>CHOOSE(CharGenMain!$C$222,X104,Y104,Z104,AA104,AB104,AC104,AD104,AE104,AF104,AG104,AH104,AI104,AJ104,AK104,AL104)</f>
        <v>#VALUE!</v>
      </c>
      <c r="AX104" s="101" t="e">
        <f>CHOOSE(CharGenMain!$C$223,X104,Y104,Z104,AA104,AB104,AC104,AD104,AE104,AF104,AG104,AH104,AI104,AJ104,AK104,AL104)</f>
        <v>#VALUE!</v>
      </c>
      <c r="AY104" s="101" t="e">
        <f>CHOOSE(CharGenMain!$C$224,X104,Y104,Z104,AA104,AB104,AC104,AD104,AE104,AF104,AG104,AH104,AI104,AJ104,AK104,AL104)</f>
        <v>#VALUE!</v>
      </c>
      <c r="AZ104" s="101" t="e">
        <f>CHOOSE(CharGenMain!$C$225,X104,Y104,Z104,AA104,AB104,AC104,AD104,AE104,AF104,AG104,AH104,AI104,AJ104,AK104,AL104)</f>
        <v>#VALUE!</v>
      </c>
      <c r="BA104" s="271" t="e">
        <f>CHOOSE(CharGenMain!$C$226,X104,Y104,Z104,AA104,AB104,AC104,AD104,AE104,AF104,AG104,AH104,AI104,AJ104,AK104,AL104)</f>
        <v>#VALUE!</v>
      </c>
    </row>
    <row r="105" spans="6:53">
      <c r="F105" s="203"/>
      <c r="M105" s="203"/>
      <c r="R105" s="20" t="s">
        <v>1687</v>
      </c>
      <c r="S105" s="14" t="s">
        <v>1688</v>
      </c>
      <c r="T105" s="14" t="s">
        <v>2279</v>
      </c>
      <c r="U105" s="14">
        <v>3</v>
      </c>
      <c r="V105" s="14">
        <v>5</v>
      </c>
      <c r="W105" s="14">
        <v>19</v>
      </c>
      <c r="X105" s="87" t="s">
        <v>1588</v>
      </c>
      <c r="Y105" s="87" t="s">
        <v>1588</v>
      </c>
      <c r="Z105" s="87" t="s">
        <v>1588</v>
      </c>
      <c r="AA105" s="87" t="s">
        <v>1588</v>
      </c>
      <c r="AB105" s="87" t="s">
        <v>1588</v>
      </c>
      <c r="AC105" s="87" t="s">
        <v>2997</v>
      </c>
      <c r="AD105" s="87" t="s">
        <v>2997</v>
      </c>
      <c r="AE105" s="87" t="s">
        <v>2997</v>
      </c>
      <c r="AF105" s="87" t="s">
        <v>2997</v>
      </c>
      <c r="AG105" s="87" t="s">
        <v>2997</v>
      </c>
      <c r="AH105" s="87" t="s">
        <v>2997</v>
      </c>
      <c r="AI105" s="87" t="s">
        <v>2997</v>
      </c>
      <c r="AJ105" s="87" t="s">
        <v>2997</v>
      </c>
      <c r="AK105" s="87" t="s">
        <v>2997</v>
      </c>
      <c r="AL105" s="87" t="s">
        <v>2997</v>
      </c>
      <c r="AM105" s="101" t="str">
        <f>CHOOSE(CharGenMain!$C$212,X105,Y105,Z105,AA105,AB105,AC105,AD105,AE105,AF105,AG105,AH105,AI105,AJ105,AK105,AL105)</f>
        <v>spellcaster bonuses, see text</v>
      </c>
      <c r="AN105" s="101" t="str">
        <f>CHOOSE(CharGenMain!$C$213,X105,Y105,Z105,AA105,AB105,AC105,AD105,AE105,AF105,AG105,AH105,AI105,AJ105,AK105,AL105)</f>
        <v>spellcaster bonuses, see text</v>
      </c>
      <c r="AO105" s="101" t="str">
        <f>CHOOSE(CharGenMain!$C$214,X105,Y105,Z105,AA105,AB105,AC105,AD105,AE105,AF105,AG105,AH105,AI105,AJ105,AK105,AL105)</f>
        <v>spellcaster bonuses, see text</v>
      </c>
      <c r="AP105" s="101" t="str">
        <f>CHOOSE(CharGenMain!$C$215,X105,Y105,Z105,AA105,AB105,AC105,AD105,AE105,AF105,AG105,AH105,AI105,AJ105,AK105,AL105)</f>
        <v>spellcaster bonuses, see text</v>
      </c>
      <c r="AQ105" s="101" t="str">
        <f>CHOOSE(CharGenMain!$C$216,X105,Y105,Z105,AA105,AB105,AC105,AD105,AE105,AF105,AG105,AH105,AI105,AJ105,AK105,AL105)</f>
        <v>spellcaster bonuses, see text</v>
      </c>
      <c r="AR105" s="101" t="str">
        <f>CHOOSE(CharGenMain!$C$217,X105,Y105,Z105,AA105,AB105,AC105,AD105,AE105,AF105,AG105,AH105,AI105,AJ105,AK105,AL105)</f>
        <v>spellcaster bonuses, see text</v>
      </c>
      <c r="AS105" s="101" t="e">
        <f>CHOOSE(CharGenMain!$C$218,X105,Y105,Z105,AA105,AB105,AC105,AD105,AE105,AF105,AG105,AH105,AI105,AJ105,AK105,AL105)</f>
        <v>#VALUE!</v>
      </c>
      <c r="AT105" s="101" t="e">
        <f>CHOOSE(CharGenMain!$C$219,X105,Y105,Z105,AA105,AB105,AC105,AD105,AE105,AF105,AG105,AH105,AI105,AJ105,AK105,AL105)</f>
        <v>#VALUE!</v>
      </c>
      <c r="AU105" s="101" t="e">
        <f>CHOOSE(CharGenMain!$C$220,X105,Y105,Z105,AA105,AB105,AC105,AD105,AE105,AF105,AG105,AH105,AI105,AJ105,AK105,AL105)</f>
        <v>#VALUE!</v>
      </c>
      <c r="AV105" s="101" t="e">
        <f>CHOOSE(CharGenMain!$C$221,X105,Y105,Z105,AA105,AB105,AC105,AD105,AE105,AF105,AG105,AH105,AI105,AJ105,AK105,AL105)</f>
        <v>#VALUE!</v>
      </c>
      <c r="AW105" s="101" t="e">
        <f>CHOOSE(CharGenMain!$C$222,X105,Y105,Z105,AA105,AB105,AC105,AD105,AE105,AF105,AG105,AH105,AI105,AJ105,AK105,AL105)</f>
        <v>#VALUE!</v>
      </c>
      <c r="AX105" s="101" t="e">
        <f>CHOOSE(CharGenMain!$C$223,X105,Y105,Z105,AA105,AB105,AC105,AD105,AE105,AF105,AG105,AH105,AI105,AJ105,AK105,AL105)</f>
        <v>#VALUE!</v>
      </c>
      <c r="AY105" s="101" t="e">
        <f>CHOOSE(CharGenMain!$C$224,X105,Y105,Z105,AA105,AB105,AC105,AD105,AE105,AF105,AG105,AH105,AI105,AJ105,AK105,AL105)</f>
        <v>#VALUE!</v>
      </c>
      <c r="AZ105" s="101" t="e">
        <f>CHOOSE(CharGenMain!$C$225,X105,Y105,Z105,AA105,AB105,AC105,AD105,AE105,AF105,AG105,AH105,AI105,AJ105,AK105,AL105)</f>
        <v>#VALUE!</v>
      </c>
      <c r="BA105" s="271" t="e">
        <f>CHOOSE(CharGenMain!$C$226,X105,Y105,Z105,AA105,AB105,AC105,AD105,AE105,AF105,AG105,AH105,AI105,AJ105,AK105,AL105)</f>
        <v>#VALUE!</v>
      </c>
    </row>
    <row r="106" spans="6:53">
      <c r="F106" s="203"/>
      <c r="M106" s="203"/>
      <c r="R106" s="226" t="s">
        <v>1589</v>
      </c>
      <c r="S106" s="167" t="s">
        <v>1932</v>
      </c>
      <c r="T106" s="14" t="s">
        <v>2667</v>
      </c>
      <c r="U106" s="14">
        <v>2</v>
      </c>
      <c r="V106" s="14">
        <v>7</v>
      </c>
      <c r="W106" s="14">
        <v>18</v>
      </c>
      <c r="X106" s="207" t="s">
        <v>1590</v>
      </c>
      <c r="Y106" s="207" t="s">
        <v>1591</v>
      </c>
      <c r="Z106" s="207" t="s">
        <v>1472</v>
      </c>
      <c r="AA106" s="207" t="s">
        <v>1470</v>
      </c>
      <c r="AB106" s="207" t="s">
        <v>1471</v>
      </c>
      <c r="AC106" s="207" t="s">
        <v>1372</v>
      </c>
      <c r="AD106" s="207" t="s">
        <v>1373</v>
      </c>
      <c r="AE106" s="87" t="s">
        <v>2997</v>
      </c>
      <c r="AF106" s="87" t="s">
        <v>2997</v>
      </c>
      <c r="AG106" s="87" t="s">
        <v>2997</v>
      </c>
      <c r="AH106" s="87" t="s">
        <v>2997</v>
      </c>
      <c r="AI106" s="87" t="s">
        <v>2997</v>
      </c>
      <c r="AJ106" s="87" t="s">
        <v>2997</v>
      </c>
      <c r="AK106" s="87" t="s">
        <v>2997</v>
      </c>
      <c r="AL106" s="87" t="s">
        <v>2997</v>
      </c>
      <c r="AM106" s="101" t="str">
        <f>CHOOSE(CharGenMain!$C$212,X106,Y106,Z106,AA106,AB106,AC106,AD106,AE106,AF106,AG106,AH106,AI106,AJ106,AK106,AL106)</f>
        <v>+1 phys arm, +1 myst arm, +2 interaction to allegiance, large favor as small</v>
      </c>
      <c r="AN106" s="101" t="str">
        <f>CHOOSE(CharGenMain!$C$213,X106,Y106,Z106,AA106,AB106,AC106,AD106,AE106,AF106,AG106,AH106,AI106,AJ106,AK106,AL106)</f>
        <v>+2 interaction to allegiance</v>
      </c>
      <c r="AO106" s="101" t="str">
        <f>CHOOSE(CharGenMain!$C$214,X106,Y106,Z106,AA106,AB106,AC106,AD106,AE106,AF106,AG106,AH106,AI106,AJ106,AK106,AL106)</f>
        <v>+2 interaction to allegiance</v>
      </c>
      <c r="AP106" s="101" t="str">
        <f>CHOOSE(CharGenMain!$C$215,X106,Y106,Z106,AA106,AB106,AC106,AD106,AE106,AF106,AG106,AH106,AI106,AJ106,AK106,AL106)</f>
        <v>+1 phys arm, +1 myst arm, +2 interaction to allegiance</v>
      </c>
      <c r="AQ106" s="101" t="str">
        <f>CHOOSE(CharGenMain!$C$216,X106,Y106,Z106,AA106,AB106,AC106,AD106,AE106,AF106,AG106,AH106,AI106,AJ106,AK106,AL106)</f>
        <v>+2 phys arm, +2 myst arm, +2 interaction to allegiance, large favor as small</v>
      </c>
      <c r="AR106" s="101" t="str">
        <f>CHOOSE(CharGenMain!$C$217,X106,Y106,Z106,AA106,AB106,AC106,AD106,AE106,AF106,AG106,AH106,AI106,AJ106,AK106,AL106)</f>
        <v>+2 phys arm, +2 myst arm, arm pen hit +1 level, +2 interaction to allegiance, large favor as small</v>
      </c>
      <c r="AS106" s="101" t="e">
        <f>CHOOSE(CharGenMain!$C$218,X106,Y106,Z106,AA106,AB106,AC106,AD106,AE106,AF106,AG106,AH106,AI106,AJ106,AK106,AL106)</f>
        <v>#VALUE!</v>
      </c>
      <c r="AT106" s="101" t="e">
        <f>CHOOSE(CharGenMain!$C$219,X106,Y106,Z106,AA106,AB106,AC106,AD106,AE106,AF106,AG106,AH106,AI106,AJ106,AK106,AL106)</f>
        <v>#VALUE!</v>
      </c>
      <c r="AU106" s="101" t="e">
        <f>CHOOSE(CharGenMain!$C$220,X106,Y106,Z106,AA106,AB106,AC106,AD106,AE106,AF106,AG106,AH106,AI106,AJ106,AK106,AL106)</f>
        <v>#VALUE!</v>
      </c>
      <c r="AV106" s="101" t="e">
        <f>CHOOSE(CharGenMain!$C$221,X106,Y106,Z106,AA106,AB106,AC106,AD106,AE106,AF106,AG106,AH106,AI106,AJ106,AK106,AL106)</f>
        <v>#VALUE!</v>
      </c>
      <c r="AW106" s="101" t="e">
        <f>CHOOSE(CharGenMain!$C$222,X106,Y106,Z106,AA106,AB106,AC106,AD106,AE106,AF106,AG106,AH106,AI106,AJ106,AK106,AL106)</f>
        <v>#VALUE!</v>
      </c>
      <c r="AX106" s="101" t="e">
        <f>CHOOSE(CharGenMain!$C$223,X106,Y106,Z106,AA106,AB106,AC106,AD106,AE106,AF106,AG106,AH106,AI106,AJ106,AK106,AL106)</f>
        <v>#VALUE!</v>
      </c>
      <c r="AY106" s="101" t="e">
        <f>CHOOSE(CharGenMain!$C$224,X106,Y106,Z106,AA106,AB106,AC106,AD106,AE106,AF106,AG106,AH106,AI106,AJ106,AK106,AL106)</f>
        <v>#VALUE!</v>
      </c>
      <c r="AZ106" s="101" t="e">
        <f>CHOOSE(CharGenMain!$C$225,X106,Y106,Z106,AA106,AB106,AC106,AD106,AE106,AF106,AG106,AH106,AI106,AJ106,AK106,AL106)</f>
        <v>#VALUE!</v>
      </c>
      <c r="BA106" s="271" t="e">
        <f>CHOOSE(CharGenMain!$C$226,X106,Y106,Z106,AA106,AB106,AC106,AD106,AE106,AF106,AG106,AH106,AI106,AJ106,AK106,AL106)</f>
        <v>#VALUE!</v>
      </c>
    </row>
    <row r="107" spans="6:53">
      <c r="M107" s="203"/>
      <c r="R107" s="20" t="s">
        <v>1370</v>
      </c>
      <c r="S107" s="14" t="s">
        <v>1371</v>
      </c>
      <c r="T107" s="14" t="s">
        <v>2279</v>
      </c>
      <c r="U107" s="14">
        <v>2</v>
      </c>
      <c r="V107" s="14">
        <v>6</v>
      </c>
      <c r="W107" s="14">
        <v>14</v>
      </c>
      <c r="X107" s="87" t="s">
        <v>1477</v>
      </c>
      <c r="Y107" s="87" t="s">
        <v>1477</v>
      </c>
      <c r="Z107" s="87" t="s">
        <v>1477</v>
      </c>
      <c r="AA107" s="87" t="s">
        <v>1477</v>
      </c>
      <c r="AB107" s="87" t="s">
        <v>1477</v>
      </c>
      <c r="AC107" s="87" t="s">
        <v>1477</v>
      </c>
      <c r="AD107" s="87" t="s">
        <v>2997</v>
      </c>
      <c r="AE107" s="87" t="s">
        <v>2997</v>
      </c>
      <c r="AF107" s="87" t="s">
        <v>2997</v>
      </c>
      <c r="AG107" s="87" t="s">
        <v>2997</v>
      </c>
      <c r="AH107" s="87" t="s">
        <v>2997</v>
      </c>
      <c r="AI107" s="87" t="s">
        <v>2997</v>
      </c>
      <c r="AJ107" s="87" t="s">
        <v>2997</v>
      </c>
      <c r="AK107" s="87" t="s">
        <v>2997</v>
      </c>
      <c r="AL107" s="87" t="s">
        <v>2997</v>
      </c>
      <c r="AM107" s="101" t="str">
        <f>CHOOSE(CharGenMain!$C$212,X107,Y107,Z107,AA107,AB107,AC107,AD107,AE107,AF107,AG107,AH107,AI107,AJ107,AK107,AL107)</f>
        <v>thieving bonuses, see text</v>
      </c>
      <c r="AN107" s="101" t="str">
        <f>CHOOSE(CharGenMain!$C$213,X107,Y107,Z107,AA107,AB107,AC107,AD107,AE107,AF107,AG107,AH107,AI107,AJ107,AK107,AL107)</f>
        <v>thieving bonuses, see text</v>
      </c>
      <c r="AO107" s="101" t="str">
        <f>CHOOSE(CharGenMain!$C$214,X107,Y107,Z107,AA107,AB107,AC107,AD107,AE107,AF107,AG107,AH107,AI107,AJ107,AK107,AL107)</f>
        <v>thieving bonuses, see text</v>
      </c>
      <c r="AP107" s="101" t="str">
        <f>CHOOSE(CharGenMain!$C$215,X107,Y107,Z107,AA107,AB107,AC107,AD107,AE107,AF107,AG107,AH107,AI107,AJ107,AK107,AL107)</f>
        <v>thieving bonuses, see text</v>
      </c>
      <c r="AQ107" s="101" t="str">
        <f>CHOOSE(CharGenMain!$C$216,X107,Y107,Z107,AA107,AB107,AC107,AD107,AE107,AF107,AG107,AH107,AI107,AJ107,AK107,AL107)</f>
        <v>thieving bonuses, see text</v>
      </c>
      <c r="AR107" s="101" t="str">
        <f>CHOOSE(CharGenMain!$C$217,X107,Y107,Z107,AA107,AB107,AC107,AD107,AE107,AF107,AG107,AH107,AI107,AJ107,AK107,AL107)</f>
        <v>thieving bonuses, see text</v>
      </c>
      <c r="AS107" s="101" t="e">
        <f>CHOOSE(CharGenMain!$C$218,X107,Y107,Z107,AA107,AB107,AC107,AD107,AE107,AF107,AG107,AH107,AI107,AJ107,AK107,AL107)</f>
        <v>#VALUE!</v>
      </c>
      <c r="AT107" s="101" t="e">
        <f>CHOOSE(CharGenMain!$C$219,X107,Y107,Z107,AA107,AB107,AC107,AD107,AE107,AF107,AG107,AH107,AI107,AJ107,AK107,AL107)</f>
        <v>#VALUE!</v>
      </c>
      <c r="AU107" s="101" t="e">
        <f>CHOOSE(CharGenMain!$C$220,X107,Y107,Z107,AA107,AB107,AC107,AD107,AE107,AF107,AG107,AH107,AI107,AJ107,AK107,AL107)</f>
        <v>#VALUE!</v>
      </c>
      <c r="AV107" s="101" t="e">
        <f>CHOOSE(CharGenMain!$C$221,X107,Y107,Z107,AA107,AB107,AC107,AD107,AE107,AF107,AG107,AH107,AI107,AJ107,AK107,AL107)</f>
        <v>#VALUE!</v>
      </c>
      <c r="AW107" s="101" t="e">
        <f>CHOOSE(CharGenMain!$C$222,X107,Y107,Z107,AA107,AB107,AC107,AD107,AE107,AF107,AG107,AH107,AI107,AJ107,AK107,AL107)</f>
        <v>#VALUE!</v>
      </c>
      <c r="AX107" s="101" t="e">
        <f>CHOOSE(CharGenMain!$C$223,X107,Y107,Z107,AA107,AB107,AC107,AD107,AE107,AF107,AG107,AH107,AI107,AJ107,AK107,AL107)</f>
        <v>#VALUE!</v>
      </c>
      <c r="AY107" s="101" t="e">
        <f>CHOOSE(CharGenMain!$C$224,X107,Y107,Z107,AA107,AB107,AC107,AD107,AE107,AF107,AG107,AH107,AI107,AJ107,AK107,AL107)</f>
        <v>#VALUE!</v>
      </c>
      <c r="AZ107" s="101" t="e">
        <f>CHOOSE(CharGenMain!$C$225,X107,Y107,Z107,AA107,AB107,AC107,AD107,AE107,AF107,AG107,AH107,AI107,AJ107,AK107,AL107)</f>
        <v>#VALUE!</v>
      </c>
      <c r="BA107" s="271" t="e">
        <f>CHOOSE(CharGenMain!$C$226,X107,Y107,Z107,AA107,AB107,AC107,AD107,AE107,AF107,AG107,AH107,AI107,AJ107,AK107,AL107)</f>
        <v>#VALUE!</v>
      </c>
    </row>
    <row r="108" spans="6:53">
      <c r="M108" s="203"/>
      <c r="R108" s="226" t="s">
        <v>5825</v>
      </c>
      <c r="S108" s="14" t="s">
        <v>528</v>
      </c>
      <c r="T108" s="14" t="s">
        <v>2667</v>
      </c>
      <c r="U108" s="14">
        <v>1</v>
      </c>
      <c r="V108" s="14">
        <v>4</v>
      </c>
      <c r="W108" s="14">
        <v>12</v>
      </c>
      <c r="X108" s="206" t="s">
        <v>5826</v>
      </c>
      <c r="Y108" s="206" t="s">
        <v>5827</v>
      </c>
      <c r="Z108" s="206" t="s">
        <v>5828</v>
      </c>
      <c r="AA108" s="206" t="s">
        <v>5829</v>
      </c>
      <c r="AB108" s="87" t="s">
        <v>2997</v>
      </c>
      <c r="AC108" s="87" t="s">
        <v>2997</v>
      </c>
      <c r="AD108" s="87" t="s">
        <v>2997</v>
      </c>
      <c r="AE108" s="87" t="s">
        <v>2997</v>
      </c>
      <c r="AF108" s="87" t="s">
        <v>2997</v>
      </c>
      <c r="AG108" s="87" t="s">
        <v>2997</v>
      </c>
      <c r="AH108" s="87" t="s">
        <v>2997</v>
      </c>
      <c r="AI108" s="87" t="s">
        <v>2997</v>
      </c>
      <c r="AJ108" s="87" t="s">
        <v>2997</v>
      </c>
      <c r="AK108" s="87" t="s">
        <v>2997</v>
      </c>
      <c r="AL108" s="87" t="s">
        <v>2997</v>
      </c>
      <c r="AM108" s="101" t="str">
        <f>CHOOSE(CharGenMain!$C$212,X108,Y108,Z108,AA108,AB108,AC108,AD108,AE108,AF108,AG108,AH108,AI108,AJ108,AK108,AL108)</f>
        <v>+40/20 Movement Rate, +1 Phys Def</v>
      </c>
      <c r="AN108" s="101" t="str">
        <f>CHOOSE(CharGenMain!$C$213,X108,Y108,Z108,AA108,AB108,AC108,AD108,AE108,AF108,AG108,AH108,AI108,AJ108,AK108,AL108)</f>
        <v>+22/10 Movement Rate</v>
      </c>
      <c r="AO108" s="101" t="str">
        <f>CHOOSE(CharGenMain!$C$214,X108,Y108,Z108,AA108,AB108,AC108,AD108,AE108,AF108,AG108,AH108,AI108,AJ108,AK108,AL108)</f>
        <v>+22/10 Movement Rate</v>
      </c>
      <c r="AP108" s="101" t="str">
        <f>CHOOSE(CharGenMain!$C$215,X108,Y108,Z108,AA108,AB108,AC108,AD108,AE108,AF108,AG108,AH108,AI108,AJ108,AK108,AL108)</f>
        <v>+20/10 Movement Rate, +1 Phys Def</v>
      </c>
      <c r="AQ108" s="101" t="str">
        <f>CHOOSE(CharGenMain!$C$216,X108,Y108,Z108,AA108,AB108,AC108,AD108,AE108,AF108,AG108,AH108,AI108,AJ108,AK108,AL108)</f>
        <v>+40/20 Movement Rate, +2 Phys Def</v>
      </c>
      <c r="AR108" s="101" t="str">
        <f>CHOOSE(CharGenMain!$C$217,X108,Y108,Z108,AA108,AB108,AC108,AD108,AE108,AF108,AG108,AH108,AI108,AJ108,AK108,AL108)</f>
        <v>Thread Max Exceeded</v>
      </c>
      <c r="AS108" s="101" t="e">
        <f>CHOOSE(CharGenMain!$C$218,X108,Y108,Z108,AA108,AB108,AC108,AD108,AE108,AF108,AG108,AH108,AI108,AJ108,AK108,AL108)</f>
        <v>#VALUE!</v>
      </c>
      <c r="AT108" s="101" t="e">
        <f>CHOOSE(CharGenMain!$C$219,X108,Y108,Z108,AA108,AB108,AC108,AD108,AE108,AF108,AG108,AH108,AI108,AJ108,AK108,AL108)</f>
        <v>#VALUE!</v>
      </c>
      <c r="AU108" s="101" t="e">
        <f>CHOOSE(CharGenMain!$C$220,X108,Y108,Z108,AA108,AB108,AC108,AD108,AE108,AF108,AG108,AH108,AI108,AJ108,AK108,AL108)</f>
        <v>#VALUE!</v>
      </c>
      <c r="AV108" s="101" t="e">
        <f>CHOOSE(CharGenMain!$C$221,X108,Y108,Z108,AA108,AB108,AC108,AD108,AE108,AF108,AG108,AH108,AI108,AJ108,AK108,AL108)</f>
        <v>#VALUE!</v>
      </c>
      <c r="AW108" s="101" t="e">
        <f>CHOOSE(CharGenMain!$C$222,X108,Y108,Z108,AA108,AB108,AC108,AD108,AE108,AF108,AG108,AH108,AI108,AJ108,AK108,AL108)</f>
        <v>#VALUE!</v>
      </c>
      <c r="AX108" s="101" t="e">
        <f>CHOOSE(CharGenMain!$C$223,X108,Y108,Z108,AA108,AB108,AC108,AD108,AE108,AF108,AG108,AH108,AI108,AJ108,AK108,AL108)</f>
        <v>#VALUE!</v>
      </c>
      <c r="AY108" s="101" t="e">
        <f>CHOOSE(CharGenMain!$C$224,X108,Y108,Z108,AA108,AB108,AC108,AD108,AE108,AF108,AG108,AH108,AI108,AJ108,AK108,AL108)</f>
        <v>#VALUE!</v>
      </c>
      <c r="AZ108" s="101" t="e">
        <f>CHOOSE(CharGenMain!$C$225,X108,Y108,Z108,AA108,AB108,AC108,AD108,AE108,AF108,AG108,AH108,AI108,AJ108,AK108,AL108)</f>
        <v>#VALUE!</v>
      </c>
      <c r="BA108" s="271" t="e">
        <f>CHOOSE(CharGenMain!$C$226,X108,Y108,Z108,AA108,AB108,AC108,AD108,AE108,AF108,AG108,AH108,AI108,AJ108,AK108,AL108)</f>
        <v>#VALUE!</v>
      </c>
    </row>
    <row r="109" spans="6:53">
      <c r="M109" s="203"/>
      <c r="R109" s="226" t="s">
        <v>5830</v>
      </c>
      <c r="S109" s="14" t="s">
        <v>528</v>
      </c>
      <c r="T109" s="14" t="s">
        <v>2667</v>
      </c>
      <c r="U109" s="14">
        <v>2</v>
      </c>
      <c r="V109" s="14">
        <v>6</v>
      </c>
      <c r="W109" s="14">
        <v>12</v>
      </c>
      <c r="X109" s="206" t="s">
        <v>5826</v>
      </c>
      <c r="Y109" s="206" t="s">
        <v>5827</v>
      </c>
      <c r="Z109" s="206" t="s">
        <v>5828</v>
      </c>
      <c r="AA109" s="206" t="s">
        <v>5829</v>
      </c>
      <c r="AB109" s="206" t="s">
        <v>5831</v>
      </c>
      <c r="AC109" s="206" t="s">
        <v>5864</v>
      </c>
      <c r="AD109" s="87" t="s">
        <v>2997</v>
      </c>
      <c r="AE109" s="87" t="s">
        <v>2997</v>
      </c>
      <c r="AF109" s="87" t="s">
        <v>2997</v>
      </c>
      <c r="AG109" s="87" t="s">
        <v>2997</v>
      </c>
      <c r="AH109" s="87" t="s">
        <v>2997</v>
      </c>
      <c r="AI109" s="87" t="s">
        <v>2997</v>
      </c>
      <c r="AJ109" s="87" t="s">
        <v>2997</v>
      </c>
      <c r="AK109" s="87" t="s">
        <v>2997</v>
      </c>
      <c r="AL109" s="87" t="s">
        <v>2997</v>
      </c>
      <c r="AM109" s="101" t="str">
        <f>CHOOSE(CharGenMain!$C$212,X109,Y109,Z109,AA109,AB109,AC109,AD109,AE109,AF109,AG109,AH109,AI109,AJ109,AK109,AL109)</f>
        <v>+40/20 Movement Rate, +1 Phys Def</v>
      </c>
      <c r="AN109" s="101" t="str">
        <f>CHOOSE(CharGenMain!$C$213,X109,Y109,Z109,AA109,AB109,AC109,AD109,AE109,AF109,AG109,AH109,AI109,AJ109,AK109,AL109)</f>
        <v>+22/10 Movement Rate</v>
      </c>
      <c r="AO109" s="101" t="str">
        <f>CHOOSE(CharGenMain!$C$214,X109,Y109,Z109,AA109,AB109,AC109,AD109,AE109,AF109,AG109,AH109,AI109,AJ109,AK109,AL109)</f>
        <v>+22/10 Movement Rate</v>
      </c>
      <c r="AP109" s="101" t="str">
        <f>CHOOSE(CharGenMain!$C$215,X109,Y109,Z109,AA109,AB109,AC109,AD109,AE109,AF109,AG109,AH109,AI109,AJ109,AK109,AL109)</f>
        <v>+20/10 Movement Rate, +1 Phys Def</v>
      </c>
      <c r="AQ109" s="101" t="str">
        <f>CHOOSE(CharGenMain!$C$216,X109,Y109,Z109,AA109,AB109,AC109,AD109,AE109,AF109,AG109,AH109,AI109,AJ109,AK109,AL109)</f>
        <v>+40/20 Movement Rate, +2 Phys Def</v>
      </c>
      <c r="AR109" s="101" t="str">
        <f>CHOOSE(CharGenMain!$C$217,X109,Y109,Z109,AA109,AB109,AC109,AD109,AE109,AF109,AG109,AH109,AI109,AJ109,AK109,AL109)</f>
        <v>+40/20 Movement Rate, +2 Phys Def, +3 Great Leap for 1 strain</v>
      </c>
      <c r="AS109" s="101" t="e">
        <f>CHOOSE(CharGenMain!$C$218,X109,Y109,Z109,AA109,AB109,AC109,AD109,AE109,AF109,AG109,AH109,AI109,AJ109,AK109,AL109)</f>
        <v>#VALUE!</v>
      </c>
      <c r="AT109" s="101" t="e">
        <f>CHOOSE(CharGenMain!$C$219,X109,Y109,Z109,AA109,AB109,AC109,AD109,AE109,AF109,AG109,AH109,AI109,AJ109,AK109,AL109)</f>
        <v>#VALUE!</v>
      </c>
      <c r="AU109" s="101" t="e">
        <f>CHOOSE(CharGenMain!$C$220,X109,Y109,Z109,AA109,AB109,AC109,AD109,AE109,AF109,AG109,AH109,AI109,AJ109,AK109,AL109)</f>
        <v>#VALUE!</v>
      </c>
      <c r="AV109" s="101" t="e">
        <f>CHOOSE(CharGenMain!$C$221,X109,Y109,Z109,AA109,AB109,AC109,AD109,AE109,AF109,AG109,AH109,AI109,AJ109,AK109,AL109)</f>
        <v>#VALUE!</v>
      </c>
      <c r="AW109" s="101" t="e">
        <f>CHOOSE(CharGenMain!$C$222,X109,Y109,Z109,AA109,AB109,AC109,AD109,AE109,AF109,AG109,AH109,AI109,AJ109,AK109,AL109)</f>
        <v>#VALUE!</v>
      </c>
      <c r="AX109" s="101" t="e">
        <f>CHOOSE(CharGenMain!$C$223,X109,Y109,Z109,AA109,AB109,AC109,AD109,AE109,AF109,AG109,AH109,AI109,AJ109,AK109,AL109)</f>
        <v>#VALUE!</v>
      </c>
      <c r="AY109" s="101" t="e">
        <f>CHOOSE(CharGenMain!$C$224,X109,Y109,Z109,AA109,AB109,AC109,AD109,AE109,AF109,AG109,AH109,AI109,AJ109,AK109,AL109)</f>
        <v>#VALUE!</v>
      </c>
      <c r="AZ109" s="101" t="e">
        <f>CHOOSE(CharGenMain!$C$225,X109,Y109,Z109,AA109,AB109,AC109,AD109,AE109,AF109,AG109,AH109,AI109,AJ109,AK109,AL109)</f>
        <v>#VALUE!</v>
      </c>
      <c r="BA109" s="271" t="e">
        <f>CHOOSE(CharGenMain!$C$226,X109,Y109,Z109,AA109,AB109,AC109,AD109,AE109,AF109,AG109,AH109,AI109,AJ109,AK109,AL109)</f>
        <v>#VALUE!</v>
      </c>
    </row>
    <row r="110" spans="6:53">
      <c r="R110" s="20" t="s">
        <v>1606</v>
      </c>
      <c r="S110" s="14" t="s">
        <v>1487</v>
      </c>
      <c r="T110" s="14" t="s">
        <v>2279</v>
      </c>
      <c r="U110" s="14">
        <v>4</v>
      </c>
      <c r="V110" s="14">
        <v>4</v>
      </c>
      <c r="W110" s="14">
        <v>12</v>
      </c>
      <c r="X110" s="87" t="s">
        <v>1488</v>
      </c>
      <c r="Y110" s="87" t="s">
        <v>1488</v>
      </c>
      <c r="Z110" s="87" t="s">
        <v>1488</v>
      </c>
      <c r="AA110" s="87" t="s">
        <v>1488</v>
      </c>
      <c r="AB110" s="87" t="s">
        <v>2997</v>
      </c>
      <c r="AC110" s="87" t="s">
        <v>2997</v>
      </c>
      <c r="AD110" s="87" t="s">
        <v>2997</v>
      </c>
      <c r="AE110" s="87" t="s">
        <v>2997</v>
      </c>
      <c r="AF110" s="87" t="s">
        <v>2997</v>
      </c>
      <c r="AG110" s="87" t="s">
        <v>2997</v>
      </c>
      <c r="AH110" s="87" t="s">
        <v>2997</v>
      </c>
      <c r="AI110" s="87" t="s">
        <v>2997</v>
      </c>
      <c r="AJ110" s="87" t="s">
        <v>2997</v>
      </c>
      <c r="AK110" s="87" t="s">
        <v>2997</v>
      </c>
      <c r="AL110" s="87" t="s">
        <v>2997</v>
      </c>
      <c r="AM110" s="101" t="str">
        <f>CHOOSE(CharGenMain!$C$212,X110,Y110,Z110,AA110,AB110,AC110,AD110,AE110,AF110,AG110,AH110,AI110,AJ110,AK110,AL110)</f>
        <v>bonuses to interaction and charisma, see text</v>
      </c>
      <c r="AN110" s="101" t="str">
        <f>CHOOSE(CharGenMain!$C$213,X110,Y110,Z110,AA110,AB110,AC110,AD110,AE110,AF110,AG110,AH110,AI110,AJ110,AK110,AL110)</f>
        <v>bonuses to interaction and charisma, see text</v>
      </c>
      <c r="AO110" s="101" t="str">
        <f>CHOOSE(CharGenMain!$C$214,X110,Y110,Z110,AA110,AB110,AC110,AD110,AE110,AF110,AG110,AH110,AI110,AJ110,AK110,AL110)</f>
        <v>bonuses to interaction and charisma, see text</v>
      </c>
      <c r="AP110" s="101" t="str">
        <f>CHOOSE(CharGenMain!$C$215,X110,Y110,Z110,AA110,AB110,AC110,AD110,AE110,AF110,AG110,AH110,AI110,AJ110,AK110,AL110)</f>
        <v>bonuses to interaction and charisma, see text</v>
      </c>
      <c r="AQ110" s="101" t="str">
        <f>CHOOSE(CharGenMain!$C$216,X110,Y110,Z110,AA110,AB110,AC110,AD110,AE110,AF110,AG110,AH110,AI110,AJ110,AK110,AL110)</f>
        <v>bonuses to interaction and charisma, see text</v>
      </c>
      <c r="AR110" s="101" t="str">
        <f>CHOOSE(CharGenMain!$C$217,X110,Y110,Z110,AA110,AB110,AC110,AD110,AE110,AF110,AG110,AH110,AI110,AJ110,AK110,AL110)</f>
        <v>Thread Max Exceeded</v>
      </c>
      <c r="AS110" s="101" t="e">
        <f>CHOOSE(CharGenMain!$C$218,X110,Y110,Z110,AA110,AB110,AC110,AD110,AE110,AF110,AG110,AH110,AI110,AJ110,AK110,AL110)</f>
        <v>#VALUE!</v>
      </c>
      <c r="AT110" s="101" t="e">
        <f>CHOOSE(CharGenMain!$C$219,X110,Y110,Z110,AA110,AB110,AC110,AD110,AE110,AF110,AG110,AH110,AI110,AJ110,AK110,AL110)</f>
        <v>#VALUE!</v>
      </c>
      <c r="AU110" s="101" t="e">
        <f>CHOOSE(CharGenMain!$C$220,X110,Y110,Z110,AA110,AB110,AC110,AD110,AE110,AF110,AG110,AH110,AI110,AJ110,AK110,AL110)</f>
        <v>#VALUE!</v>
      </c>
      <c r="AV110" s="101" t="e">
        <f>CHOOSE(CharGenMain!$C$221,X110,Y110,Z110,AA110,AB110,AC110,AD110,AE110,AF110,AG110,AH110,AI110,AJ110,AK110,AL110)</f>
        <v>#VALUE!</v>
      </c>
      <c r="AW110" s="101" t="e">
        <f>CHOOSE(CharGenMain!$C$222,X110,Y110,Z110,AA110,AB110,AC110,AD110,AE110,AF110,AG110,AH110,AI110,AJ110,AK110,AL110)</f>
        <v>#VALUE!</v>
      </c>
      <c r="AX110" s="101" t="e">
        <f>CHOOSE(CharGenMain!$C$223,X110,Y110,Z110,AA110,AB110,AC110,AD110,AE110,AF110,AG110,AH110,AI110,AJ110,AK110,AL110)</f>
        <v>#VALUE!</v>
      </c>
      <c r="AY110" s="101" t="e">
        <f>CHOOSE(CharGenMain!$C$224,X110,Y110,Z110,AA110,AB110,AC110,AD110,AE110,AF110,AG110,AH110,AI110,AJ110,AK110,AL110)</f>
        <v>#VALUE!</v>
      </c>
      <c r="AZ110" s="101" t="e">
        <f>CHOOSE(CharGenMain!$C$225,X110,Y110,Z110,AA110,AB110,AC110,AD110,AE110,AF110,AG110,AH110,AI110,AJ110,AK110,AL110)</f>
        <v>#VALUE!</v>
      </c>
      <c r="BA110" s="271" t="e">
        <f>CHOOSE(CharGenMain!$C$226,X110,Y110,Z110,AA110,AB110,AC110,AD110,AE110,AF110,AG110,AH110,AI110,AJ110,AK110,AL110)</f>
        <v>#VALUE!</v>
      </c>
    </row>
    <row r="111" spans="6:53">
      <c r="M111" s="203"/>
      <c r="R111" s="20" t="s">
        <v>1489</v>
      </c>
      <c r="S111" s="14" t="s">
        <v>1490</v>
      </c>
      <c r="T111" s="14" t="s">
        <v>2667</v>
      </c>
      <c r="U111" s="14">
        <v>2</v>
      </c>
      <c r="V111" s="14">
        <v>4</v>
      </c>
      <c r="W111" s="14">
        <v>15</v>
      </c>
      <c r="X111" s="87" t="s">
        <v>1483</v>
      </c>
      <c r="Y111" s="87" t="s">
        <v>1484</v>
      </c>
      <c r="Z111" s="87" t="s">
        <v>1485</v>
      </c>
      <c r="AA111" s="87" t="s">
        <v>1493</v>
      </c>
      <c r="AB111" s="87" t="s">
        <v>2997</v>
      </c>
      <c r="AC111" s="87" t="s">
        <v>2997</v>
      </c>
      <c r="AD111" s="87" t="s">
        <v>2997</v>
      </c>
      <c r="AE111" s="87" t="s">
        <v>2997</v>
      </c>
      <c r="AF111" s="87" t="s">
        <v>2997</v>
      </c>
      <c r="AG111" s="87" t="s">
        <v>2997</v>
      </c>
      <c r="AH111" s="87" t="s">
        <v>2997</v>
      </c>
      <c r="AI111" s="87" t="s">
        <v>2997</v>
      </c>
      <c r="AJ111" s="87" t="s">
        <v>2997</v>
      </c>
      <c r="AK111" s="87" t="s">
        <v>2997</v>
      </c>
      <c r="AL111" s="87" t="s">
        <v>2997</v>
      </c>
      <c r="AM111" s="101" t="str">
        <f>CHOOSE(CharGenMain!$C$212,X111,Y111,Z111,AA111,AB111,AC111,AD111,AE111,AF111,AG111,AH111,AI111,AJ111,AK111,AL111)</f>
        <v>Ethereal Darkness 10 yard radius for 4 rounds</v>
      </c>
      <c r="AN111" s="101" t="str">
        <f>CHOOSE(CharGenMain!$C$213,X111,Y111,Z111,AA111,AB111,AC111,AD111,AE111,AF111,AG111,AH111,AI111,AJ111,AK111,AL111)</f>
        <v>Ethereal Darkness 6 yard radius for 2 rounds</v>
      </c>
      <c r="AO111" s="101" t="str">
        <f>CHOOSE(CharGenMain!$C$214,X111,Y111,Z111,AA111,AB111,AC111,AD111,AE111,AF111,AG111,AH111,AI111,AJ111,AK111,AL111)</f>
        <v>Ethereal Darkness 6 yard radius for 2 rounds</v>
      </c>
      <c r="AP111" s="101" t="str">
        <f>CHOOSE(CharGenMain!$C$215,X111,Y111,Z111,AA111,AB111,AC111,AD111,AE111,AF111,AG111,AH111,AI111,AJ111,AK111,AL111)</f>
        <v>Ethereal Darkness 8 yard radius for 3 rounds</v>
      </c>
      <c r="AQ111" s="101" t="str">
        <f>CHOOSE(CharGenMain!$C$216,X111,Y111,Z111,AA111,AB111,AC111,AD111,AE111,AF111,AG111,AH111,AI111,AJ111,AK111,AL111)</f>
        <v>Ethereal Darkness 12 yard radius for 5 rounds</v>
      </c>
      <c r="AR111" s="101" t="str">
        <f>CHOOSE(CharGenMain!$C$217,X111,Y111,Z111,AA111,AB111,AC111,AD111,AE111,AF111,AG111,AH111,AI111,AJ111,AK111,AL111)</f>
        <v>Thread Max Exceeded</v>
      </c>
      <c r="AS111" s="101" t="e">
        <f>CHOOSE(CharGenMain!$C$218,X111,Y111,Z111,AA111,AB111,AC111,AD111,AE111,AF111,AG111,AH111,AI111,AJ111,AK111,AL111)</f>
        <v>#VALUE!</v>
      </c>
      <c r="AT111" s="101" t="e">
        <f>CHOOSE(CharGenMain!$C$219,X111,Y111,Z111,AA111,AB111,AC111,AD111,AE111,AF111,AG111,AH111,AI111,AJ111,AK111,AL111)</f>
        <v>#VALUE!</v>
      </c>
      <c r="AU111" s="101" t="e">
        <f>CHOOSE(CharGenMain!$C$220,X111,Y111,Z111,AA111,AB111,AC111,AD111,AE111,AF111,AG111,AH111,AI111,AJ111,AK111,AL111)</f>
        <v>#VALUE!</v>
      </c>
      <c r="AV111" s="101" t="e">
        <f>CHOOSE(CharGenMain!$C$221,X111,Y111,Z111,AA111,AB111,AC111,AD111,AE111,AF111,AG111,AH111,AI111,AJ111,AK111,AL111)</f>
        <v>#VALUE!</v>
      </c>
      <c r="AW111" s="101" t="e">
        <f>CHOOSE(CharGenMain!$C$222,X111,Y111,Z111,AA111,AB111,AC111,AD111,AE111,AF111,AG111,AH111,AI111,AJ111,AK111,AL111)</f>
        <v>#VALUE!</v>
      </c>
      <c r="AX111" s="101" t="e">
        <f>CHOOSE(CharGenMain!$C$223,X111,Y111,Z111,AA111,AB111,AC111,AD111,AE111,AF111,AG111,AH111,AI111,AJ111,AK111,AL111)</f>
        <v>#VALUE!</v>
      </c>
      <c r="AY111" s="101" t="e">
        <f>CHOOSE(CharGenMain!$C$224,X111,Y111,Z111,AA111,AB111,AC111,AD111,AE111,AF111,AG111,AH111,AI111,AJ111,AK111,AL111)</f>
        <v>#VALUE!</v>
      </c>
      <c r="AZ111" s="101" t="e">
        <f>CHOOSE(CharGenMain!$C$225,X111,Y111,Z111,AA111,AB111,AC111,AD111,AE111,AF111,AG111,AH111,AI111,AJ111,AK111,AL111)</f>
        <v>#VALUE!</v>
      </c>
      <c r="BA111" s="271" t="e">
        <f>CHOOSE(CharGenMain!$C$226,X111,Y111,Z111,AA111,AB111,AC111,AD111,AE111,AF111,AG111,AH111,AI111,AJ111,AK111,AL111)</f>
        <v>#VALUE!</v>
      </c>
    </row>
    <row r="112" spans="6:53">
      <c r="R112" s="226" t="s">
        <v>1486</v>
      </c>
      <c r="S112" s="14" t="s">
        <v>1699</v>
      </c>
      <c r="T112" s="14" t="s">
        <v>2667</v>
      </c>
      <c r="U112" s="14">
        <v>3</v>
      </c>
      <c r="V112" s="14">
        <v>4</v>
      </c>
      <c r="W112" s="106">
        <v>19</v>
      </c>
      <c r="X112" s="206" t="s">
        <v>1266</v>
      </c>
      <c r="Y112" s="206" t="s">
        <v>1380</v>
      </c>
      <c r="Z112" s="206" t="s">
        <v>1381</v>
      </c>
      <c r="AA112" s="206" t="s">
        <v>1381</v>
      </c>
      <c r="AB112" s="87" t="s">
        <v>2997</v>
      </c>
      <c r="AC112" s="87" t="s">
        <v>2997</v>
      </c>
      <c r="AD112" s="87" t="s">
        <v>2997</v>
      </c>
      <c r="AE112" s="87" t="s">
        <v>2997</v>
      </c>
      <c r="AF112" s="87" t="s">
        <v>2997</v>
      </c>
      <c r="AG112" s="87" t="s">
        <v>2997</v>
      </c>
      <c r="AH112" s="87" t="s">
        <v>2997</v>
      </c>
      <c r="AI112" s="87" t="s">
        <v>2997</v>
      </c>
      <c r="AJ112" s="87" t="s">
        <v>2997</v>
      </c>
      <c r="AK112" s="87" t="s">
        <v>2997</v>
      </c>
      <c r="AL112" s="87" t="s">
        <v>2997</v>
      </c>
      <c r="AM112" s="101" t="str">
        <f>CHOOSE(CharGenMain!$C$212,X112,Y112,Z112,AA112,AB112,AC112,AD112,AE112,AF112,AG112,AH112,AI112,AJ112,AK112,AL112)</f>
        <v>+3 strength step, see text</v>
      </c>
      <c r="AN112" s="101" t="str">
        <f>CHOOSE(CharGenMain!$C$213,X112,Y112,Z112,AA112,AB112,AC112,AD112,AE112,AF112,AG112,AH112,AI112,AJ112,AK112,AL112)</f>
        <v>+2 strength step</v>
      </c>
      <c r="AO112" s="101" t="str">
        <f>CHOOSE(CharGenMain!$C$214,X112,Y112,Z112,AA112,AB112,AC112,AD112,AE112,AF112,AG112,AH112,AI112,AJ112,AK112,AL112)</f>
        <v>+2 strength step</v>
      </c>
      <c r="AP112" s="101" t="str">
        <f>CHOOSE(CharGenMain!$C$215,X112,Y112,Z112,AA112,AB112,AC112,AD112,AE112,AF112,AG112,AH112,AI112,AJ112,AK112,AL112)</f>
        <v>+3 strength step</v>
      </c>
      <c r="AQ112" s="101" t="str">
        <f>CHOOSE(CharGenMain!$C$216,X112,Y112,Z112,AA112,AB112,AC112,AD112,AE112,AF112,AG112,AH112,AI112,AJ112,AK112,AL112)</f>
        <v>+3 strength step, see text</v>
      </c>
      <c r="AR112" s="101" t="str">
        <f>CHOOSE(CharGenMain!$C$217,X112,Y112,Z112,AA112,AB112,AC112,AD112,AE112,AF112,AG112,AH112,AI112,AJ112,AK112,AL112)</f>
        <v>Thread Max Exceeded</v>
      </c>
      <c r="AS112" s="101" t="e">
        <f>CHOOSE(CharGenMain!$C$218,X112,Y112,Z112,AA112,AB112,AC112,AD112,AE112,AF112,AG112,AH112,AI112,AJ112,AK112,AL112)</f>
        <v>#VALUE!</v>
      </c>
      <c r="AT112" s="101" t="e">
        <f>CHOOSE(CharGenMain!$C$219,X112,Y112,Z112,AA112,AB112,AC112,AD112,AE112,AF112,AG112,AH112,AI112,AJ112,AK112,AL112)</f>
        <v>#VALUE!</v>
      </c>
      <c r="AU112" s="101" t="e">
        <f>CHOOSE(CharGenMain!$C$220,X112,Y112,Z112,AA112,AB112,AC112,AD112,AE112,AF112,AG112,AH112,AI112,AJ112,AK112,AL112)</f>
        <v>#VALUE!</v>
      </c>
      <c r="AV112" s="101" t="e">
        <f>CHOOSE(CharGenMain!$C$221,X112,Y112,Z112,AA112,AB112,AC112,AD112,AE112,AF112,AG112,AH112,AI112,AJ112,AK112,AL112)</f>
        <v>#VALUE!</v>
      </c>
      <c r="AW112" s="101" t="e">
        <f>CHOOSE(CharGenMain!$C$222,X112,Y112,Z112,AA112,AB112,AC112,AD112,AE112,AF112,AG112,AH112,AI112,AJ112,AK112,AL112)</f>
        <v>#VALUE!</v>
      </c>
      <c r="AX112" s="101" t="e">
        <f>CHOOSE(CharGenMain!$C$223,X112,Y112,Z112,AA112,AB112,AC112,AD112,AE112,AF112,AG112,AH112,AI112,AJ112,AK112,AL112)</f>
        <v>#VALUE!</v>
      </c>
      <c r="AY112" s="101" t="e">
        <f>CHOOSE(CharGenMain!$C$224,X112,Y112,Z112,AA112,AB112,AC112,AD112,AE112,AF112,AG112,AH112,AI112,AJ112,AK112,AL112)</f>
        <v>#VALUE!</v>
      </c>
      <c r="AZ112" s="101" t="e">
        <f>CHOOSE(CharGenMain!$C$225,X112,Y112,Z112,AA112,AB112,AC112,AD112,AE112,AF112,AG112,AH112,AI112,AJ112,AK112,AL112)</f>
        <v>#VALUE!</v>
      </c>
      <c r="BA112" s="271" t="e">
        <f>CHOOSE(CharGenMain!$C$226,X112,Y112,Z112,AA112,AB112,AC112,AD112,AE112,AF112,AG112,AH112,AI112,AJ112,AK112,AL112)</f>
        <v>#VALUE!</v>
      </c>
    </row>
    <row r="113" spans="18:53">
      <c r="R113" s="226" t="s">
        <v>1382</v>
      </c>
      <c r="S113" s="14" t="s">
        <v>2666</v>
      </c>
      <c r="T113" s="14" t="s">
        <v>2667</v>
      </c>
      <c r="U113" s="14">
        <v>2</v>
      </c>
      <c r="V113" s="14">
        <v>3</v>
      </c>
      <c r="W113" s="106">
        <v>12</v>
      </c>
      <c r="X113" s="168" t="s">
        <v>1494</v>
      </c>
      <c r="Y113" s="168" t="s">
        <v>1494</v>
      </c>
      <c r="Z113" s="168" t="s">
        <v>1494</v>
      </c>
      <c r="AA113" s="87" t="s">
        <v>2997</v>
      </c>
      <c r="AB113" s="87" t="s">
        <v>2997</v>
      </c>
      <c r="AC113" s="87" t="s">
        <v>2997</v>
      </c>
      <c r="AD113" s="87" t="s">
        <v>2997</v>
      </c>
      <c r="AE113" s="87" t="s">
        <v>2997</v>
      </c>
      <c r="AF113" s="87" t="s">
        <v>2997</v>
      </c>
      <c r="AG113" s="87" t="s">
        <v>2997</v>
      </c>
      <c r="AH113" s="87" t="s">
        <v>2997</v>
      </c>
      <c r="AI113" s="87" t="s">
        <v>2997</v>
      </c>
      <c r="AJ113" s="87" t="s">
        <v>2997</v>
      </c>
      <c r="AK113" s="87" t="s">
        <v>2997</v>
      </c>
      <c r="AL113" s="87" t="s">
        <v>2997</v>
      </c>
      <c r="AM113" s="101" t="str">
        <f>CHOOSE(CharGenMain!$C$212,X113,Y113,Z113,AA113,AB113,AC113,AD113,AE113,AF113,AG113,AH113,AI113,AJ113,AK113,AL113)</f>
        <v>combat defense bonuses, see text</v>
      </c>
      <c r="AN113" s="101" t="str">
        <f>CHOOSE(CharGenMain!$C$213,X113,Y113,Z113,AA113,AB113,AC113,AD113,AE113,AF113,AG113,AH113,AI113,AJ113,AK113,AL113)</f>
        <v>combat defense bonuses, see text</v>
      </c>
      <c r="AO113" s="101" t="str">
        <f>CHOOSE(CharGenMain!$C$214,X113,Y113,Z113,AA113,AB113,AC113,AD113,AE113,AF113,AG113,AH113,AI113,AJ113,AK113,AL113)</f>
        <v>combat defense bonuses, see text</v>
      </c>
      <c r="AP113" s="101" t="str">
        <f>CHOOSE(CharGenMain!$C$215,X113,Y113,Z113,AA113,AB113,AC113,AD113,AE113,AF113,AG113,AH113,AI113,AJ113,AK113,AL113)</f>
        <v>combat defense bonuses, see text</v>
      </c>
      <c r="AQ113" s="101" t="str">
        <f>CHOOSE(CharGenMain!$C$216,X113,Y113,Z113,AA113,AB113,AC113,AD113,AE113,AF113,AG113,AH113,AI113,AJ113,AK113,AL113)</f>
        <v>Thread Max Exceeded</v>
      </c>
      <c r="AR113" s="101" t="str">
        <f>CHOOSE(CharGenMain!$C$217,X113,Y113,Z113,AA113,AB113,AC113,AD113,AE113,AF113,AG113,AH113,AI113,AJ113,AK113,AL113)</f>
        <v>Thread Max Exceeded</v>
      </c>
      <c r="AS113" s="101" t="e">
        <f>CHOOSE(CharGenMain!$C$218,X113,Y113,Z113,AA113,AB113,AC113,AD113,AE113,AF113,AG113,AH113,AI113,AJ113,AK113,AL113)</f>
        <v>#VALUE!</v>
      </c>
      <c r="AT113" s="101" t="e">
        <f>CHOOSE(CharGenMain!$C$219,X113,Y113,Z113,AA113,AB113,AC113,AD113,AE113,AF113,AG113,AH113,AI113,AJ113,AK113,AL113)</f>
        <v>#VALUE!</v>
      </c>
      <c r="AU113" s="101" t="e">
        <f>CHOOSE(CharGenMain!$C$220,X113,Y113,Z113,AA113,AB113,AC113,AD113,AE113,AF113,AG113,AH113,AI113,AJ113,AK113,AL113)</f>
        <v>#VALUE!</v>
      </c>
      <c r="AV113" s="101" t="e">
        <f>CHOOSE(CharGenMain!$C$221,X113,Y113,Z113,AA113,AB113,AC113,AD113,AE113,AF113,AG113,AH113,AI113,AJ113,AK113,AL113)</f>
        <v>#VALUE!</v>
      </c>
      <c r="AW113" s="101" t="e">
        <f>CHOOSE(CharGenMain!$C$222,X113,Y113,Z113,AA113,AB113,AC113,AD113,AE113,AF113,AG113,AH113,AI113,AJ113,AK113,AL113)</f>
        <v>#VALUE!</v>
      </c>
      <c r="AX113" s="101" t="e">
        <f>CHOOSE(CharGenMain!$C$223,X113,Y113,Z113,AA113,AB113,AC113,AD113,AE113,AF113,AG113,AH113,AI113,AJ113,AK113,AL113)</f>
        <v>#VALUE!</v>
      </c>
      <c r="AY113" s="101" t="e">
        <f>CHOOSE(CharGenMain!$C$224,X113,Y113,Z113,AA113,AB113,AC113,AD113,AE113,AF113,AG113,AH113,AI113,AJ113,AK113,AL113)</f>
        <v>#VALUE!</v>
      </c>
      <c r="AZ113" s="101" t="e">
        <f>CHOOSE(CharGenMain!$C$225,X113,Y113,Z113,AA113,AB113,AC113,AD113,AE113,AF113,AG113,AH113,AI113,AJ113,AK113,AL113)</f>
        <v>#VALUE!</v>
      </c>
      <c r="BA113" s="271" t="e">
        <f>CHOOSE(CharGenMain!$C$226,X113,Y113,Z113,AA113,AB113,AC113,AD113,AE113,AF113,AG113,AH113,AI113,AJ113,AK113,AL113)</f>
        <v>#VALUE!</v>
      </c>
    </row>
    <row r="114" spans="18:53">
      <c r="R114" s="20" t="s">
        <v>1495</v>
      </c>
      <c r="S114" s="14" t="s">
        <v>1496</v>
      </c>
      <c r="T114" s="14" t="s">
        <v>2279</v>
      </c>
      <c r="U114" s="14">
        <v>4</v>
      </c>
      <c r="V114" s="14">
        <v>7</v>
      </c>
      <c r="W114" s="14">
        <v>21</v>
      </c>
      <c r="X114" s="87" t="s">
        <v>1497</v>
      </c>
      <c r="Y114" s="87" t="s">
        <v>1497</v>
      </c>
      <c r="Z114" s="87" t="s">
        <v>1497</v>
      </c>
      <c r="AA114" s="87" t="s">
        <v>1497</v>
      </c>
      <c r="AB114" s="87" t="s">
        <v>1497</v>
      </c>
      <c r="AC114" s="87" t="s">
        <v>1497</v>
      </c>
      <c r="AD114" s="87" t="s">
        <v>1497</v>
      </c>
      <c r="AE114" s="87" t="s">
        <v>2997</v>
      </c>
      <c r="AF114" s="87" t="s">
        <v>2997</v>
      </c>
      <c r="AG114" s="87" t="s">
        <v>2997</v>
      </c>
      <c r="AH114" s="87" t="s">
        <v>2997</v>
      </c>
      <c r="AI114" s="87" t="s">
        <v>2997</v>
      </c>
      <c r="AJ114" s="87" t="s">
        <v>2997</v>
      </c>
      <c r="AK114" s="87" t="s">
        <v>2997</v>
      </c>
      <c r="AL114" s="87" t="s">
        <v>2997</v>
      </c>
      <c r="AM114" s="101" t="str">
        <f>CHOOSE(CharGenMain!$C$212,X114,Y114,Z114,AA114,AB114,AC114,AD114,AE114,AF114,AG114,AH114,AI114,AJ114,AK114,AL114)</f>
        <v>Horror Powers, see text</v>
      </c>
      <c r="AN114" s="101" t="str">
        <f>CHOOSE(CharGenMain!$C$213,X114,Y114,Z114,AA114,AB114,AC114,AD114,AE114,AF114,AG114,AH114,AI114,AJ114,AK114,AL114)</f>
        <v>Horror Powers, see text</v>
      </c>
      <c r="AO114" s="101" t="str">
        <f>CHOOSE(CharGenMain!$C$214,X114,Y114,Z114,AA114,AB114,AC114,AD114,AE114,AF114,AG114,AH114,AI114,AJ114,AK114,AL114)</f>
        <v>Horror Powers, see text</v>
      </c>
      <c r="AP114" s="101" t="str">
        <f>CHOOSE(CharGenMain!$C$215,X114,Y114,Z114,AA114,AB114,AC114,AD114,AE114,AF114,AG114,AH114,AI114,AJ114,AK114,AL114)</f>
        <v>Horror Powers, see text</v>
      </c>
      <c r="AQ114" s="101" t="str">
        <f>CHOOSE(CharGenMain!$C$216,X114,Y114,Z114,AA114,AB114,AC114,AD114,AE114,AF114,AG114,AH114,AI114,AJ114,AK114,AL114)</f>
        <v>Horror Powers, see text</v>
      </c>
      <c r="AR114" s="101" t="str">
        <f>CHOOSE(CharGenMain!$C$217,X114,Y114,Z114,AA114,AB114,AC114,AD114,AE114,AF114,AG114,AH114,AI114,AJ114,AK114,AL114)</f>
        <v>Horror Powers, see text</v>
      </c>
      <c r="AS114" s="101" t="e">
        <f>CHOOSE(CharGenMain!$C$218,X114,Y114,Z114,AA114,AB114,AC114,AD114,AE114,AF114,AG114,AH114,AI114,AJ114,AK114,AL114)</f>
        <v>#VALUE!</v>
      </c>
      <c r="AT114" s="101" t="e">
        <f>CHOOSE(CharGenMain!$C$219,X114,Y114,Z114,AA114,AB114,AC114,AD114,AE114,AF114,AG114,AH114,AI114,AJ114,AK114,AL114)</f>
        <v>#VALUE!</v>
      </c>
      <c r="AU114" s="101" t="e">
        <f>CHOOSE(CharGenMain!$C$220,X114,Y114,Z114,AA114,AB114,AC114,AD114,AE114,AF114,AG114,AH114,AI114,AJ114,AK114,AL114)</f>
        <v>#VALUE!</v>
      </c>
      <c r="AV114" s="101" t="e">
        <f>CHOOSE(CharGenMain!$C$221,X114,Y114,Z114,AA114,AB114,AC114,AD114,AE114,AF114,AG114,AH114,AI114,AJ114,AK114,AL114)</f>
        <v>#VALUE!</v>
      </c>
      <c r="AW114" s="101" t="e">
        <f>CHOOSE(CharGenMain!$C$222,X114,Y114,Z114,AA114,AB114,AC114,AD114,AE114,AF114,AG114,AH114,AI114,AJ114,AK114,AL114)</f>
        <v>#VALUE!</v>
      </c>
      <c r="AX114" s="101" t="e">
        <f>CHOOSE(CharGenMain!$C$223,X114,Y114,Z114,AA114,AB114,AC114,AD114,AE114,AF114,AG114,AH114,AI114,AJ114,AK114,AL114)</f>
        <v>#VALUE!</v>
      </c>
      <c r="AY114" s="101" t="e">
        <f>CHOOSE(CharGenMain!$C$224,X114,Y114,Z114,AA114,AB114,AC114,AD114,AE114,AF114,AG114,AH114,AI114,AJ114,AK114,AL114)</f>
        <v>#VALUE!</v>
      </c>
      <c r="AZ114" s="101" t="e">
        <f>CHOOSE(CharGenMain!$C$225,X114,Y114,Z114,AA114,AB114,AC114,AD114,AE114,AF114,AG114,AH114,AI114,AJ114,AK114,AL114)</f>
        <v>#VALUE!</v>
      </c>
      <c r="BA114" s="271" t="e">
        <f>CHOOSE(CharGenMain!$C$226,X114,Y114,Z114,AA114,AB114,AC114,AD114,AE114,AF114,AG114,AH114,AI114,AJ114,AK114,AL114)</f>
        <v>#VALUE!</v>
      </c>
    </row>
    <row r="115" spans="18:53">
      <c r="R115" s="205" t="s">
        <v>1498</v>
      </c>
      <c r="S115" s="167" t="s">
        <v>1499</v>
      </c>
      <c r="T115" s="14" t="s">
        <v>2279</v>
      </c>
      <c r="U115" s="14">
        <v>2</v>
      </c>
      <c r="V115" s="14">
        <v>7</v>
      </c>
      <c r="W115" s="14">
        <v>15</v>
      </c>
      <c r="X115" s="207" t="s">
        <v>1500</v>
      </c>
      <c r="Y115" s="207" t="s">
        <v>1501</v>
      </c>
      <c r="Z115" s="207" t="s">
        <v>1501</v>
      </c>
      <c r="AA115" s="207" t="s">
        <v>1501</v>
      </c>
      <c r="AB115" s="207" t="s">
        <v>1502</v>
      </c>
      <c r="AC115" s="207" t="s">
        <v>1502</v>
      </c>
      <c r="AD115" s="207" t="s">
        <v>1502</v>
      </c>
      <c r="AE115" s="87" t="s">
        <v>2997</v>
      </c>
      <c r="AF115" s="87" t="s">
        <v>2997</v>
      </c>
      <c r="AG115" s="87" t="s">
        <v>2997</v>
      </c>
      <c r="AH115" s="87" t="s">
        <v>2997</v>
      </c>
      <c r="AI115" s="87" t="s">
        <v>2997</v>
      </c>
      <c r="AJ115" s="87" t="s">
        <v>2997</v>
      </c>
      <c r="AK115" s="87" t="s">
        <v>2997</v>
      </c>
      <c r="AL115" s="87" t="s">
        <v>2997</v>
      </c>
      <c r="AM115" s="101" t="str">
        <f>CHOOSE(CharGenMain!$C$212,X115,Y115,Z115,AA115,AB115,AC115,AD115,AE115,AF115,AG115,AH115,AI115,AJ115,AK115,AL115)</f>
        <v>3 strain = fly, see text</v>
      </c>
      <c r="AN115" s="101" t="str">
        <f>CHOOSE(CharGenMain!$C$213,X115,Y115,Z115,AA115,AB115,AC115,AD115,AE115,AF115,AG115,AH115,AI115,AJ115,AK115,AL115)</f>
        <v>5 strain = fly, see text</v>
      </c>
      <c r="AO115" s="101" t="str">
        <f>CHOOSE(CharGenMain!$C$214,X115,Y115,Z115,AA115,AB115,AC115,AD115,AE115,AF115,AG115,AH115,AI115,AJ115,AK115,AL115)</f>
        <v>5 strain = fly, see text</v>
      </c>
      <c r="AP115" s="101" t="str">
        <f>CHOOSE(CharGenMain!$C$215,X115,Y115,Z115,AA115,AB115,AC115,AD115,AE115,AF115,AG115,AH115,AI115,AJ115,AK115,AL115)</f>
        <v>3 strain = fly, see text</v>
      </c>
      <c r="AQ115" s="101" t="str">
        <f>CHOOSE(CharGenMain!$C$216,X115,Y115,Z115,AA115,AB115,AC115,AD115,AE115,AF115,AG115,AH115,AI115,AJ115,AK115,AL115)</f>
        <v>3 strain = fly, see text</v>
      </c>
      <c r="AR115" s="101" t="str">
        <f>CHOOSE(CharGenMain!$C$217,X115,Y115,Z115,AA115,AB115,AC115,AD115,AE115,AF115,AG115,AH115,AI115,AJ115,AK115,AL115)</f>
        <v>1 strain = fly, see text</v>
      </c>
      <c r="AS115" s="101" t="e">
        <f>CHOOSE(CharGenMain!$C$218,X115,Y115,Z115,AA115,AB115,AC115,AD115,AE115,AF115,AG115,AH115,AI115,AJ115,AK115,AL115)</f>
        <v>#VALUE!</v>
      </c>
      <c r="AT115" s="101" t="e">
        <f>CHOOSE(CharGenMain!$C$219,X115,Y115,Z115,AA115,AB115,AC115,AD115,AE115,AF115,AG115,AH115,AI115,AJ115,AK115,AL115)</f>
        <v>#VALUE!</v>
      </c>
      <c r="AU115" s="101" t="e">
        <f>CHOOSE(CharGenMain!$C$220,X115,Y115,Z115,AA115,AB115,AC115,AD115,AE115,AF115,AG115,AH115,AI115,AJ115,AK115,AL115)</f>
        <v>#VALUE!</v>
      </c>
      <c r="AV115" s="101" t="e">
        <f>CHOOSE(CharGenMain!$C$221,X115,Y115,Z115,AA115,AB115,AC115,AD115,AE115,AF115,AG115,AH115,AI115,AJ115,AK115,AL115)</f>
        <v>#VALUE!</v>
      </c>
      <c r="AW115" s="101" t="e">
        <f>CHOOSE(CharGenMain!$C$222,X115,Y115,Z115,AA115,AB115,AC115,AD115,AE115,AF115,AG115,AH115,AI115,AJ115,AK115,AL115)</f>
        <v>#VALUE!</v>
      </c>
      <c r="AX115" s="101" t="e">
        <f>CHOOSE(CharGenMain!$C$223,X115,Y115,Z115,AA115,AB115,AC115,AD115,AE115,AF115,AG115,AH115,AI115,AJ115,AK115,AL115)</f>
        <v>#VALUE!</v>
      </c>
      <c r="AY115" s="101" t="e">
        <f>CHOOSE(CharGenMain!$C$224,X115,Y115,Z115,AA115,AB115,AC115,AD115,AE115,AF115,AG115,AH115,AI115,AJ115,AK115,AL115)</f>
        <v>#VALUE!</v>
      </c>
      <c r="AZ115" s="101" t="e">
        <f>CHOOSE(CharGenMain!$C$225,X115,Y115,Z115,AA115,AB115,AC115,AD115,AE115,AF115,AG115,AH115,AI115,AJ115,AK115,AL115)</f>
        <v>#VALUE!</v>
      </c>
      <c r="BA115" s="271" t="e">
        <f>CHOOSE(CharGenMain!$C$226,X115,Y115,Z115,AA115,AB115,AC115,AD115,AE115,AF115,AG115,AH115,AI115,AJ115,AK115,AL115)</f>
        <v>#VALUE!</v>
      </c>
    </row>
    <row r="116" spans="18:53">
      <c r="R116" s="20" t="s">
        <v>1503</v>
      </c>
      <c r="S116" s="14" t="s">
        <v>1504</v>
      </c>
      <c r="T116" s="14" t="s">
        <v>2279</v>
      </c>
      <c r="U116" s="14">
        <v>3</v>
      </c>
      <c r="V116" s="14">
        <v>6</v>
      </c>
      <c r="W116" s="14">
        <v>18</v>
      </c>
      <c r="X116" s="87" t="s">
        <v>1505</v>
      </c>
      <c r="Y116" s="87" t="s">
        <v>1505</v>
      </c>
      <c r="Z116" s="87" t="s">
        <v>1505</v>
      </c>
      <c r="AA116" s="87" t="s">
        <v>1505</v>
      </c>
      <c r="AB116" s="87" t="s">
        <v>1505</v>
      </c>
      <c r="AC116" s="87" t="s">
        <v>1505</v>
      </c>
      <c r="AD116" s="87" t="s">
        <v>2997</v>
      </c>
      <c r="AE116" s="87" t="s">
        <v>2997</v>
      </c>
      <c r="AF116" s="87" t="s">
        <v>2997</v>
      </c>
      <c r="AG116" s="87" t="s">
        <v>2997</v>
      </c>
      <c r="AH116" s="87" t="s">
        <v>2997</v>
      </c>
      <c r="AI116" s="87" t="s">
        <v>2997</v>
      </c>
      <c r="AJ116" s="87" t="s">
        <v>2997</v>
      </c>
      <c r="AK116" s="87" t="s">
        <v>2997</v>
      </c>
      <c r="AL116" s="87" t="s">
        <v>2997</v>
      </c>
      <c r="AM116" s="101" t="str">
        <f>CHOOSE(CharGenMain!$C$212,X116,Y116,Z116,AA116,AB116,AC116,AD116,AE116,AF116,AG116,AH116,AI116,AJ116,AK116,AL116)</f>
        <v>combat bonuses, see text</v>
      </c>
      <c r="AN116" s="101" t="str">
        <f>CHOOSE(CharGenMain!$C$213,X116,Y116,Z116,AA116,AB116,AC116,AD116,AE116,AF116,AG116,AH116,AI116,AJ116,AK116,AL116)</f>
        <v>combat bonuses, see text</v>
      </c>
      <c r="AO116" s="101" t="str">
        <f>CHOOSE(CharGenMain!$C$214,X116,Y116,Z116,AA116,AB116,AC116,AD116,AE116,AF116,AG116,AH116,AI116,AJ116,AK116,AL116)</f>
        <v>combat bonuses, see text</v>
      </c>
      <c r="AP116" s="101" t="str">
        <f>CHOOSE(CharGenMain!$C$215,X116,Y116,Z116,AA116,AB116,AC116,AD116,AE116,AF116,AG116,AH116,AI116,AJ116,AK116,AL116)</f>
        <v>combat bonuses, see text</v>
      </c>
      <c r="AQ116" s="101" t="str">
        <f>CHOOSE(CharGenMain!$C$216,X116,Y116,Z116,AA116,AB116,AC116,AD116,AE116,AF116,AG116,AH116,AI116,AJ116,AK116,AL116)</f>
        <v>combat bonuses, see text</v>
      </c>
      <c r="AR116" s="101" t="str">
        <f>CHOOSE(CharGenMain!$C$217,X116,Y116,Z116,AA116,AB116,AC116,AD116,AE116,AF116,AG116,AH116,AI116,AJ116,AK116,AL116)</f>
        <v>combat bonuses, see text</v>
      </c>
      <c r="AS116" s="101" t="e">
        <f>CHOOSE(CharGenMain!$C$218,X116,Y116,Z116,AA116,AB116,AC116,AD116,AE116,AF116,AG116,AH116,AI116,AJ116,AK116,AL116)</f>
        <v>#VALUE!</v>
      </c>
      <c r="AT116" s="101" t="e">
        <f>CHOOSE(CharGenMain!$C$219,X116,Y116,Z116,AA116,AB116,AC116,AD116,AE116,AF116,AG116,AH116,AI116,AJ116,AK116,AL116)</f>
        <v>#VALUE!</v>
      </c>
      <c r="AU116" s="101" t="e">
        <f>CHOOSE(CharGenMain!$C$220,X116,Y116,Z116,AA116,AB116,AC116,AD116,AE116,AF116,AG116,AH116,AI116,AJ116,AK116,AL116)</f>
        <v>#VALUE!</v>
      </c>
      <c r="AV116" s="101" t="e">
        <f>CHOOSE(CharGenMain!$C$221,X116,Y116,Z116,AA116,AB116,AC116,AD116,AE116,AF116,AG116,AH116,AI116,AJ116,AK116,AL116)</f>
        <v>#VALUE!</v>
      </c>
      <c r="AW116" s="101" t="e">
        <f>CHOOSE(CharGenMain!$C$222,X116,Y116,Z116,AA116,AB116,AC116,AD116,AE116,AF116,AG116,AH116,AI116,AJ116,AK116,AL116)</f>
        <v>#VALUE!</v>
      </c>
      <c r="AX116" s="101" t="e">
        <f>CHOOSE(CharGenMain!$C$223,X116,Y116,Z116,AA116,AB116,AC116,AD116,AE116,AF116,AG116,AH116,AI116,AJ116,AK116,AL116)</f>
        <v>#VALUE!</v>
      </c>
      <c r="AY116" s="101" t="e">
        <f>CHOOSE(CharGenMain!$C$224,X116,Y116,Z116,AA116,AB116,AC116,AD116,AE116,AF116,AG116,AH116,AI116,AJ116,AK116,AL116)</f>
        <v>#VALUE!</v>
      </c>
      <c r="AZ116" s="101" t="e">
        <f>CHOOSE(CharGenMain!$C$225,X116,Y116,Z116,AA116,AB116,AC116,AD116,AE116,AF116,AG116,AH116,AI116,AJ116,AK116,AL116)</f>
        <v>#VALUE!</v>
      </c>
      <c r="BA116" s="271" t="e">
        <f>CHOOSE(CharGenMain!$C$226,X116,Y116,Z116,AA116,AB116,AC116,AD116,AE116,AF116,AG116,AH116,AI116,AJ116,AK116,AL116)</f>
        <v>#VALUE!</v>
      </c>
    </row>
    <row r="117" spans="18:53">
      <c r="R117" s="20" t="s">
        <v>1506</v>
      </c>
      <c r="S117" s="14" t="s">
        <v>1507</v>
      </c>
      <c r="T117" s="14" t="s">
        <v>2279</v>
      </c>
      <c r="U117" s="14">
        <v>2</v>
      </c>
      <c r="V117" s="14">
        <v>4</v>
      </c>
      <c r="W117" s="106">
        <v>13</v>
      </c>
      <c r="X117" s="206" t="s">
        <v>2238</v>
      </c>
      <c r="Y117" s="206" t="s">
        <v>1933</v>
      </c>
      <c r="Z117" s="206" t="s">
        <v>1508</v>
      </c>
      <c r="AA117" s="206" t="s">
        <v>1509</v>
      </c>
      <c r="AB117" s="87" t="s">
        <v>2997</v>
      </c>
      <c r="AC117" s="87" t="s">
        <v>2997</v>
      </c>
      <c r="AD117" s="87" t="s">
        <v>2997</v>
      </c>
      <c r="AE117" s="87" t="s">
        <v>2997</v>
      </c>
      <c r="AF117" s="87" t="s">
        <v>2997</v>
      </c>
      <c r="AG117" s="87" t="s">
        <v>2997</v>
      </c>
      <c r="AH117" s="87" t="s">
        <v>2997</v>
      </c>
      <c r="AI117" s="87" t="s">
        <v>2997</v>
      </c>
      <c r="AJ117" s="87" t="s">
        <v>2997</v>
      </c>
      <c r="AK117" s="87" t="s">
        <v>2997</v>
      </c>
      <c r="AL117" s="87" t="s">
        <v>2997</v>
      </c>
      <c r="AM117" s="101" t="str">
        <f>CHOOSE(CharGenMain!$C$212,X117,Y117,Z117,AA117,AB117,AC117,AD117,AE117,AF117,AG117,AH117,AI117,AJ117,AK117,AL117)</f>
        <v>+2 phys def, +1 soc def</v>
      </c>
      <c r="AN117" s="101" t="str">
        <f>CHOOSE(CharGenMain!$C$213,X117,Y117,Z117,AA117,AB117,AC117,AD117,AE117,AF117,AG117,AH117,AI117,AJ117,AK117,AL117)</f>
        <v>+1 phys def</v>
      </c>
      <c r="AO117" s="101" t="str">
        <f>CHOOSE(CharGenMain!$C$214,X117,Y117,Z117,AA117,AB117,AC117,AD117,AE117,AF117,AG117,AH117,AI117,AJ117,AK117,AL117)</f>
        <v>+1 phys def</v>
      </c>
      <c r="AP117" s="101" t="str">
        <f>CHOOSE(CharGenMain!$C$215,X117,Y117,Z117,AA117,AB117,AC117,AD117,AE117,AF117,AG117,AH117,AI117,AJ117,AK117,AL117)</f>
        <v>+1 phys def, +1 soc def</v>
      </c>
      <c r="AQ117" s="101" t="str">
        <f>CHOOSE(CharGenMain!$C$216,X117,Y117,Z117,AA117,AB117,AC117,AD117,AE117,AF117,AG117,AH117,AI117,AJ117,AK117,AL117)</f>
        <v>+2 phys def, +1 soc def, see text</v>
      </c>
      <c r="AR117" s="101" t="str">
        <f>CHOOSE(CharGenMain!$C$217,X117,Y117,Z117,AA117,AB117,AC117,AD117,AE117,AF117,AG117,AH117,AI117,AJ117,AK117,AL117)</f>
        <v>Thread Max Exceeded</v>
      </c>
      <c r="AS117" s="101" t="e">
        <f>CHOOSE(CharGenMain!$C$218,X117,Y117,Z117,AA117,AB117,AC117,AD117,AE117,AF117,AG117,AH117,AI117,AJ117,AK117,AL117)</f>
        <v>#VALUE!</v>
      </c>
      <c r="AT117" s="101" t="e">
        <f>CHOOSE(CharGenMain!$C$219,X117,Y117,Z117,AA117,AB117,AC117,AD117,AE117,AF117,AG117,AH117,AI117,AJ117,AK117,AL117)</f>
        <v>#VALUE!</v>
      </c>
      <c r="AU117" s="101" t="e">
        <f>CHOOSE(CharGenMain!$C$220,X117,Y117,Z117,AA117,AB117,AC117,AD117,AE117,AF117,AG117,AH117,AI117,AJ117,AK117,AL117)</f>
        <v>#VALUE!</v>
      </c>
      <c r="AV117" s="101" t="e">
        <f>CHOOSE(CharGenMain!$C$221,X117,Y117,Z117,AA117,AB117,AC117,AD117,AE117,AF117,AG117,AH117,AI117,AJ117,AK117,AL117)</f>
        <v>#VALUE!</v>
      </c>
      <c r="AW117" s="101" t="e">
        <f>CHOOSE(CharGenMain!$C$222,X117,Y117,Z117,AA117,AB117,AC117,AD117,AE117,AF117,AG117,AH117,AI117,AJ117,AK117,AL117)</f>
        <v>#VALUE!</v>
      </c>
      <c r="AX117" s="101" t="e">
        <f>CHOOSE(CharGenMain!$C$223,X117,Y117,Z117,AA117,AB117,AC117,AD117,AE117,AF117,AG117,AH117,AI117,AJ117,AK117,AL117)</f>
        <v>#VALUE!</v>
      </c>
      <c r="AY117" s="101" t="e">
        <f>CHOOSE(CharGenMain!$C$224,X117,Y117,Z117,AA117,AB117,AC117,AD117,AE117,AF117,AG117,AH117,AI117,AJ117,AK117,AL117)</f>
        <v>#VALUE!</v>
      </c>
      <c r="AZ117" s="101" t="e">
        <f>CHOOSE(CharGenMain!$C$225,X117,Y117,Z117,AA117,AB117,AC117,AD117,AE117,AF117,AG117,AH117,AI117,AJ117,AK117,AL117)</f>
        <v>#VALUE!</v>
      </c>
      <c r="BA117" s="271" t="e">
        <f>CHOOSE(CharGenMain!$C$226,X117,Y117,Z117,AA117,AB117,AC117,AD117,AE117,AF117,AG117,AH117,AI117,AJ117,AK117,AL117)</f>
        <v>#VALUE!</v>
      </c>
    </row>
    <row r="118" spans="18:53">
      <c r="R118" s="226" t="s">
        <v>5839</v>
      </c>
      <c r="S118" s="14" t="s">
        <v>529</v>
      </c>
      <c r="T118" s="14" t="s">
        <v>2667</v>
      </c>
      <c r="U118" s="14">
        <v>3</v>
      </c>
      <c r="V118" s="14">
        <v>15</v>
      </c>
      <c r="W118" s="106">
        <v>12</v>
      </c>
      <c r="X118" s="87" t="s">
        <v>5840</v>
      </c>
      <c r="Y118" s="87" t="s">
        <v>5840</v>
      </c>
      <c r="Z118" s="87" t="s">
        <v>5840</v>
      </c>
      <c r="AA118" s="87" t="s">
        <v>5840</v>
      </c>
      <c r="AB118" s="87" t="s">
        <v>5840</v>
      </c>
      <c r="AC118" s="87" t="s">
        <v>5840</v>
      </c>
      <c r="AD118" s="87" t="s">
        <v>5840</v>
      </c>
      <c r="AE118" s="87" t="s">
        <v>5840</v>
      </c>
      <c r="AF118" s="87" t="s">
        <v>5840</v>
      </c>
      <c r="AG118" s="87" t="s">
        <v>5840</v>
      </c>
      <c r="AH118" s="87" t="s">
        <v>5840</v>
      </c>
      <c r="AI118" s="87" t="s">
        <v>5840</v>
      </c>
      <c r="AJ118" s="87" t="s">
        <v>5840</v>
      </c>
      <c r="AK118" s="87" t="s">
        <v>5840</v>
      </c>
      <c r="AL118" s="87" t="s">
        <v>5840</v>
      </c>
      <c r="AM118" s="101" t="str">
        <f>CHOOSE(CharGenMain!$C$212,X118,Y118,Z118,AA118,AB118,AC118,AD118,AE118,AF118,AG118,AH118,AI118,AJ118,AK118,AL118)</f>
        <v>Gives an additional spell matrix at the thread rank</v>
      </c>
      <c r="AN118" s="101" t="str">
        <f>CHOOSE(CharGenMain!$C$213,X118,Y118,Z118,AA118,AB118,AC118,AD118,AE118,AF118,AG118,AH118,AI118,AJ118,AK118,AL118)</f>
        <v>Gives an additional spell matrix at the thread rank</v>
      </c>
      <c r="AO118" s="101" t="str">
        <f>CHOOSE(CharGenMain!$C$214,X118,Y118,Z118,AA118,AB118,AC118,AD118,AE118,AF118,AG118,AH118,AI118,AJ118,AK118,AL118)</f>
        <v>Gives an additional spell matrix at the thread rank</v>
      </c>
      <c r="AP118" s="101" t="str">
        <f>CHOOSE(CharGenMain!$C$215,X118,Y118,Z118,AA118,AB118,AC118,AD118,AE118,AF118,AG118,AH118,AI118,AJ118,AK118,AL118)</f>
        <v>Gives an additional spell matrix at the thread rank</v>
      </c>
      <c r="AQ118" s="101" t="str">
        <f>CHOOSE(CharGenMain!$C$216,X118,Y118,Z118,AA118,AB118,AC118,AD118,AE118,AF118,AG118,AH118,AI118,AJ118,AK118,AL118)</f>
        <v>Gives an additional spell matrix at the thread rank</v>
      </c>
      <c r="AR118" s="101" t="str">
        <f>CHOOSE(CharGenMain!$C$217,X118,Y118,Z118,AA118,AB118,AC118,AD118,AE118,AF118,AG118,AH118,AI118,AJ118,AK118,AL118)</f>
        <v>Gives an additional spell matrix at the thread rank</v>
      </c>
      <c r="AS118" s="101" t="e">
        <f>CHOOSE(CharGenMain!$C$218,X118,Y118,Z118,AA118,AB118,AC118,AD118,AE118,AF118,AG118,AH118,AI118,AJ118,AK118,AL118)</f>
        <v>#VALUE!</v>
      </c>
      <c r="AT118" s="101" t="e">
        <f>CHOOSE(CharGenMain!$C$219,X118,Y118,Z118,AA118,AB118,AC118,AD118,AE118,AF118,AG118,AH118,AI118,AJ118,AK118,AL118)</f>
        <v>#VALUE!</v>
      </c>
      <c r="AU118" s="101" t="e">
        <f>CHOOSE(CharGenMain!$C$220,X118,Y118,Z118,AA118,AB118,AC118,AD118,AE118,AF118,AG118,AH118,AI118,AJ118,AK118,AL118)</f>
        <v>#VALUE!</v>
      </c>
      <c r="AV118" s="101" t="e">
        <f>CHOOSE(CharGenMain!$C$221,X118,Y118,Z118,AA118,AB118,AC118,AD118,AE118,AF118,AG118,AH118,AI118,AJ118,AK118,AL118)</f>
        <v>#VALUE!</v>
      </c>
      <c r="AW118" s="101" t="e">
        <f>CHOOSE(CharGenMain!$C$222,X118,Y118,Z118,AA118,AB118,AC118,AD118,AE118,AF118,AG118,AH118,AI118,AJ118,AK118,AL118)</f>
        <v>#VALUE!</v>
      </c>
      <c r="AX118" s="101" t="e">
        <f>CHOOSE(CharGenMain!$C$223,X118,Y118,Z118,AA118,AB118,AC118,AD118,AE118,AF118,AG118,AH118,AI118,AJ118,AK118,AL118)</f>
        <v>#VALUE!</v>
      </c>
      <c r="AY118" s="101" t="e">
        <f>CHOOSE(CharGenMain!$C$224,X118,Y118,Z118,AA118,AB118,AC118,AD118,AE118,AF118,AG118,AH118,AI118,AJ118,AK118,AL118)</f>
        <v>#VALUE!</v>
      </c>
      <c r="AZ118" s="101" t="e">
        <f>CHOOSE(CharGenMain!$C$225,X118,Y118,Z118,AA118,AB118,AC118,AD118,AE118,AF118,AG118,AH118,AI118,AJ118,AK118,AL118)</f>
        <v>#VALUE!</v>
      </c>
      <c r="BA118" s="271" t="e">
        <f>CHOOSE(CharGenMain!$C$226,X118,Y118,Z118,AA118,AB118,AC118,AD118,AE118,AF118,AG118,AH118,AI118,AJ118,AK118,AL118)</f>
        <v>#VALUE!</v>
      </c>
    </row>
    <row r="119" spans="18:53">
      <c r="R119" s="226" t="s">
        <v>5841</v>
      </c>
      <c r="S119" s="14" t="s">
        <v>529</v>
      </c>
      <c r="T119" s="14" t="s">
        <v>2667</v>
      </c>
      <c r="U119" s="14">
        <v>2</v>
      </c>
      <c r="V119" s="14">
        <v>15</v>
      </c>
      <c r="W119" s="106">
        <v>10</v>
      </c>
      <c r="X119" s="87" t="s">
        <v>5840</v>
      </c>
      <c r="Y119" s="87" t="s">
        <v>5840</v>
      </c>
      <c r="Z119" s="87" t="s">
        <v>5840</v>
      </c>
      <c r="AA119" s="87" t="s">
        <v>5840</v>
      </c>
      <c r="AB119" s="87" t="s">
        <v>5840</v>
      </c>
      <c r="AC119" s="87" t="s">
        <v>5840</v>
      </c>
      <c r="AD119" s="87" t="s">
        <v>5840</v>
      </c>
      <c r="AE119" s="87" t="s">
        <v>5840</v>
      </c>
      <c r="AF119" s="87" t="s">
        <v>5840</v>
      </c>
      <c r="AG119" s="87" t="s">
        <v>5840</v>
      </c>
      <c r="AH119" s="87" t="s">
        <v>5840</v>
      </c>
      <c r="AI119" s="87" t="s">
        <v>5840</v>
      </c>
      <c r="AJ119" s="87" t="s">
        <v>5840</v>
      </c>
      <c r="AK119" s="87" t="s">
        <v>5840</v>
      </c>
      <c r="AL119" s="87" t="s">
        <v>5840</v>
      </c>
      <c r="AM119" s="101" t="str">
        <f>CHOOSE(CharGenMain!$C$212,X119,Y119,Z119,AA119,AB119,AC119,AD119,AE119,AF119,AG119,AH119,AI119,AJ119,AK119,AL119)</f>
        <v>Gives an additional spell matrix at the thread rank</v>
      </c>
      <c r="AN119" s="101" t="str">
        <f>CHOOSE(CharGenMain!$C$213,X119,Y119,Z119,AA119,AB119,AC119,AD119,AE119,AF119,AG119,AH119,AI119,AJ119,AK119,AL119)</f>
        <v>Gives an additional spell matrix at the thread rank</v>
      </c>
      <c r="AO119" s="101" t="str">
        <f>CHOOSE(CharGenMain!$C$214,X119,Y119,Z119,AA119,AB119,AC119,AD119,AE119,AF119,AG119,AH119,AI119,AJ119,AK119,AL119)</f>
        <v>Gives an additional spell matrix at the thread rank</v>
      </c>
      <c r="AP119" s="101" t="str">
        <f>CHOOSE(CharGenMain!$C$215,X119,Y119,Z119,AA119,AB119,AC119,AD119,AE119,AF119,AG119,AH119,AI119,AJ119,AK119,AL119)</f>
        <v>Gives an additional spell matrix at the thread rank</v>
      </c>
      <c r="AQ119" s="101" t="str">
        <f>CHOOSE(CharGenMain!$C$216,X119,Y119,Z119,AA119,AB119,AC119,AD119,AE119,AF119,AG119,AH119,AI119,AJ119,AK119,AL119)</f>
        <v>Gives an additional spell matrix at the thread rank</v>
      </c>
      <c r="AR119" s="101" t="str">
        <f>CHOOSE(CharGenMain!$C$217,X119,Y119,Z119,AA119,AB119,AC119,AD119,AE119,AF119,AG119,AH119,AI119,AJ119,AK119,AL119)</f>
        <v>Gives an additional spell matrix at the thread rank</v>
      </c>
      <c r="AS119" s="101" t="e">
        <f>CHOOSE(CharGenMain!$C$218,X119,Y119,Z119,AA119,AB119,AC119,AD119,AE119,AF119,AG119,AH119,AI119,AJ119,AK119,AL119)</f>
        <v>#VALUE!</v>
      </c>
      <c r="AT119" s="101" t="e">
        <f>CHOOSE(CharGenMain!$C$219,X119,Y119,Z119,AA119,AB119,AC119,AD119,AE119,AF119,AG119,AH119,AI119,AJ119,AK119,AL119)</f>
        <v>#VALUE!</v>
      </c>
      <c r="AU119" s="101" t="e">
        <f>CHOOSE(CharGenMain!$C$220,X119,Y119,Z119,AA119,AB119,AC119,AD119,AE119,AF119,AG119,AH119,AI119,AJ119,AK119,AL119)</f>
        <v>#VALUE!</v>
      </c>
      <c r="AV119" s="101" t="e">
        <f>CHOOSE(CharGenMain!$C$221,X119,Y119,Z119,AA119,AB119,AC119,AD119,AE119,AF119,AG119,AH119,AI119,AJ119,AK119,AL119)</f>
        <v>#VALUE!</v>
      </c>
      <c r="AW119" s="101" t="e">
        <f>CHOOSE(CharGenMain!$C$222,X119,Y119,Z119,AA119,AB119,AC119,AD119,AE119,AF119,AG119,AH119,AI119,AJ119,AK119,AL119)</f>
        <v>#VALUE!</v>
      </c>
      <c r="AX119" s="101" t="e">
        <f>CHOOSE(CharGenMain!$C$223,X119,Y119,Z119,AA119,AB119,AC119,AD119,AE119,AF119,AG119,AH119,AI119,AJ119,AK119,AL119)</f>
        <v>#VALUE!</v>
      </c>
      <c r="AY119" s="101" t="e">
        <f>CHOOSE(CharGenMain!$C$224,X119,Y119,Z119,AA119,AB119,AC119,AD119,AE119,AF119,AG119,AH119,AI119,AJ119,AK119,AL119)</f>
        <v>#VALUE!</v>
      </c>
      <c r="AZ119" s="101" t="e">
        <f>CHOOSE(CharGenMain!$C$225,X119,Y119,Z119,AA119,AB119,AC119,AD119,AE119,AF119,AG119,AH119,AI119,AJ119,AK119,AL119)</f>
        <v>#VALUE!</v>
      </c>
      <c r="BA119" s="271" t="e">
        <f>CHOOSE(CharGenMain!$C$226,X119,Y119,Z119,AA119,AB119,AC119,AD119,AE119,AF119,AG119,AH119,AI119,AJ119,AK119,AL119)</f>
        <v>#VALUE!</v>
      </c>
    </row>
    <row r="120" spans="18:53">
      <c r="R120" s="226" t="s">
        <v>5842</v>
      </c>
      <c r="S120" s="14" t="s">
        <v>529</v>
      </c>
      <c r="T120" s="14" t="s">
        <v>2667</v>
      </c>
      <c r="U120" s="14">
        <v>4</v>
      </c>
      <c r="V120" s="14">
        <v>15</v>
      </c>
      <c r="W120" s="106">
        <v>14</v>
      </c>
      <c r="X120" s="87" t="s">
        <v>5840</v>
      </c>
      <c r="Y120" s="87" t="s">
        <v>5840</v>
      </c>
      <c r="Z120" s="87" t="s">
        <v>5840</v>
      </c>
      <c r="AA120" s="87" t="s">
        <v>5840</v>
      </c>
      <c r="AB120" s="87" t="s">
        <v>5840</v>
      </c>
      <c r="AC120" s="87" t="s">
        <v>5840</v>
      </c>
      <c r="AD120" s="87" t="s">
        <v>5840</v>
      </c>
      <c r="AE120" s="87" t="s">
        <v>5840</v>
      </c>
      <c r="AF120" s="87" t="s">
        <v>5840</v>
      </c>
      <c r="AG120" s="87" t="s">
        <v>5840</v>
      </c>
      <c r="AH120" s="87" t="s">
        <v>5840</v>
      </c>
      <c r="AI120" s="87" t="s">
        <v>5840</v>
      </c>
      <c r="AJ120" s="87" t="s">
        <v>5840</v>
      </c>
      <c r="AK120" s="87" t="s">
        <v>5840</v>
      </c>
      <c r="AL120" s="87" t="s">
        <v>5840</v>
      </c>
      <c r="AM120" s="101" t="str">
        <f>CHOOSE(CharGenMain!$C$212,X120,Y120,Z120,AA120,AB120,AC120,AD120,AE120,AF120,AG120,AH120,AI120,AJ120,AK120,AL120)</f>
        <v>Gives an additional spell matrix at the thread rank</v>
      </c>
      <c r="AN120" s="101" t="str">
        <f>CHOOSE(CharGenMain!$C$213,X120,Y120,Z120,AA120,AB120,AC120,AD120,AE120,AF120,AG120,AH120,AI120,AJ120,AK120,AL120)</f>
        <v>Gives an additional spell matrix at the thread rank</v>
      </c>
      <c r="AO120" s="101" t="str">
        <f>CHOOSE(CharGenMain!$C$214,X120,Y120,Z120,AA120,AB120,AC120,AD120,AE120,AF120,AG120,AH120,AI120,AJ120,AK120,AL120)</f>
        <v>Gives an additional spell matrix at the thread rank</v>
      </c>
      <c r="AP120" s="101" t="str">
        <f>CHOOSE(CharGenMain!$C$215,X120,Y120,Z120,AA120,AB120,AC120,AD120,AE120,AF120,AG120,AH120,AI120,AJ120,AK120,AL120)</f>
        <v>Gives an additional spell matrix at the thread rank</v>
      </c>
      <c r="AQ120" s="101" t="str">
        <f>CHOOSE(CharGenMain!$C$216,X120,Y120,Z120,AA120,AB120,AC120,AD120,AE120,AF120,AG120,AH120,AI120,AJ120,AK120,AL120)</f>
        <v>Gives an additional spell matrix at the thread rank</v>
      </c>
      <c r="AR120" s="101" t="str">
        <f>CHOOSE(CharGenMain!$C$217,X120,Y120,Z120,AA120,AB120,AC120,AD120,AE120,AF120,AG120,AH120,AI120,AJ120,AK120,AL120)</f>
        <v>Gives an additional spell matrix at the thread rank</v>
      </c>
      <c r="AS120" s="101" t="e">
        <f>CHOOSE(CharGenMain!$C$218,X120,Y120,Z120,AA120,AB120,AC120,AD120,AE120,AF120,AG120,AH120,AI120,AJ120,AK120,AL120)</f>
        <v>#VALUE!</v>
      </c>
      <c r="AT120" s="101" t="e">
        <f>CHOOSE(CharGenMain!$C$219,X120,Y120,Z120,AA120,AB120,AC120,AD120,AE120,AF120,AG120,AH120,AI120,AJ120,AK120,AL120)</f>
        <v>#VALUE!</v>
      </c>
      <c r="AU120" s="101" t="e">
        <f>CHOOSE(CharGenMain!$C$220,X120,Y120,Z120,AA120,AB120,AC120,AD120,AE120,AF120,AG120,AH120,AI120,AJ120,AK120,AL120)</f>
        <v>#VALUE!</v>
      </c>
      <c r="AV120" s="101" t="e">
        <f>CHOOSE(CharGenMain!$C$221,X120,Y120,Z120,AA120,AB120,AC120,AD120,AE120,AF120,AG120,AH120,AI120,AJ120,AK120,AL120)</f>
        <v>#VALUE!</v>
      </c>
      <c r="AW120" s="101" t="e">
        <f>CHOOSE(CharGenMain!$C$222,X120,Y120,Z120,AA120,AB120,AC120,AD120,AE120,AF120,AG120,AH120,AI120,AJ120,AK120,AL120)</f>
        <v>#VALUE!</v>
      </c>
      <c r="AX120" s="101" t="e">
        <f>CHOOSE(CharGenMain!$C$223,X120,Y120,Z120,AA120,AB120,AC120,AD120,AE120,AF120,AG120,AH120,AI120,AJ120,AK120,AL120)</f>
        <v>#VALUE!</v>
      </c>
      <c r="AY120" s="101" t="e">
        <f>CHOOSE(CharGenMain!$C$224,X120,Y120,Z120,AA120,AB120,AC120,AD120,AE120,AF120,AG120,AH120,AI120,AJ120,AK120,AL120)</f>
        <v>#VALUE!</v>
      </c>
      <c r="AZ120" s="101" t="e">
        <f>CHOOSE(CharGenMain!$C$225,X120,Y120,Z120,AA120,AB120,AC120,AD120,AE120,AF120,AG120,AH120,AI120,AJ120,AK120,AL120)</f>
        <v>#VALUE!</v>
      </c>
      <c r="BA120" s="271" t="e">
        <f>CHOOSE(CharGenMain!$C$226,X120,Y120,Z120,AA120,AB120,AC120,AD120,AE120,AF120,AG120,AH120,AI120,AJ120,AK120,AL120)</f>
        <v>#VALUE!</v>
      </c>
    </row>
    <row r="121" spans="18:53">
      <c r="R121" s="226" t="s">
        <v>5843</v>
      </c>
      <c r="S121" s="14" t="s">
        <v>529</v>
      </c>
      <c r="T121" s="14" t="s">
        <v>2667</v>
      </c>
      <c r="U121" s="14">
        <v>1</v>
      </c>
      <c r="V121" s="14">
        <v>15</v>
      </c>
      <c r="W121" s="106">
        <v>8</v>
      </c>
      <c r="X121" s="87" t="s">
        <v>5840</v>
      </c>
      <c r="Y121" s="87" t="s">
        <v>5840</v>
      </c>
      <c r="Z121" s="87" t="s">
        <v>5840</v>
      </c>
      <c r="AA121" s="87" t="s">
        <v>5840</v>
      </c>
      <c r="AB121" s="87" t="s">
        <v>5840</v>
      </c>
      <c r="AC121" s="87" t="s">
        <v>5840</v>
      </c>
      <c r="AD121" s="87" t="s">
        <v>5840</v>
      </c>
      <c r="AE121" s="87" t="s">
        <v>5840</v>
      </c>
      <c r="AF121" s="87" t="s">
        <v>5840</v>
      </c>
      <c r="AG121" s="87" t="s">
        <v>5840</v>
      </c>
      <c r="AH121" s="87" t="s">
        <v>5840</v>
      </c>
      <c r="AI121" s="87" t="s">
        <v>5840</v>
      </c>
      <c r="AJ121" s="87" t="s">
        <v>5840</v>
      </c>
      <c r="AK121" s="87" t="s">
        <v>5840</v>
      </c>
      <c r="AL121" s="87" t="s">
        <v>5840</v>
      </c>
      <c r="AM121" s="101" t="str">
        <f>CHOOSE(CharGenMain!$C$212,X121,Y121,Z121,AA121,AB121,AC121,AD121,AE121,AF121,AG121,AH121,AI121,AJ121,AK121,AL121)</f>
        <v>Gives an additional spell matrix at the thread rank</v>
      </c>
      <c r="AN121" s="101" t="str">
        <f>CHOOSE(CharGenMain!$C$213,X121,Y121,Z121,AA121,AB121,AC121,AD121,AE121,AF121,AG121,AH121,AI121,AJ121,AK121,AL121)</f>
        <v>Gives an additional spell matrix at the thread rank</v>
      </c>
      <c r="AO121" s="101" t="str">
        <f>CHOOSE(CharGenMain!$C$214,X121,Y121,Z121,AA121,AB121,AC121,AD121,AE121,AF121,AG121,AH121,AI121,AJ121,AK121,AL121)</f>
        <v>Gives an additional spell matrix at the thread rank</v>
      </c>
      <c r="AP121" s="101" t="str">
        <f>CHOOSE(CharGenMain!$C$215,X121,Y121,Z121,AA121,AB121,AC121,AD121,AE121,AF121,AG121,AH121,AI121,AJ121,AK121,AL121)</f>
        <v>Gives an additional spell matrix at the thread rank</v>
      </c>
      <c r="AQ121" s="101" t="str">
        <f>CHOOSE(CharGenMain!$C$216,X121,Y121,Z121,AA121,AB121,AC121,AD121,AE121,AF121,AG121,AH121,AI121,AJ121,AK121,AL121)</f>
        <v>Gives an additional spell matrix at the thread rank</v>
      </c>
      <c r="AR121" s="101" t="str">
        <f>CHOOSE(CharGenMain!$C$217,X121,Y121,Z121,AA121,AB121,AC121,AD121,AE121,AF121,AG121,AH121,AI121,AJ121,AK121,AL121)</f>
        <v>Gives an additional spell matrix at the thread rank</v>
      </c>
      <c r="AS121" s="101" t="e">
        <f>CHOOSE(CharGenMain!$C$218,X121,Y121,Z121,AA121,AB121,AC121,AD121,AE121,AF121,AG121,AH121,AI121,AJ121,AK121,AL121)</f>
        <v>#VALUE!</v>
      </c>
      <c r="AT121" s="101" t="e">
        <f>CHOOSE(CharGenMain!$C$219,X121,Y121,Z121,AA121,AB121,AC121,AD121,AE121,AF121,AG121,AH121,AI121,AJ121,AK121,AL121)</f>
        <v>#VALUE!</v>
      </c>
      <c r="AU121" s="101" t="e">
        <f>CHOOSE(CharGenMain!$C$220,X121,Y121,Z121,AA121,AB121,AC121,AD121,AE121,AF121,AG121,AH121,AI121,AJ121,AK121,AL121)</f>
        <v>#VALUE!</v>
      </c>
      <c r="AV121" s="101" t="e">
        <f>CHOOSE(CharGenMain!$C$221,X121,Y121,Z121,AA121,AB121,AC121,AD121,AE121,AF121,AG121,AH121,AI121,AJ121,AK121,AL121)</f>
        <v>#VALUE!</v>
      </c>
      <c r="AW121" s="101" t="e">
        <f>CHOOSE(CharGenMain!$C$222,X121,Y121,Z121,AA121,AB121,AC121,AD121,AE121,AF121,AG121,AH121,AI121,AJ121,AK121,AL121)</f>
        <v>#VALUE!</v>
      </c>
      <c r="AX121" s="101" t="e">
        <f>CHOOSE(CharGenMain!$C$223,X121,Y121,Z121,AA121,AB121,AC121,AD121,AE121,AF121,AG121,AH121,AI121,AJ121,AK121,AL121)</f>
        <v>#VALUE!</v>
      </c>
      <c r="AY121" s="101" t="e">
        <f>CHOOSE(CharGenMain!$C$224,X121,Y121,Z121,AA121,AB121,AC121,AD121,AE121,AF121,AG121,AH121,AI121,AJ121,AK121,AL121)</f>
        <v>#VALUE!</v>
      </c>
      <c r="AZ121" s="101" t="e">
        <f>CHOOSE(CharGenMain!$C$225,X121,Y121,Z121,AA121,AB121,AC121,AD121,AE121,AF121,AG121,AH121,AI121,AJ121,AK121,AL121)</f>
        <v>#VALUE!</v>
      </c>
      <c r="BA121" s="271" t="e">
        <f>CHOOSE(CharGenMain!$C$226,X121,Y121,Z121,AA121,AB121,AC121,AD121,AE121,AF121,AG121,AH121,AI121,AJ121,AK121,AL121)</f>
        <v>#VALUE!</v>
      </c>
    </row>
    <row r="122" spans="18:53">
      <c r="R122" s="226" t="s">
        <v>1510</v>
      </c>
      <c r="S122" s="14" t="s">
        <v>1680</v>
      </c>
      <c r="T122" s="14" t="s">
        <v>2667</v>
      </c>
      <c r="U122" s="14">
        <v>2</v>
      </c>
      <c r="V122" s="14">
        <v>4</v>
      </c>
      <c r="W122" s="14">
        <v>15</v>
      </c>
      <c r="X122" s="87" t="s">
        <v>2578</v>
      </c>
      <c r="Y122" s="87" t="s">
        <v>2578</v>
      </c>
      <c r="Z122" s="87" t="s">
        <v>2578</v>
      </c>
      <c r="AA122" s="87" t="s">
        <v>2578</v>
      </c>
      <c r="AB122" s="87" t="s">
        <v>2997</v>
      </c>
      <c r="AC122" s="87" t="s">
        <v>2997</v>
      </c>
      <c r="AD122" s="87" t="s">
        <v>2997</v>
      </c>
      <c r="AE122" s="87" t="s">
        <v>2997</v>
      </c>
      <c r="AF122" s="87" t="s">
        <v>2997</v>
      </c>
      <c r="AG122" s="87" t="s">
        <v>2997</v>
      </c>
      <c r="AH122" s="87" t="s">
        <v>2997</v>
      </c>
      <c r="AI122" s="87" t="s">
        <v>2997</v>
      </c>
      <c r="AJ122" s="87" t="s">
        <v>2997</v>
      </c>
      <c r="AK122" s="87" t="s">
        <v>2997</v>
      </c>
      <c r="AL122" s="87" t="s">
        <v>2997</v>
      </c>
      <c r="AM122" s="101" t="str">
        <f>CHOOSE(CharGenMain!$C$212,X122,Y122,Z122,AA122,AB122,AC122,AD122,AE122,AF122,AG122,AH122,AI122,AJ122,AK122,AL122)</f>
        <v>see text</v>
      </c>
      <c r="AN122" s="101" t="str">
        <f>CHOOSE(CharGenMain!$C$213,X122,Y122,Z122,AA122,AB122,AC122,AD122,AE122,AF122,AG122,AH122,AI122,AJ122,AK122,AL122)</f>
        <v>see text</v>
      </c>
      <c r="AO122" s="101" t="str">
        <f>CHOOSE(CharGenMain!$C$214,X122,Y122,Z122,AA122,AB122,AC122,AD122,AE122,AF122,AG122,AH122,AI122,AJ122,AK122,AL122)</f>
        <v>see text</v>
      </c>
      <c r="AP122" s="101" t="str">
        <f>CHOOSE(CharGenMain!$C$215,X122,Y122,Z122,AA122,AB122,AC122,AD122,AE122,AF122,AG122,AH122,AI122,AJ122,AK122,AL122)</f>
        <v>see text</v>
      </c>
      <c r="AQ122" s="101" t="str">
        <f>CHOOSE(CharGenMain!$C$216,X122,Y122,Z122,AA122,AB122,AC122,AD122,AE122,AF122,AG122,AH122,AI122,AJ122,AK122,AL122)</f>
        <v>see text</v>
      </c>
      <c r="AR122" s="101" t="str">
        <f>CHOOSE(CharGenMain!$C$217,X122,Y122,Z122,AA122,AB122,AC122,AD122,AE122,AF122,AG122,AH122,AI122,AJ122,AK122,AL122)</f>
        <v>Thread Max Exceeded</v>
      </c>
      <c r="AS122" s="101" t="e">
        <f>CHOOSE(CharGenMain!$C$218,X122,Y122,Z122,AA122,AB122,AC122,AD122,AE122,AF122,AG122,AH122,AI122,AJ122,AK122,AL122)</f>
        <v>#VALUE!</v>
      </c>
      <c r="AT122" s="101" t="e">
        <f>CHOOSE(CharGenMain!$C$219,X122,Y122,Z122,AA122,AB122,AC122,AD122,AE122,AF122,AG122,AH122,AI122,AJ122,AK122,AL122)</f>
        <v>#VALUE!</v>
      </c>
      <c r="AU122" s="101" t="e">
        <f>CHOOSE(CharGenMain!$C$220,X122,Y122,Z122,AA122,AB122,AC122,AD122,AE122,AF122,AG122,AH122,AI122,AJ122,AK122,AL122)</f>
        <v>#VALUE!</v>
      </c>
      <c r="AV122" s="101" t="e">
        <f>CHOOSE(CharGenMain!$C$221,X122,Y122,Z122,AA122,AB122,AC122,AD122,AE122,AF122,AG122,AH122,AI122,AJ122,AK122,AL122)</f>
        <v>#VALUE!</v>
      </c>
      <c r="AW122" s="101" t="e">
        <f>CHOOSE(CharGenMain!$C$222,X122,Y122,Z122,AA122,AB122,AC122,AD122,AE122,AF122,AG122,AH122,AI122,AJ122,AK122,AL122)</f>
        <v>#VALUE!</v>
      </c>
      <c r="AX122" s="101" t="e">
        <f>CHOOSE(CharGenMain!$C$223,X122,Y122,Z122,AA122,AB122,AC122,AD122,AE122,AF122,AG122,AH122,AI122,AJ122,AK122,AL122)</f>
        <v>#VALUE!</v>
      </c>
      <c r="AY122" s="101" t="e">
        <f>CHOOSE(CharGenMain!$C$224,X122,Y122,Z122,AA122,AB122,AC122,AD122,AE122,AF122,AG122,AH122,AI122,AJ122,AK122,AL122)</f>
        <v>#VALUE!</v>
      </c>
      <c r="AZ122" s="101" t="e">
        <f>CHOOSE(CharGenMain!$C$225,X122,Y122,Z122,AA122,AB122,AC122,AD122,AE122,AF122,AG122,AH122,AI122,AJ122,AK122,AL122)</f>
        <v>#VALUE!</v>
      </c>
      <c r="BA122" s="271" t="e">
        <f>CHOOSE(CharGenMain!$C$226,X122,Y122,Z122,AA122,AB122,AC122,AD122,AE122,AF122,AG122,AH122,AI122,AJ122,AK122,AL122)</f>
        <v>#VALUE!</v>
      </c>
    </row>
    <row r="123" spans="18:53">
      <c r="R123" s="226" t="s">
        <v>1511</v>
      </c>
      <c r="S123" s="14" t="s">
        <v>1512</v>
      </c>
      <c r="T123" s="14" t="s">
        <v>2667</v>
      </c>
      <c r="U123" s="14">
        <v>2</v>
      </c>
      <c r="V123" s="14">
        <v>3</v>
      </c>
      <c r="W123" s="14">
        <v>12</v>
      </c>
      <c r="X123" s="206" t="s">
        <v>1513</v>
      </c>
      <c r="Y123" s="206" t="s">
        <v>1514</v>
      </c>
      <c r="Z123" s="206" t="s">
        <v>1625</v>
      </c>
      <c r="AA123" s="87" t="s">
        <v>2997</v>
      </c>
      <c r="AB123" s="87" t="s">
        <v>2997</v>
      </c>
      <c r="AC123" s="87" t="s">
        <v>2997</v>
      </c>
      <c r="AD123" s="87" t="s">
        <v>2997</v>
      </c>
      <c r="AE123" s="87" t="s">
        <v>2997</v>
      </c>
      <c r="AF123" s="87" t="s">
        <v>2997</v>
      </c>
      <c r="AG123" s="87" t="s">
        <v>2997</v>
      </c>
      <c r="AH123" s="87" t="s">
        <v>2997</v>
      </c>
      <c r="AI123" s="87" t="s">
        <v>2997</v>
      </c>
      <c r="AJ123" s="87" t="s">
        <v>2997</v>
      </c>
      <c r="AK123" s="87" t="s">
        <v>2997</v>
      </c>
      <c r="AL123" s="87" t="s">
        <v>2997</v>
      </c>
      <c r="AM123" s="101" t="str">
        <f>CHOOSE(CharGenMain!$C$212,X123,Y123,Z123,AA123,AB123,AC123,AD123,AE123,AF123,AG123,AH123,AI123,AJ123,AK123,AL123)</f>
        <v>+3 Climbing, see text</v>
      </c>
      <c r="AN123" s="101" t="str">
        <f>CHOOSE(CharGenMain!$C$213,X123,Y123,Z123,AA123,AB123,AC123,AD123,AE123,AF123,AG123,AH123,AI123,AJ123,AK123,AL123)</f>
        <v>+2 Climbing</v>
      </c>
      <c r="AO123" s="101" t="str">
        <f>CHOOSE(CharGenMain!$C$214,X123,Y123,Z123,AA123,AB123,AC123,AD123,AE123,AF123,AG123,AH123,AI123,AJ123,AK123,AL123)</f>
        <v>+2 Climbing</v>
      </c>
      <c r="AP123" s="101" t="str">
        <f>CHOOSE(CharGenMain!$C$215,X123,Y123,Z123,AA123,AB123,AC123,AD123,AE123,AF123,AG123,AH123,AI123,AJ123,AK123,AL123)</f>
        <v>+3 Climbing</v>
      </c>
      <c r="AQ123" s="101" t="str">
        <f>CHOOSE(CharGenMain!$C$216,X123,Y123,Z123,AA123,AB123,AC123,AD123,AE123,AF123,AG123,AH123,AI123,AJ123,AK123,AL123)</f>
        <v>Thread Max Exceeded</v>
      </c>
      <c r="AR123" s="101" t="str">
        <f>CHOOSE(CharGenMain!$C$217,X123,Y123,Z123,AA123,AB123,AC123,AD123,AE123,AF123,AG123,AH123,AI123,AJ123,AK123,AL123)</f>
        <v>Thread Max Exceeded</v>
      </c>
      <c r="AS123" s="101" t="e">
        <f>CHOOSE(CharGenMain!$C$218,X123,Y123,Z123,AA123,AB123,AC123,AD123,AE123,AF123,AG123,AH123,AI123,AJ123,AK123,AL123)</f>
        <v>#VALUE!</v>
      </c>
      <c r="AT123" s="101" t="e">
        <f>CHOOSE(CharGenMain!$C$219,X123,Y123,Z123,AA123,AB123,AC123,AD123,AE123,AF123,AG123,AH123,AI123,AJ123,AK123,AL123)</f>
        <v>#VALUE!</v>
      </c>
      <c r="AU123" s="101" t="e">
        <f>CHOOSE(CharGenMain!$C$220,X123,Y123,Z123,AA123,AB123,AC123,AD123,AE123,AF123,AG123,AH123,AI123,AJ123,AK123,AL123)</f>
        <v>#VALUE!</v>
      </c>
      <c r="AV123" s="101" t="e">
        <f>CHOOSE(CharGenMain!$C$221,X123,Y123,Z123,AA123,AB123,AC123,AD123,AE123,AF123,AG123,AH123,AI123,AJ123,AK123,AL123)</f>
        <v>#VALUE!</v>
      </c>
      <c r="AW123" s="101" t="e">
        <f>CHOOSE(CharGenMain!$C$222,X123,Y123,Z123,AA123,AB123,AC123,AD123,AE123,AF123,AG123,AH123,AI123,AJ123,AK123,AL123)</f>
        <v>#VALUE!</v>
      </c>
      <c r="AX123" s="101" t="e">
        <f>CHOOSE(CharGenMain!$C$223,X123,Y123,Z123,AA123,AB123,AC123,AD123,AE123,AF123,AG123,AH123,AI123,AJ123,AK123,AL123)</f>
        <v>#VALUE!</v>
      </c>
      <c r="AY123" s="101" t="e">
        <f>CHOOSE(CharGenMain!$C$224,X123,Y123,Z123,AA123,AB123,AC123,AD123,AE123,AF123,AG123,AH123,AI123,AJ123,AK123,AL123)</f>
        <v>#VALUE!</v>
      </c>
      <c r="AZ123" s="101" t="e">
        <f>CHOOSE(CharGenMain!$C$225,X123,Y123,Z123,AA123,AB123,AC123,AD123,AE123,AF123,AG123,AH123,AI123,AJ123,AK123,AL123)</f>
        <v>#VALUE!</v>
      </c>
      <c r="BA123" s="271" t="e">
        <f>CHOOSE(CharGenMain!$C$226,X123,Y123,Z123,AA123,AB123,AC123,AD123,AE123,AF123,AG123,AH123,AI123,AJ123,AK123,AL123)</f>
        <v>#VALUE!</v>
      </c>
    </row>
    <row r="124" spans="18:53">
      <c r="R124" s="226" t="s">
        <v>1626</v>
      </c>
      <c r="S124" s="14" t="s">
        <v>1627</v>
      </c>
      <c r="T124" s="14" t="s">
        <v>2223</v>
      </c>
      <c r="U124" s="14">
        <v>2</v>
      </c>
      <c r="V124" s="14">
        <v>8</v>
      </c>
      <c r="W124" s="14">
        <v>14</v>
      </c>
      <c r="X124" s="206" t="s">
        <v>2238</v>
      </c>
      <c r="Y124" s="206" t="s">
        <v>1628</v>
      </c>
      <c r="Z124" s="206" t="s">
        <v>2360</v>
      </c>
      <c r="AA124" s="206" t="s">
        <v>1629</v>
      </c>
      <c r="AB124" s="206" t="s">
        <v>1634</v>
      </c>
      <c r="AC124" s="206" t="s">
        <v>1635</v>
      </c>
      <c r="AD124" s="206" t="s">
        <v>1636</v>
      </c>
      <c r="AE124" s="206" t="s">
        <v>1522</v>
      </c>
      <c r="AF124" s="87" t="s">
        <v>2997</v>
      </c>
      <c r="AG124" s="87" t="s">
        <v>2997</v>
      </c>
      <c r="AH124" s="87" t="s">
        <v>2997</v>
      </c>
      <c r="AI124" s="87" t="s">
        <v>2997</v>
      </c>
      <c r="AJ124" s="87" t="s">
        <v>2997</v>
      </c>
      <c r="AK124" s="87" t="s">
        <v>2997</v>
      </c>
      <c r="AL124" s="87" t="s">
        <v>2997</v>
      </c>
      <c r="AM124" s="101" t="str">
        <f>CHOOSE(CharGenMain!$C$212,X124,Y124,Z124,AA124,AB124,AC124,AD124,AE124,AF124,AG124,AH124,AI124,AJ124,AK124,AL124)</f>
        <v>+2 phys def, +2 spell def</v>
      </c>
      <c r="AN124" s="101" t="str">
        <f>CHOOSE(CharGenMain!$C$213,X124,Y124,Z124,AA124,AB124,AC124,AD124,AE124,AF124,AG124,AH124,AI124,AJ124,AK124,AL124)</f>
        <v>+1 phys def</v>
      </c>
      <c r="AO124" s="101" t="str">
        <f>CHOOSE(CharGenMain!$C$214,X124,Y124,Z124,AA124,AB124,AC124,AD124,AE124,AF124,AG124,AH124,AI124,AJ124,AK124,AL124)</f>
        <v>+1 phys def</v>
      </c>
      <c r="AP124" s="101" t="str">
        <f>CHOOSE(CharGenMain!$C$215,X124,Y124,Z124,AA124,AB124,AC124,AD124,AE124,AF124,AG124,AH124,AI124,AJ124,AK124,AL124)</f>
        <v>+1 phys def, +1spell def</v>
      </c>
      <c r="AQ124" s="101" t="str">
        <f>CHOOSE(CharGenMain!$C$216,X124,Y124,Z124,AA124,AB124,AC124,AD124,AE124,AF124,AG124,AH124,AI124,AJ124,AK124,AL124)</f>
        <v>+6 damage, +2 phys def, +2 spell def, see text</v>
      </c>
      <c r="AR124" s="101" t="str">
        <f>CHOOSE(CharGenMain!$C$217,X124,Y124,Z124,AA124,AB124,AC124,AD124,AE124,AF124,AG124,AH124,AI124,AJ124,AK124,AL124)</f>
        <v>+6 damage, +3 phys def, +3 spell def, see text</v>
      </c>
      <c r="AS124" s="101" t="e">
        <f>CHOOSE(CharGenMain!$C$218,X124,Y124,Z124,AA124,AB124,AC124,AD124,AE124,AF124,AG124,AH124,AI124,AJ124,AK124,AL124)</f>
        <v>#VALUE!</v>
      </c>
      <c r="AT124" s="101" t="e">
        <f>CHOOSE(CharGenMain!$C$219,X124,Y124,Z124,AA124,AB124,AC124,AD124,AE124,AF124,AG124,AH124,AI124,AJ124,AK124,AL124)</f>
        <v>#VALUE!</v>
      </c>
      <c r="AU124" s="101" t="e">
        <f>CHOOSE(CharGenMain!$C$220,X124,Y124,Z124,AA124,AB124,AC124,AD124,AE124,AF124,AG124,AH124,AI124,AJ124,AK124,AL124)</f>
        <v>#VALUE!</v>
      </c>
      <c r="AV124" s="101" t="e">
        <f>CHOOSE(CharGenMain!$C$221,X124,Y124,Z124,AA124,AB124,AC124,AD124,AE124,AF124,AG124,AH124,AI124,AJ124,AK124,AL124)</f>
        <v>#VALUE!</v>
      </c>
      <c r="AW124" s="101" t="e">
        <f>CHOOSE(CharGenMain!$C$222,X124,Y124,Z124,AA124,AB124,AC124,AD124,AE124,AF124,AG124,AH124,AI124,AJ124,AK124,AL124)</f>
        <v>#VALUE!</v>
      </c>
      <c r="AX124" s="101" t="e">
        <f>CHOOSE(CharGenMain!$C$223,X124,Y124,Z124,AA124,AB124,AC124,AD124,AE124,AF124,AG124,AH124,AI124,AJ124,AK124,AL124)</f>
        <v>#VALUE!</v>
      </c>
      <c r="AY124" s="101" t="e">
        <f>CHOOSE(CharGenMain!$C$224,X124,Y124,Z124,AA124,AB124,AC124,AD124,AE124,AF124,AG124,AH124,AI124,AJ124,AK124,AL124)</f>
        <v>#VALUE!</v>
      </c>
      <c r="AZ124" s="101" t="e">
        <f>CHOOSE(CharGenMain!$C$225,X124,Y124,Z124,AA124,AB124,AC124,AD124,AE124,AF124,AG124,AH124,AI124,AJ124,AK124,AL124)</f>
        <v>#VALUE!</v>
      </c>
      <c r="BA124" s="271" t="e">
        <f>CHOOSE(CharGenMain!$C$226,X124,Y124,Z124,AA124,AB124,AC124,AD124,AE124,AF124,AG124,AH124,AI124,AJ124,AK124,AL124)</f>
        <v>#VALUE!</v>
      </c>
    </row>
    <row r="125" spans="18:53">
      <c r="R125" s="226" t="s">
        <v>1523</v>
      </c>
      <c r="S125" s="14" t="s">
        <v>1927</v>
      </c>
      <c r="T125" s="14" t="s">
        <v>2667</v>
      </c>
      <c r="U125" s="14">
        <v>1</v>
      </c>
      <c r="V125" s="14">
        <v>3</v>
      </c>
      <c r="W125" s="14">
        <v>9</v>
      </c>
      <c r="X125" s="87" t="s">
        <v>1588</v>
      </c>
      <c r="Y125" s="87" t="s">
        <v>1588</v>
      </c>
      <c r="Z125" s="87" t="s">
        <v>1588</v>
      </c>
      <c r="AA125" s="87" t="s">
        <v>2997</v>
      </c>
      <c r="AB125" s="87" t="s">
        <v>2997</v>
      </c>
      <c r="AC125" s="87" t="s">
        <v>2997</v>
      </c>
      <c r="AD125" s="87" t="s">
        <v>2997</v>
      </c>
      <c r="AE125" s="87" t="s">
        <v>2997</v>
      </c>
      <c r="AF125" s="87" t="s">
        <v>2997</v>
      </c>
      <c r="AG125" s="87" t="s">
        <v>2997</v>
      </c>
      <c r="AH125" s="87" t="s">
        <v>2997</v>
      </c>
      <c r="AI125" s="87" t="s">
        <v>2997</v>
      </c>
      <c r="AJ125" s="87" t="s">
        <v>2997</v>
      </c>
      <c r="AK125" s="87" t="s">
        <v>2997</v>
      </c>
      <c r="AL125" s="87" t="s">
        <v>2997</v>
      </c>
      <c r="AM125" s="101" t="str">
        <f>CHOOSE(CharGenMain!$C$212,X125,Y125,Z125,AA125,AB125,AC125,AD125,AE125,AF125,AG125,AH125,AI125,AJ125,AK125,AL125)</f>
        <v>spellcaster bonuses, see text</v>
      </c>
      <c r="AN125" s="101" t="str">
        <f>CHOOSE(CharGenMain!$C$213,X125,Y125,Z125,AA125,AB125,AC125,AD125,AE125,AF125,AG125,AH125,AI125,AJ125,AK125,AL125)</f>
        <v>spellcaster bonuses, see text</v>
      </c>
      <c r="AO125" s="101" t="str">
        <f>CHOOSE(CharGenMain!$C$214,X125,Y125,Z125,AA125,AB125,AC125,AD125,AE125,AF125,AG125,AH125,AI125,AJ125,AK125,AL125)</f>
        <v>spellcaster bonuses, see text</v>
      </c>
      <c r="AP125" s="101" t="str">
        <f>CHOOSE(CharGenMain!$C$215,X125,Y125,Z125,AA125,AB125,AC125,AD125,AE125,AF125,AG125,AH125,AI125,AJ125,AK125,AL125)</f>
        <v>spellcaster bonuses, see text</v>
      </c>
      <c r="AQ125" s="101" t="str">
        <f>CHOOSE(CharGenMain!$C$216,X125,Y125,Z125,AA125,AB125,AC125,AD125,AE125,AF125,AG125,AH125,AI125,AJ125,AK125,AL125)</f>
        <v>Thread Max Exceeded</v>
      </c>
      <c r="AR125" s="101" t="str">
        <f>CHOOSE(CharGenMain!$C$217,X125,Y125,Z125,AA125,AB125,AC125,AD125,AE125,AF125,AG125,AH125,AI125,AJ125,AK125,AL125)</f>
        <v>Thread Max Exceeded</v>
      </c>
      <c r="AS125" s="101" t="e">
        <f>CHOOSE(CharGenMain!$C$218,X125,Y125,Z125,AA125,AB125,AC125,AD125,AE125,AF125,AG125,AH125,AI125,AJ125,AK125,AL125)</f>
        <v>#VALUE!</v>
      </c>
      <c r="AT125" s="101" t="e">
        <f>CHOOSE(CharGenMain!$C$219,X125,Y125,Z125,AA125,AB125,AC125,AD125,AE125,AF125,AG125,AH125,AI125,AJ125,AK125,AL125)</f>
        <v>#VALUE!</v>
      </c>
      <c r="AU125" s="101" t="e">
        <f>CHOOSE(CharGenMain!$C$220,X125,Y125,Z125,AA125,AB125,AC125,AD125,AE125,AF125,AG125,AH125,AI125,AJ125,AK125,AL125)</f>
        <v>#VALUE!</v>
      </c>
      <c r="AV125" s="101" t="e">
        <f>CHOOSE(CharGenMain!$C$221,X125,Y125,Z125,AA125,AB125,AC125,AD125,AE125,AF125,AG125,AH125,AI125,AJ125,AK125,AL125)</f>
        <v>#VALUE!</v>
      </c>
      <c r="AW125" s="101" t="e">
        <f>CHOOSE(CharGenMain!$C$222,X125,Y125,Z125,AA125,AB125,AC125,AD125,AE125,AF125,AG125,AH125,AI125,AJ125,AK125,AL125)</f>
        <v>#VALUE!</v>
      </c>
      <c r="AX125" s="101" t="e">
        <f>CHOOSE(CharGenMain!$C$223,X125,Y125,Z125,AA125,AB125,AC125,AD125,AE125,AF125,AG125,AH125,AI125,AJ125,AK125,AL125)</f>
        <v>#VALUE!</v>
      </c>
      <c r="AY125" s="101" t="e">
        <f>CHOOSE(CharGenMain!$C$224,X125,Y125,Z125,AA125,AB125,AC125,AD125,AE125,AF125,AG125,AH125,AI125,AJ125,AK125,AL125)</f>
        <v>#VALUE!</v>
      </c>
      <c r="AZ125" s="101" t="e">
        <f>CHOOSE(CharGenMain!$C$225,X125,Y125,Z125,AA125,AB125,AC125,AD125,AE125,AF125,AG125,AH125,AI125,AJ125,AK125,AL125)</f>
        <v>#VALUE!</v>
      </c>
      <c r="BA125" s="271" t="e">
        <f>CHOOSE(CharGenMain!$C$226,X125,Y125,Z125,AA125,AB125,AC125,AD125,AE125,AF125,AG125,AH125,AI125,AJ125,AK125,AL125)</f>
        <v>#VALUE!</v>
      </c>
    </row>
    <row r="126" spans="18:53">
      <c r="R126" s="226" t="s">
        <v>1524</v>
      </c>
      <c r="S126" s="14" t="s">
        <v>1927</v>
      </c>
      <c r="T126" s="14" t="s">
        <v>2667</v>
      </c>
      <c r="U126" s="14">
        <v>1</v>
      </c>
      <c r="V126" s="14">
        <v>2</v>
      </c>
      <c r="W126" s="14">
        <v>8</v>
      </c>
      <c r="X126" s="207" t="s">
        <v>1525</v>
      </c>
      <c r="Y126" s="207" t="s">
        <v>1526</v>
      </c>
      <c r="Z126" s="87" t="s">
        <v>2997</v>
      </c>
      <c r="AA126" s="87" t="s">
        <v>2997</v>
      </c>
      <c r="AB126" s="87" t="s">
        <v>2997</v>
      </c>
      <c r="AC126" s="87" t="s">
        <v>2997</v>
      </c>
      <c r="AD126" s="87" t="s">
        <v>2997</v>
      </c>
      <c r="AE126" s="87" t="s">
        <v>2997</v>
      </c>
      <c r="AF126" s="87" t="s">
        <v>2997</v>
      </c>
      <c r="AG126" s="87" t="s">
        <v>2997</v>
      </c>
      <c r="AH126" s="87" t="s">
        <v>2997</v>
      </c>
      <c r="AI126" s="87" t="s">
        <v>2997</v>
      </c>
      <c r="AJ126" s="87" t="s">
        <v>2997</v>
      </c>
      <c r="AK126" s="87" t="s">
        <v>2997</v>
      </c>
      <c r="AL126" s="87" t="s">
        <v>2997</v>
      </c>
      <c r="AM126" s="101" t="str">
        <f>CHOOSE(CharGenMain!$C$212,X126,Y126,Z126,AA126,AB126,AC126,AD126,AE126,AF126,AG126,AH126,AI126,AJ126,AK126,AL126)</f>
        <v>Thread Max Exceeded</v>
      </c>
      <c r="AN126" s="101" t="str">
        <f>CHOOSE(CharGenMain!$C$213,X126,Y126,Z126,AA126,AB126,AC126,AD126,AE126,AF126,AG126,AH126,AI126,AJ126,AK126,AL126)</f>
        <v>Sprint at thread rank</v>
      </c>
      <c r="AO126" s="101" t="str">
        <f>CHOOSE(CharGenMain!$C$214,X126,Y126,Z126,AA126,AB126,AC126,AD126,AE126,AF126,AG126,AH126,AI126,AJ126,AK126,AL126)</f>
        <v>Sprint at thread rank</v>
      </c>
      <c r="AP126" s="101" t="str">
        <f>CHOOSE(CharGenMain!$C$215,X126,Y126,Z126,AA126,AB126,AC126,AD126,AE126,AF126,AG126,AH126,AI126,AJ126,AK126,AL126)</f>
        <v>Sprint at thread rank, may spend karma instead of strain</v>
      </c>
      <c r="AQ126" s="101" t="str">
        <f>CHOOSE(CharGenMain!$C$216,X126,Y126,Z126,AA126,AB126,AC126,AD126,AE126,AF126,AG126,AH126,AI126,AJ126,AK126,AL126)</f>
        <v>Thread Max Exceeded</v>
      </c>
      <c r="AR126" s="101" t="str">
        <f>CHOOSE(CharGenMain!$C$217,X126,Y126,Z126,AA126,AB126,AC126,AD126,AE126,AF126,AG126,AH126,AI126,AJ126,AK126,AL126)</f>
        <v>Thread Max Exceeded</v>
      </c>
      <c r="AS126" s="101" t="e">
        <f>CHOOSE(CharGenMain!$C$218,X126,Y126,Z126,AA126,AB126,AC126,AD126,AE126,AF126,AG126,AH126,AI126,AJ126,AK126,AL126)</f>
        <v>#VALUE!</v>
      </c>
      <c r="AT126" s="101" t="e">
        <f>CHOOSE(CharGenMain!$C$219,X126,Y126,Z126,AA126,AB126,AC126,AD126,AE126,AF126,AG126,AH126,AI126,AJ126,AK126,AL126)</f>
        <v>#VALUE!</v>
      </c>
      <c r="AU126" s="101" t="e">
        <f>CHOOSE(CharGenMain!$C$220,X126,Y126,Z126,AA126,AB126,AC126,AD126,AE126,AF126,AG126,AH126,AI126,AJ126,AK126,AL126)</f>
        <v>#VALUE!</v>
      </c>
      <c r="AV126" s="101" t="e">
        <f>CHOOSE(CharGenMain!$C$221,X126,Y126,Z126,AA126,AB126,AC126,AD126,AE126,AF126,AG126,AH126,AI126,AJ126,AK126,AL126)</f>
        <v>#VALUE!</v>
      </c>
      <c r="AW126" s="101" t="e">
        <f>CHOOSE(CharGenMain!$C$222,X126,Y126,Z126,AA126,AB126,AC126,AD126,AE126,AF126,AG126,AH126,AI126,AJ126,AK126,AL126)</f>
        <v>#VALUE!</v>
      </c>
      <c r="AX126" s="101" t="e">
        <f>CHOOSE(CharGenMain!$C$223,X126,Y126,Z126,AA126,AB126,AC126,AD126,AE126,AF126,AG126,AH126,AI126,AJ126,AK126,AL126)</f>
        <v>#VALUE!</v>
      </c>
      <c r="AY126" s="101" t="e">
        <f>CHOOSE(CharGenMain!$C$224,X126,Y126,Z126,AA126,AB126,AC126,AD126,AE126,AF126,AG126,AH126,AI126,AJ126,AK126,AL126)</f>
        <v>#VALUE!</v>
      </c>
      <c r="AZ126" s="101" t="e">
        <f>CHOOSE(CharGenMain!$C$225,X126,Y126,Z126,AA126,AB126,AC126,AD126,AE126,AF126,AG126,AH126,AI126,AJ126,AK126,AL126)</f>
        <v>#VALUE!</v>
      </c>
      <c r="BA126" s="271" t="e">
        <f>CHOOSE(CharGenMain!$C$226,X126,Y126,Z126,AA126,AB126,AC126,AD126,AE126,AF126,AG126,AH126,AI126,AJ126,AK126,AL126)</f>
        <v>#VALUE!</v>
      </c>
    </row>
    <row r="127" spans="18:53">
      <c r="R127" s="20" t="s">
        <v>1527</v>
      </c>
      <c r="S127" s="14" t="s">
        <v>1528</v>
      </c>
      <c r="T127" s="14" t="s">
        <v>2279</v>
      </c>
      <c r="U127" s="14">
        <v>3</v>
      </c>
      <c r="V127" s="14">
        <v>5</v>
      </c>
      <c r="W127" s="106">
        <v>16</v>
      </c>
      <c r="X127" s="206" t="s">
        <v>1529</v>
      </c>
      <c r="Y127" s="206" t="s">
        <v>1530</v>
      </c>
      <c r="Z127" s="206" t="s">
        <v>1530</v>
      </c>
      <c r="AA127" s="206" t="s">
        <v>1530</v>
      </c>
      <c r="AB127" s="206" t="s">
        <v>1530</v>
      </c>
      <c r="AC127" s="87" t="s">
        <v>2997</v>
      </c>
      <c r="AD127" s="87" t="s">
        <v>2997</v>
      </c>
      <c r="AE127" s="87" t="s">
        <v>2997</v>
      </c>
      <c r="AF127" s="87" t="s">
        <v>2997</v>
      </c>
      <c r="AG127" s="87" t="s">
        <v>2997</v>
      </c>
      <c r="AH127" s="87" t="s">
        <v>2997</v>
      </c>
      <c r="AI127" s="87" t="s">
        <v>2997</v>
      </c>
      <c r="AJ127" s="87" t="s">
        <v>2997</v>
      </c>
      <c r="AK127" s="87" t="s">
        <v>2997</v>
      </c>
      <c r="AL127" s="87" t="s">
        <v>2997</v>
      </c>
      <c r="AM127" s="101" t="str">
        <f>CHOOSE(CharGenMain!$C$212,X127,Y127,Z127,AA127,AB127,AC127,AD127,AE127,AF127,AG127,AH127,AI127,AJ127,AK127,AL127)</f>
        <v>+2 spellcasting, see text</v>
      </c>
      <c r="AN127" s="101" t="str">
        <f>CHOOSE(CharGenMain!$C$213,X127,Y127,Z127,AA127,AB127,AC127,AD127,AE127,AF127,AG127,AH127,AI127,AJ127,AK127,AL127)</f>
        <v>+2 spellcasting</v>
      </c>
      <c r="AO127" s="101" t="str">
        <f>CHOOSE(CharGenMain!$C$214,X127,Y127,Z127,AA127,AB127,AC127,AD127,AE127,AF127,AG127,AH127,AI127,AJ127,AK127,AL127)</f>
        <v>+2 spellcasting</v>
      </c>
      <c r="AP127" s="101" t="str">
        <f>CHOOSE(CharGenMain!$C$215,X127,Y127,Z127,AA127,AB127,AC127,AD127,AE127,AF127,AG127,AH127,AI127,AJ127,AK127,AL127)</f>
        <v>+2 spellcasting, see text</v>
      </c>
      <c r="AQ127" s="101" t="str">
        <f>CHOOSE(CharGenMain!$C$216,X127,Y127,Z127,AA127,AB127,AC127,AD127,AE127,AF127,AG127,AH127,AI127,AJ127,AK127,AL127)</f>
        <v>+2 spellcasting, see text</v>
      </c>
      <c r="AR127" s="101" t="str">
        <f>CHOOSE(CharGenMain!$C$217,X127,Y127,Z127,AA127,AB127,AC127,AD127,AE127,AF127,AG127,AH127,AI127,AJ127,AK127,AL127)</f>
        <v>+2 spellcasting, see text</v>
      </c>
      <c r="AS127" s="101" t="e">
        <f>CHOOSE(CharGenMain!$C$218,X127,Y127,Z127,AA127,AB127,AC127,AD127,AE127,AF127,AG127,AH127,AI127,AJ127,AK127,AL127)</f>
        <v>#VALUE!</v>
      </c>
      <c r="AT127" s="101" t="e">
        <f>CHOOSE(CharGenMain!$C$219,X127,Y127,Z127,AA127,AB127,AC127,AD127,AE127,AF127,AG127,AH127,AI127,AJ127,AK127,AL127)</f>
        <v>#VALUE!</v>
      </c>
      <c r="AU127" s="101" t="e">
        <f>CHOOSE(CharGenMain!$C$220,X127,Y127,Z127,AA127,AB127,AC127,AD127,AE127,AF127,AG127,AH127,AI127,AJ127,AK127,AL127)</f>
        <v>#VALUE!</v>
      </c>
      <c r="AV127" s="101" t="e">
        <f>CHOOSE(CharGenMain!$C$221,X127,Y127,Z127,AA127,AB127,AC127,AD127,AE127,AF127,AG127,AH127,AI127,AJ127,AK127,AL127)</f>
        <v>#VALUE!</v>
      </c>
      <c r="AW127" s="101" t="e">
        <f>CHOOSE(CharGenMain!$C$222,X127,Y127,Z127,AA127,AB127,AC127,AD127,AE127,AF127,AG127,AH127,AI127,AJ127,AK127,AL127)</f>
        <v>#VALUE!</v>
      </c>
      <c r="AX127" s="101" t="e">
        <f>CHOOSE(CharGenMain!$C$223,X127,Y127,Z127,AA127,AB127,AC127,AD127,AE127,AF127,AG127,AH127,AI127,AJ127,AK127,AL127)</f>
        <v>#VALUE!</v>
      </c>
      <c r="AY127" s="101" t="e">
        <f>CHOOSE(CharGenMain!$C$224,X127,Y127,Z127,AA127,AB127,AC127,AD127,AE127,AF127,AG127,AH127,AI127,AJ127,AK127,AL127)</f>
        <v>#VALUE!</v>
      </c>
      <c r="AZ127" s="101" t="e">
        <f>CHOOSE(CharGenMain!$C$225,X127,Y127,Z127,AA127,AB127,AC127,AD127,AE127,AF127,AG127,AH127,AI127,AJ127,AK127,AL127)</f>
        <v>#VALUE!</v>
      </c>
      <c r="BA127" s="271" t="e">
        <f>CHOOSE(CharGenMain!$C$226,X127,Y127,Z127,AA127,AB127,AC127,AD127,AE127,AF127,AG127,AH127,AI127,AJ127,AK127,AL127)</f>
        <v>#VALUE!</v>
      </c>
    </row>
    <row r="128" spans="18:53">
      <c r="R128" s="20" t="s">
        <v>1414</v>
      </c>
      <c r="S128" s="14" t="s">
        <v>1415</v>
      </c>
      <c r="T128" s="14" t="s">
        <v>2279</v>
      </c>
      <c r="U128" s="14">
        <v>3</v>
      </c>
      <c r="V128" s="14">
        <v>5</v>
      </c>
      <c r="W128" s="106">
        <v>18</v>
      </c>
      <c r="X128" s="207" t="s">
        <v>1308</v>
      </c>
      <c r="Y128" s="207" t="s">
        <v>1309</v>
      </c>
      <c r="Z128" s="207" t="s">
        <v>1309</v>
      </c>
      <c r="AA128" s="207" t="s">
        <v>1309</v>
      </c>
      <c r="AB128" s="207" t="s">
        <v>1309</v>
      </c>
      <c r="AC128" s="87" t="s">
        <v>2997</v>
      </c>
      <c r="AD128" s="87" t="s">
        <v>2997</v>
      </c>
      <c r="AE128" s="87" t="s">
        <v>2997</v>
      </c>
      <c r="AF128" s="87" t="s">
        <v>2997</v>
      </c>
      <c r="AG128" s="87" t="s">
        <v>2997</v>
      </c>
      <c r="AH128" s="87" t="s">
        <v>2997</v>
      </c>
      <c r="AI128" s="87" t="s">
        <v>2997</v>
      </c>
      <c r="AJ128" s="87" t="s">
        <v>2997</v>
      </c>
      <c r="AK128" s="87" t="s">
        <v>2997</v>
      </c>
      <c r="AL128" s="87" t="s">
        <v>2997</v>
      </c>
      <c r="AM128" s="101" t="str">
        <f>CHOOSE(CharGenMain!$C$212,X128,Y128,Z128,AA128,AB128,AC128,AD128,AE128,AF128,AG128,AH128,AI128,AJ128,AK128,AL128)</f>
        <v>+1 spellcasting and threadweaving and see text</v>
      </c>
      <c r="AN128" s="101" t="str">
        <f>CHOOSE(CharGenMain!$C$213,X128,Y128,Z128,AA128,AB128,AC128,AD128,AE128,AF128,AG128,AH128,AI128,AJ128,AK128,AL128)</f>
        <v>+1 spellcasting and threadweaving</v>
      </c>
      <c r="AO128" s="101" t="str">
        <f>CHOOSE(CharGenMain!$C$214,X128,Y128,Z128,AA128,AB128,AC128,AD128,AE128,AF128,AG128,AH128,AI128,AJ128,AK128,AL128)</f>
        <v>+1 spellcasting and threadweaving</v>
      </c>
      <c r="AP128" s="101" t="str">
        <f>CHOOSE(CharGenMain!$C$215,X128,Y128,Z128,AA128,AB128,AC128,AD128,AE128,AF128,AG128,AH128,AI128,AJ128,AK128,AL128)</f>
        <v>+1 spellcasting and threadweaving and see text</v>
      </c>
      <c r="AQ128" s="101" t="str">
        <f>CHOOSE(CharGenMain!$C$216,X128,Y128,Z128,AA128,AB128,AC128,AD128,AE128,AF128,AG128,AH128,AI128,AJ128,AK128,AL128)</f>
        <v>+1 spellcasting and threadweaving and see text</v>
      </c>
      <c r="AR128" s="101" t="str">
        <f>CHOOSE(CharGenMain!$C$217,X128,Y128,Z128,AA128,AB128,AC128,AD128,AE128,AF128,AG128,AH128,AI128,AJ128,AK128,AL128)</f>
        <v>+1 spellcasting and threadweaving and see text</v>
      </c>
      <c r="AS128" s="101" t="e">
        <f>CHOOSE(CharGenMain!$C$218,X128,Y128,Z128,AA128,AB128,AC128,AD128,AE128,AF128,AG128,AH128,AI128,AJ128,AK128,AL128)</f>
        <v>#VALUE!</v>
      </c>
      <c r="AT128" s="101" t="e">
        <f>CHOOSE(CharGenMain!$C$219,X128,Y128,Z128,AA128,AB128,AC128,AD128,AE128,AF128,AG128,AH128,AI128,AJ128,AK128,AL128)</f>
        <v>#VALUE!</v>
      </c>
      <c r="AU128" s="101" t="e">
        <f>CHOOSE(CharGenMain!$C$220,X128,Y128,Z128,AA128,AB128,AC128,AD128,AE128,AF128,AG128,AH128,AI128,AJ128,AK128,AL128)</f>
        <v>#VALUE!</v>
      </c>
      <c r="AV128" s="101" t="e">
        <f>CHOOSE(CharGenMain!$C$221,X128,Y128,Z128,AA128,AB128,AC128,AD128,AE128,AF128,AG128,AH128,AI128,AJ128,AK128,AL128)</f>
        <v>#VALUE!</v>
      </c>
      <c r="AW128" s="101" t="e">
        <f>CHOOSE(CharGenMain!$C$222,X128,Y128,Z128,AA128,AB128,AC128,AD128,AE128,AF128,AG128,AH128,AI128,AJ128,AK128,AL128)</f>
        <v>#VALUE!</v>
      </c>
      <c r="AX128" s="101" t="e">
        <f>CHOOSE(CharGenMain!$C$223,X128,Y128,Z128,AA128,AB128,AC128,AD128,AE128,AF128,AG128,AH128,AI128,AJ128,AK128,AL128)</f>
        <v>#VALUE!</v>
      </c>
      <c r="AY128" s="101" t="e">
        <f>CHOOSE(CharGenMain!$C$224,X128,Y128,Z128,AA128,AB128,AC128,AD128,AE128,AF128,AG128,AH128,AI128,AJ128,AK128,AL128)</f>
        <v>#VALUE!</v>
      </c>
      <c r="AZ128" s="101" t="e">
        <f>CHOOSE(CharGenMain!$C$225,X128,Y128,Z128,AA128,AB128,AC128,AD128,AE128,AF128,AG128,AH128,AI128,AJ128,AK128,AL128)</f>
        <v>#VALUE!</v>
      </c>
      <c r="BA128" s="271" t="e">
        <f>CHOOSE(CharGenMain!$C$226,X128,Y128,Z128,AA128,AB128,AC128,AD128,AE128,AF128,AG128,AH128,AI128,AJ128,AK128,AL128)</f>
        <v>#VALUE!</v>
      </c>
    </row>
    <row r="129" spans="18:53">
      <c r="R129" s="20" t="s">
        <v>1310</v>
      </c>
      <c r="S129" s="14" t="s">
        <v>2289</v>
      </c>
      <c r="T129" s="14" t="s">
        <v>2279</v>
      </c>
      <c r="U129" s="14">
        <v>2</v>
      </c>
      <c r="V129" s="14">
        <v>5</v>
      </c>
      <c r="W129" s="106">
        <v>13</v>
      </c>
      <c r="X129" s="206" t="s">
        <v>1311</v>
      </c>
      <c r="Y129" s="206" t="s">
        <v>1312</v>
      </c>
      <c r="Z129" s="206" t="s">
        <v>1313</v>
      </c>
      <c r="AA129" s="206" t="s">
        <v>1313</v>
      </c>
      <c r="AB129" s="206" t="s">
        <v>1313</v>
      </c>
      <c r="AC129" s="87" t="s">
        <v>2997</v>
      </c>
      <c r="AD129" s="87" t="s">
        <v>2997</v>
      </c>
      <c r="AE129" s="87" t="s">
        <v>2997</v>
      </c>
      <c r="AF129" s="87" t="s">
        <v>2997</v>
      </c>
      <c r="AG129" s="87" t="s">
        <v>2997</v>
      </c>
      <c r="AH129" s="87" t="s">
        <v>2997</v>
      </c>
      <c r="AI129" s="87" t="s">
        <v>2997</v>
      </c>
      <c r="AJ129" s="87" t="s">
        <v>2997</v>
      </c>
      <c r="AK129" s="87" t="s">
        <v>2997</v>
      </c>
      <c r="AL129" s="87" t="s">
        <v>2997</v>
      </c>
      <c r="AM129" s="101" t="str">
        <f>CHOOSE(CharGenMain!$C$212,X129,Y129,Z129,AA129,AB129,AC129,AD129,AE129,AF129,AG129,AH129,AI129,AJ129,AK129,AL129)</f>
        <v>+2 willforce, see text</v>
      </c>
      <c r="AN129" s="101" t="str">
        <f>CHOOSE(CharGenMain!$C$213,X129,Y129,Z129,AA129,AB129,AC129,AD129,AE129,AF129,AG129,AH129,AI129,AJ129,AK129,AL129)</f>
        <v>+1 willforce</v>
      </c>
      <c r="AO129" s="101" t="str">
        <f>CHOOSE(CharGenMain!$C$214,X129,Y129,Z129,AA129,AB129,AC129,AD129,AE129,AF129,AG129,AH129,AI129,AJ129,AK129,AL129)</f>
        <v>+1 willforce</v>
      </c>
      <c r="AP129" s="101" t="str">
        <f>CHOOSE(CharGenMain!$C$215,X129,Y129,Z129,AA129,AB129,AC129,AD129,AE129,AF129,AG129,AH129,AI129,AJ129,AK129,AL129)</f>
        <v>+2 willforce</v>
      </c>
      <c r="AQ129" s="101" t="str">
        <f>CHOOSE(CharGenMain!$C$216,X129,Y129,Z129,AA129,AB129,AC129,AD129,AE129,AF129,AG129,AH129,AI129,AJ129,AK129,AL129)</f>
        <v>+2 willforce, see text</v>
      </c>
      <c r="AR129" s="101" t="str">
        <f>CHOOSE(CharGenMain!$C$217,X129,Y129,Z129,AA129,AB129,AC129,AD129,AE129,AF129,AG129,AH129,AI129,AJ129,AK129,AL129)</f>
        <v>+2 willforce, see text</v>
      </c>
      <c r="AS129" s="101" t="e">
        <f>CHOOSE(CharGenMain!$C$218,X129,Y129,Z129,AA129,AB129,AC129,AD129,AE129,AF129,AG129,AH129,AI129,AJ129,AK129,AL129)</f>
        <v>#VALUE!</v>
      </c>
      <c r="AT129" s="101" t="e">
        <f>CHOOSE(CharGenMain!$C$219,X129,Y129,Z129,AA129,AB129,AC129,AD129,AE129,AF129,AG129,AH129,AI129,AJ129,AK129,AL129)</f>
        <v>#VALUE!</v>
      </c>
      <c r="AU129" s="101" t="e">
        <f>CHOOSE(CharGenMain!$C$220,X129,Y129,Z129,AA129,AB129,AC129,AD129,AE129,AF129,AG129,AH129,AI129,AJ129,AK129,AL129)</f>
        <v>#VALUE!</v>
      </c>
      <c r="AV129" s="101" t="e">
        <f>CHOOSE(CharGenMain!$C$221,X129,Y129,Z129,AA129,AB129,AC129,AD129,AE129,AF129,AG129,AH129,AI129,AJ129,AK129,AL129)</f>
        <v>#VALUE!</v>
      </c>
      <c r="AW129" s="101" t="e">
        <f>CHOOSE(CharGenMain!$C$222,X129,Y129,Z129,AA129,AB129,AC129,AD129,AE129,AF129,AG129,AH129,AI129,AJ129,AK129,AL129)</f>
        <v>#VALUE!</v>
      </c>
      <c r="AX129" s="101" t="e">
        <f>CHOOSE(CharGenMain!$C$223,X129,Y129,Z129,AA129,AB129,AC129,AD129,AE129,AF129,AG129,AH129,AI129,AJ129,AK129,AL129)</f>
        <v>#VALUE!</v>
      </c>
      <c r="AY129" s="101" t="e">
        <f>CHOOSE(CharGenMain!$C$224,X129,Y129,Z129,AA129,AB129,AC129,AD129,AE129,AF129,AG129,AH129,AI129,AJ129,AK129,AL129)</f>
        <v>#VALUE!</v>
      </c>
      <c r="AZ129" s="101" t="e">
        <f>CHOOSE(CharGenMain!$C$225,X129,Y129,Z129,AA129,AB129,AC129,AD129,AE129,AF129,AG129,AH129,AI129,AJ129,AK129,AL129)</f>
        <v>#VALUE!</v>
      </c>
      <c r="BA129" s="271" t="e">
        <f>CHOOSE(CharGenMain!$C$226,X129,Y129,Z129,AA129,AB129,AC129,AD129,AE129,AF129,AG129,AH129,AI129,AJ129,AK129,AL129)</f>
        <v>#VALUE!</v>
      </c>
    </row>
    <row r="130" spans="18:53">
      <c r="R130" s="20" t="s">
        <v>1315</v>
      </c>
      <c r="S130" s="14" t="s">
        <v>1507</v>
      </c>
      <c r="T130" s="14" t="s">
        <v>2279</v>
      </c>
      <c r="U130" s="14">
        <v>3</v>
      </c>
      <c r="V130" s="14">
        <v>6</v>
      </c>
      <c r="W130" s="14">
        <v>18</v>
      </c>
      <c r="X130" s="87" t="s">
        <v>1588</v>
      </c>
      <c r="Y130" s="87" t="s">
        <v>1588</v>
      </c>
      <c r="Z130" s="87" t="s">
        <v>1588</v>
      </c>
      <c r="AA130" s="87" t="s">
        <v>1588</v>
      </c>
      <c r="AB130" s="87" t="s">
        <v>1588</v>
      </c>
      <c r="AC130" s="87" t="s">
        <v>1588</v>
      </c>
      <c r="AD130" s="87" t="s">
        <v>2997</v>
      </c>
      <c r="AE130" s="87" t="s">
        <v>2997</v>
      </c>
      <c r="AF130" s="87" t="s">
        <v>2997</v>
      </c>
      <c r="AG130" s="87" t="s">
        <v>2997</v>
      </c>
      <c r="AH130" s="87" t="s">
        <v>2997</v>
      </c>
      <c r="AI130" s="87" t="s">
        <v>2997</v>
      </c>
      <c r="AJ130" s="87" t="s">
        <v>2997</v>
      </c>
      <c r="AK130" s="87" t="s">
        <v>2997</v>
      </c>
      <c r="AL130" s="87" t="s">
        <v>2997</v>
      </c>
      <c r="AM130" s="101" t="str">
        <f>CHOOSE(CharGenMain!$C$212,X130,Y130,Z130,AA130,AB130,AC130,AD130,AE130,AF130,AG130,AH130,AI130,AJ130,AK130,AL130)</f>
        <v>spellcaster bonuses, see text</v>
      </c>
      <c r="AN130" s="101" t="str">
        <f>CHOOSE(CharGenMain!$C$213,X130,Y130,Z130,AA130,AB130,AC130,AD130,AE130,AF130,AG130,AH130,AI130,AJ130,AK130,AL130)</f>
        <v>spellcaster bonuses, see text</v>
      </c>
      <c r="AO130" s="101" t="str">
        <f>CHOOSE(CharGenMain!$C$214,X130,Y130,Z130,AA130,AB130,AC130,AD130,AE130,AF130,AG130,AH130,AI130,AJ130,AK130,AL130)</f>
        <v>spellcaster bonuses, see text</v>
      </c>
      <c r="AP130" s="101" t="str">
        <f>CHOOSE(CharGenMain!$C$215,X130,Y130,Z130,AA130,AB130,AC130,AD130,AE130,AF130,AG130,AH130,AI130,AJ130,AK130,AL130)</f>
        <v>spellcaster bonuses, see text</v>
      </c>
      <c r="AQ130" s="101" t="str">
        <f>CHOOSE(CharGenMain!$C$216,X130,Y130,Z130,AA130,AB130,AC130,AD130,AE130,AF130,AG130,AH130,AI130,AJ130,AK130,AL130)</f>
        <v>spellcaster bonuses, see text</v>
      </c>
      <c r="AR130" s="101" t="str">
        <f>CHOOSE(CharGenMain!$C$217,X130,Y130,Z130,AA130,AB130,AC130,AD130,AE130,AF130,AG130,AH130,AI130,AJ130,AK130,AL130)</f>
        <v>spellcaster bonuses, see text</v>
      </c>
      <c r="AS130" s="101" t="e">
        <f>CHOOSE(CharGenMain!$C$218,X130,Y130,Z130,AA130,AB130,AC130,AD130,AE130,AF130,AG130,AH130,AI130,AJ130,AK130,AL130)</f>
        <v>#VALUE!</v>
      </c>
      <c r="AT130" s="101" t="e">
        <f>CHOOSE(CharGenMain!$C$219,X130,Y130,Z130,AA130,AB130,AC130,AD130,AE130,AF130,AG130,AH130,AI130,AJ130,AK130,AL130)</f>
        <v>#VALUE!</v>
      </c>
      <c r="AU130" s="101" t="e">
        <f>CHOOSE(CharGenMain!$C$220,X130,Y130,Z130,AA130,AB130,AC130,AD130,AE130,AF130,AG130,AH130,AI130,AJ130,AK130,AL130)</f>
        <v>#VALUE!</v>
      </c>
      <c r="AV130" s="101" t="e">
        <f>CHOOSE(CharGenMain!$C$221,X130,Y130,Z130,AA130,AB130,AC130,AD130,AE130,AF130,AG130,AH130,AI130,AJ130,AK130,AL130)</f>
        <v>#VALUE!</v>
      </c>
      <c r="AW130" s="101" t="e">
        <f>CHOOSE(CharGenMain!$C$222,X130,Y130,Z130,AA130,AB130,AC130,AD130,AE130,AF130,AG130,AH130,AI130,AJ130,AK130,AL130)</f>
        <v>#VALUE!</v>
      </c>
      <c r="AX130" s="101" t="e">
        <f>CHOOSE(CharGenMain!$C$223,X130,Y130,Z130,AA130,AB130,AC130,AD130,AE130,AF130,AG130,AH130,AI130,AJ130,AK130,AL130)</f>
        <v>#VALUE!</v>
      </c>
      <c r="AY130" s="101" t="e">
        <f>CHOOSE(CharGenMain!$C$224,X130,Y130,Z130,AA130,AB130,AC130,AD130,AE130,AF130,AG130,AH130,AI130,AJ130,AK130,AL130)</f>
        <v>#VALUE!</v>
      </c>
      <c r="AZ130" s="101" t="e">
        <f>CHOOSE(CharGenMain!$C$225,X130,Y130,Z130,AA130,AB130,AC130,AD130,AE130,AF130,AG130,AH130,AI130,AJ130,AK130,AL130)</f>
        <v>#VALUE!</v>
      </c>
      <c r="BA130" s="271" t="e">
        <f>CHOOSE(CharGenMain!$C$226,X130,Y130,Z130,AA130,AB130,AC130,AD130,AE130,AF130,AG130,AH130,AI130,AJ130,AK130,AL130)</f>
        <v>#VALUE!</v>
      </c>
    </row>
    <row r="131" spans="18:53">
      <c r="R131" s="20" t="s">
        <v>1316</v>
      </c>
      <c r="S131" s="14" t="s">
        <v>1317</v>
      </c>
      <c r="T131" s="14" t="s">
        <v>2279</v>
      </c>
      <c r="U131" s="14">
        <v>2</v>
      </c>
      <c r="V131" s="14">
        <v>5</v>
      </c>
      <c r="W131" s="14">
        <v>12</v>
      </c>
      <c r="X131" s="87" t="s">
        <v>1318</v>
      </c>
      <c r="Y131" s="87" t="s">
        <v>1318</v>
      </c>
      <c r="Z131" s="87" t="s">
        <v>1318</v>
      </c>
      <c r="AA131" s="87" t="s">
        <v>1318</v>
      </c>
      <c r="AB131" s="87" t="s">
        <v>1318</v>
      </c>
      <c r="AC131" s="87" t="s">
        <v>2997</v>
      </c>
      <c r="AD131" s="87" t="s">
        <v>2997</v>
      </c>
      <c r="AE131" s="87" t="s">
        <v>2997</v>
      </c>
      <c r="AF131" s="87" t="s">
        <v>2997</v>
      </c>
      <c r="AG131" s="87" t="s">
        <v>2997</v>
      </c>
      <c r="AH131" s="87" t="s">
        <v>2997</v>
      </c>
      <c r="AI131" s="87" t="s">
        <v>2997</v>
      </c>
      <c r="AJ131" s="87" t="s">
        <v>2997</v>
      </c>
      <c r="AK131" s="87" t="s">
        <v>2997</v>
      </c>
      <c r="AL131" s="87" t="s">
        <v>2997</v>
      </c>
      <c r="AM131" s="101" t="str">
        <f>CHOOSE(CharGenMain!$C$212,X131,Y131,Z131,AA131,AB131,AC131,AD131,AE131,AF131,AG131,AH131,AI131,AJ131,AK131,AL131)</f>
        <v>perception bonuses, see text</v>
      </c>
      <c r="AN131" s="101" t="str">
        <f>CHOOSE(CharGenMain!$C$213,X131,Y131,Z131,AA131,AB131,AC131,AD131,AE131,AF131,AG131,AH131,AI131,AJ131,AK131,AL131)</f>
        <v>perception bonuses, see text</v>
      </c>
      <c r="AO131" s="101" t="str">
        <f>CHOOSE(CharGenMain!$C$214,X131,Y131,Z131,AA131,AB131,AC131,AD131,AE131,AF131,AG131,AH131,AI131,AJ131,AK131,AL131)</f>
        <v>perception bonuses, see text</v>
      </c>
      <c r="AP131" s="101" t="str">
        <f>CHOOSE(CharGenMain!$C$215,X131,Y131,Z131,AA131,AB131,AC131,AD131,AE131,AF131,AG131,AH131,AI131,AJ131,AK131,AL131)</f>
        <v>perception bonuses, see text</v>
      </c>
      <c r="AQ131" s="101" t="str">
        <f>CHOOSE(CharGenMain!$C$216,X131,Y131,Z131,AA131,AB131,AC131,AD131,AE131,AF131,AG131,AH131,AI131,AJ131,AK131,AL131)</f>
        <v>perception bonuses, see text</v>
      </c>
      <c r="AR131" s="101" t="str">
        <f>CHOOSE(CharGenMain!$C$217,X131,Y131,Z131,AA131,AB131,AC131,AD131,AE131,AF131,AG131,AH131,AI131,AJ131,AK131,AL131)</f>
        <v>perception bonuses, see text</v>
      </c>
      <c r="AS131" s="101" t="e">
        <f>CHOOSE(CharGenMain!$C$218,X131,Y131,Z131,AA131,AB131,AC131,AD131,AE131,AF131,AG131,AH131,AI131,AJ131,AK131,AL131)</f>
        <v>#VALUE!</v>
      </c>
      <c r="AT131" s="101" t="e">
        <f>CHOOSE(CharGenMain!$C$219,X131,Y131,Z131,AA131,AB131,AC131,AD131,AE131,AF131,AG131,AH131,AI131,AJ131,AK131,AL131)</f>
        <v>#VALUE!</v>
      </c>
      <c r="AU131" s="101" t="e">
        <f>CHOOSE(CharGenMain!$C$220,X131,Y131,Z131,AA131,AB131,AC131,AD131,AE131,AF131,AG131,AH131,AI131,AJ131,AK131,AL131)</f>
        <v>#VALUE!</v>
      </c>
      <c r="AV131" s="101" t="e">
        <f>CHOOSE(CharGenMain!$C$221,X131,Y131,Z131,AA131,AB131,AC131,AD131,AE131,AF131,AG131,AH131,AI131,AJ131,AK131,AL131)</f>
        <v>#VALUE!</v>
      </c>
      <c r="AW131" s="101" t="e">
        <f>CHOOSE(CharGenMain!$C$222,X131,Y131,Z131,AA131,AB131,AC131,AD131,AE131,AF131,AG131,AH131,AI131,AJ131,AK131,AL131)</f>
        <v>#VALUE!</v>
      </c>
      <c r="AX131" s="101" t="e">
        <f>CHOOSE(CharGenMain!$C$223,X131,Y131,Z131,AA131,AB131,AC131,AD131,AE131,AF131,AG131,AH131,AI131,AJ131,AK131,AL131)</f>
        <v>#VALUE!</v>
      </c>
      <c r="AY131" s="101" t="e">
        <f>CHOOSE(CharGenMain!$C$224,X131,Y131,Z131,AA131,AB131,AC131,AD131,AE131,AF131,AG131,AH131,AI131,AJ131,AK131,AL131)</f>
        <v>#VALUE!</v>
      </c>
      <c r="AZ131" s="101" t="e">
        <f>CHOOSE(CharGenMain!$C$225,X131,Y131,Z131,AA131,AB131,AC131,AD131,AE131,AF131,AG131,AH131,AI131,AJ131,AK131,AL131)</f>
        <v>#VALUE!</v>
      </c>
      <c r="BA131" s="271" t="e">
        <f>CHOOSE(CharGenMain!$C$226,X131,Y131,Z131,AA131,AB131,AC131,AD131,AE131,AF131,AG131,AH131,AI131,AJ131,AK131,AL131)</f>
        <v>#VALUE!</v>
      </c>
    </row>
    <row r="132" spans="18:53">
      <c r="R132" s="226" t="s">
        <v>1319</v>
      </c>
      <c r="S132" s="14" t="s">
        <v>1320</v>
      </c>
      <c r="T132" s="14" t="s">
        <v>2667</v>
      </c>
      <c r="U132" s="14">
        <v>2</v>
      </c>
      <c r="V132" s="14">
        <v>4</v>
      </c>
      <c r="W132" s="14">
        <v>20</v>
      </c>
      <c r="X132" s="207" t="s">
        <v>1321</v>
      </c>
      <c r="Y132" s="207" t="s">
        <v>1423</v>
      </c>
      <c r="Z132" s="207" t="s">
        <v>1544</v>
      </c>
      <c r="AA132" s="207" t="s">
        <v>1545</v>
      </c>
      <c r="AB132" s="87" t="s">
        <v>2997</v>
      </c>
      <c r="AC132" s="87" t="s">
        <v>2997</v>
      </c>
      <c r="AD132" s="87" t="s">
        <v>2997</v>
      </c>
      <c r="AE132" s="87" t="s">
        <v>2997</v>
      </c>
      <c r="AF132" s="87" t="s">
        <v>2997</v>
      </c>
      <c r="AG132" s="87" t="s">
        <v>2997</v>
      </c>
      <c r="AH132" s="87" t="s">
        <v>2997</v>
      </c>
      <c r="AI132" s="87" t="s">
        <v>2997</v>
      </c>
      <c r="AJ132" s="87" t="s">
        <v>2997</v>
      </c>
      <c r="AK132" s="87" t="s">
        <v>2997</v>
      </c>
      <c r="AL132" s="87" t="s">
        <v>2997</v>
      </c>
      <c r="AM132" s="101" t="str">
        <f>CHOOSE(CharGenMain!$C$212,X132,Y132,Z132,AA132,AB132,AC132,AD132,AE132,AF132,AG132,AH132,AI132,AJ132,AK132,AL132)</f>
        <v>+3 spell def vs an horror or construct spell or power</v>
      </c>
      <c r="AN132" s="101" t="str">
        <f>CHOOSE(CharGenMain!$C$213,X132,Y132,Z132,AA132,AB132,AC132,AD132,AE132,AF132,AG132,AH132,AI132,AJ132,AK132,AL132)</f>
        <v>+1 spell def vs an horror or construct spell or power</v>
      </c>
      <c r="AO132" s="101" t="str">
        <f>CHOOSE(CharGenMain!$C$214,X132,Y132,Z132,AA132,AB132,AC132,AD132,AE132,AF132,AG132,AH132,AI132,AJ132,AK132,AL132)</f>
        <v>+1 spell def vs an horror or construct spell or power</v>
      </c>
      <c r="AP132" s="101" t="str">
        <f>CHOOSE(CharGenMain!$C$215,X132,Y132,Z132,AA132,AB132,AC132,AD132,AE132,AF132,AG132,AH132,AI132,AJ132,AK132,AL132)</f>
        <v>+2 spell def vs an horror or construct spell or power</v>
      </c>
      <c r="AQ132" s="101" t="str">
        <f>CHOOSE(CharGenMain!$C$216,X132,Y132,Z132,AA132,AB132,AC132,AD132,AE132,AF132,AG132,AH132,AI132,AJ132,AK132,AL132)</f>
        <v>+4 spell def vs an horror or construct spell or power</v>
      </c>
      <c r="AR132" s="101" t="str">
        <f>CHOOSE(CharGenMain!$C$217,X132,Y132,Z132,AA132,AB132,AC132,AD132,AE132,AF132,AG132,AH132,AI132,AJ132,AK132,AL132)</f>
        <v>Thread Max Exceeded</v>
      </c>
      <c r="AS132" s="101" t="e">
        <f>CHOOSE(CharGenMain!$C$218,X132,Y132,Z132,AA132,AB132,AC132,AD132,AE132,AF132,AG132,AH132,AI132,AJ132,AK132,AL132)</f>
        <v>#VALUE!</v>
      </c>
      <c r="AT132" s="101" t="e">
        <f>CHOOSE(CharGenMain!$C$219,X132,Y132,Z132,AA132,AB132,AC132,AD132,AE132,AF132,AG132,AH132,AI132,AJ132,AK132,AL132)</f>
        <v>#VALUE!</v>
      </c>
      <c r="AU132" s="101" t="e">
        <f>CHOOSE(CharGenMain!$C$220,X132,Y132,Z132,AA132,AB132,AC132,AD132,AE132,AF132,AG132,AH132,AI132,AJ132,AK132,AL132)</f>
        <v>#VALUE!</v>
      </c>
      <c r="AV132" s="101" t="e">
        <f>CHOOSE(CharGenMain!$C$221,X132,Y132,Z132,AA132,AB132,AC132,AD132,AE132,AF132,AG132,AH132,AI132,AJ132,AK132,AL132)</f>
        <v>#VALUE!</v>
      </c>
      <c r="AW132" s="101" t="e">
        <f>CHOOSE(CharGenMain!$C$222,X132,Y132,Z132,AA132,AB132,AC132,AD132,AE132,AF132,AG132,AH132,AI132,AJ132,AK132,AL132)</f>
        <v>#VALUE!</v>
      </c>
      <c r="AX132" s="101" t="e">
        <f>CHOOSE(CharGenMain!$C$223,X132,Y132,Z132,AA132,AB132,AC132,AD132,AE132,AF132,AG132,AH132,AI132,AJ132,AK132,AL132)</f>
        <v>#VALUE!</v>
      </c>
      <c r="AY132" s="101" t="e">
        <f>CHOOSE(CharGenMain!$C$224,X132,Y132,Z132,AA132,AB132,AC132,AD132,AE132,AF132,AG132,AH132,AI132,AJ132,AK132,AL132)</f>
        <v>#VALUE!</v>
      </c>
      <c r="AZ132" s="101" t="e">
        <f>CHOOSE(CharGenMain!$C$225,X132,Y132,Z132,AA132,AB132,AC132,AD132,AE132,AF132,AG132,AH132,AI132,AJ132,AK132,AL132)</f>
        <v>#VALUE!</v>
      </c>
      <c r="BA132" s="271" t="e">
        <f>CHOOSE(CharGenMain!$C$226,X132,Y132,Z132,AA132,AB132,AC132,AD132,AE132,AF132,AG132,AH132,AI132,AJ132,AK132,AL132)</f>
        <v>#VALUE!</v>
      </c>
    </row>
    <row r="133" spans="18:53">
      <c r="R133" s="226" t="s">
        <v>1546</v>
      </c>
      <c r="S133" s="14" t="s">
        <v>1547</v>
      </c>
      <c r="T133" s="14" t="s">
        <v>2667</v>
      </c>
      <c r="U133" s="14">
        <v>2</v>
      </c>
      <c r="V133" s="14">
        <v>6</v>
      </c>
      <c r="W133" s="14">
        <v>13</v>
      </c>
      <c r="X133" s="206" t="s">
        <v>5844</v>
      </c>
      <c r="Y133" s="206" t="s">
        <v>5845</v>
      </c>
      <c r="Z133" s="206" t="s">
        <v>5760</v>
      </c>
      <c r="AA133" s="206" t="s">
        <v>5900</v>
      </c>
      <c r="AB133" s="206" t="s">
        <v>5901</v>
      </c>
      <c r="AC133" s="206" t="s">
        <v>5902</v>
      </c>
      <c r="AD133" s="87" t="s">
        <v>2997</v>
      </c>
      <c r="AE133" s="87" t="s">
        <v>2997</v>
      </c>
      <c r="AF133" s="87" t="s">
        <v>2997</v>
      </c>
      <c r="AG133" s="87" t="s">
        <v>2997</v>
      </c>
      <c r="AH133" s="87" t="s">
        <v>2997</v>
      </c>
      <c r="AI133" s="87" t="s">
        <v>2997</v>
      </c>
      <c r="AJ133" s="87" t="s">
        <v>2997</v>
      </c>
      <c r="AK133" s="87" t="s">
        <v>2997</v>
      </c>
      <c r="AL133" s="87" t="s">
        <v>2997</v>
      </c>
      <c r="AM133" s="101" t="str">
        <f>CHOOSE(CharGenMain!$C$212,X133,Y133,Z133,AA133,AB133,AC133,AD133,AE133,AF133,AG133,AH133,AI133,AJ133,AK133,AL133)</f>
        <v>+2 Spellcasting OR Threadweaving OR +1 each, +1 Spell Def</v>
      </c>
      <c r="AN133" s="101" t="str">
        <f>CHOOSE(CharGenMain!$C$213,X133,Y133,Z133,AA133,AB133,AC133,AD133,AE133,AF133,AG133,AH133,AI133,AJ133,AK133,AL133)</f>
        <v>+1 Spellcasting OR Threadweaving</v>
      </c>
      <c r="AO133" s="101" t="str">
        <f>CHOOSE(CharGenMain!$C$214,X133,Y133,Z133,AA133,AB133,AC133,AD133,AE133,AF133,AG133,AH133,AI133,AJ133,AK133,AL133)</f>
        <v>+1 Spellcasting OR Threadweaving</v>
      </c>
      <c r="AP133" s="101" t="str">
        <f>CHOOSE(CharGenMain!$C$215,X133,Y133,Z133,AA133,AB133,AC133,AD133,AE133,AF133,AG133,AH133,AI133,AJ133,AK133,AL133)</f>
        <v>+2 Spellcasting OR Threadweaving OR +1 each</v>
      </c>
      <c r="AQ133" s="101" t="str">
        <f>CHOOSE(CharGenMain!$C$216,X133,Y133,Z133,AA133,AB133,AC133,AD133,AE133,AF133,AG133,AH133,AI133,AJ133,AK133,AL133)</f>
        <v>+2 Spellcasting OR Threadweaving OR +1 each, +2 Spell Def</v>
      </c>
      <c r="AR133" s="101" t="str">
        <f>CHOOSE(CharGenMain!$C$217,X133,Y133,Z133,AA133,AB133,AC133,AD133,AE133,AF133,AG133,AH133,AI133,AJ133,AK133,AL133)</f>
        <v>+2 Spellcasting OR Threadweaving OR +1 each, +2 Spell Def, +1 Mystic Arm</v>
      </c>
      <c r="AS133" s="101" t="e">
        <f>CHOOSE(CharGenMain!$C$218,X133,Y133,Z133,AA133,AB133,AC133,AD133,AE133,AF133,AG133,AH133,AI133,AJ133,AK133,AL133)</f>
        <v>#VALUE!</v>
      </c>
      <c r="AT133" s="101" t="e">
        <f>CHOOSE(CharGenMain!$C$219,X133,Y133,Z133,AA133,AB133,AC133,AD133,AE133,AF133,AG133,AH133,AI133,AJ133,AK133,AL133)</f>
        <v>#VALUE!</v>
      </c>
      <c r="AU133" s="101" t="e">
        <f>CHOOSE(CharGenMain!$C$220,X133,Y133,Z133,AA133,AB133,AC133,AD133,AE133,AF133,AG133,AH133,AI133,AJ133,AK133,AL133)</f>
        <v>#VALUE!</v>
      </c>
      <c r="AV133" s="101" t="e">
        <f>CHOOSE(CharGenMain!$C$221,X133,Y133,Z133,AA133,AB133,AC133,AD133,AE133,AF133,AG133,AH133,AI133,AJ133,AK133,AL133)</f>
        <v>#VALUE!</v>
      </c>
      <c r="AW133" s="101" t="e">
        <f>CHOOSE(CharGenMain!$C$222,X133,Y133,Z133,AA133,AB133,AC133,AD133,AE133,AF133,AG133,AH133,AI133,AJ133,AK133,AL133)</f>
        <v>#VALUE!</v>
      </c>
      <c r="AX133" s="101" t="e">
        <f>CHOOSE(CharGenMain!$C$223,X133,Y133,Z133,AA133,AB133,AC133,AD133,AE133,AF133,AG133,AH133,AI133,AJ133,AK133,AL133)</f>
        <v>#VALUE!</v>
      </c>
      <c r="AY133" s="101" t="e">
        <f>CHOOSE(CharGenMain!$C$224,X133,Y133,Z133,AA133,AB133,AC133,AD133,AE133,AF133,AG133,AH133,AI133,AJ133,AK133,AL133)</f>
        <v>#VALUE!</v>
      </c>
      <c r="AZ133" s="101" t="e">
        <f>CHOOSE(CharGenMain!$C$225,X133,Y133,Z133,AA133,AB133,AC133,AD133,AE133,AF133,AG133,AH133,AI133,AJ133,AK133,AL133)</f>
        <v>#VALUE!</v>
      </c>
      <c r="BA133" s="271" t="e">
        <f>CHOOSE(CharGenMain!$C$226,X133,Y133,Z133,AA133,AB133,AC133,AD133,AE133,AF133,AG133,AH133,AI133,AJ133,AK133,AL133)</f>
        <v>#VALUE!</v>
      </c>
    </row>
    <row r="134" spans="18:53">
      <c r="R134" s="205" t="s">
        <v>1548</v>
      </c>
      <c r="S134" s="167" t="s">
        <v>1436</v>
      </c>
      <c r="T134" s="14" t="s">
        <v>2279</v>
      </c>
      <c r="U134" s="14">
        <v>2</v>
      </c>
      <c r="V134" s="14">
        <v>9</v>
      </c>
      <c r="W134" s="14">
        <v>15</v>
      </c>
      <c r="X134" s="207" t="s">
        <v>1437</v>
      </c>
      <c r="Y134" s="207" t="s">
        <v>1438</v>
      </c>
      <c r="Z134" s="207" t="s">
        <v>1439</v>
      </c>
      <c r="AA134" s="207" t="s">
        <v>1449</v>
      </c>
      <c r="AB134" s="207" t="s">
        <v>1450</v>
      </c>
      <c r="AC134" s="207" t="s">
        <v>1451</v>
      </c>
      <c r="AD134" s="207" t="s">
        <v>1452</v>
      </c>
      <c r="AE134" s="207" t="s">
        <v>1453</v>
      </c>
      <c r="AF134" s="207" t="s">
        <v>1454</v>
      </c>
      <c r="AG134" s="87" t="s">
        <v>2997</v>
      </c>
      <c r="AH134" s="87" t="s">
        <v>2997</v>
      </c>
      <c r="AI134" s="87" t="s">
        <v>2997</v>
      </c>
      <c r="AJ134" s="87" t="s">
        <v>2997</v>
      </c>
      <c r="AK134" s="87" t="s">
        <v>2997</v>
      </c>
      <c r="AL134" s="87" t="s">
        <v>2997</v>
      </c>
      <c r="AM134" s="101" t="str">
        <f>CHOOSE(CharGenMain!$C$212,X134,Y134,Z134,AA134,AB134,AC134,AD134,AE134,AF134,AG134,AH134,AI134,AJ134,AK134,AL134)</f>
        <v>+1 phys def, +1 phys arm, +1 myst arm</v>
      </c>
      <c r="AN134" s="101" t="str">
        <f>CHOOSE(CharGenMain!$C$213,X134,Y134,Z134,AA134,AB134,AC134,AD134,AE134,AF134,AG134,AH134,AI134,AJ134,AK134,AL134)</f>
        <v>+1 phys arm</v>
      </c>
      <c r="AO134" s="101" t="str">
        <f>CHOOSE(CharGenMain!$C$214,X134,Y134,Z134,AA134,AB134,AC134,AD134,AE134,AF134,AG134,AH134,AI134,AJ134,AK134,AL134)</f>
        <v>+1 phys arm</v>
      </c>
      <c r="AP134" s="101" t="str">
        <f>CHOOSE(CharGenMain!$C$215,X134,Y134,Z134,AA134,AB134,AC134,AD134,AE134,AF134,AG134,AH134,AI134,AJ134,AK134,AL134)</f>
        <v>+1 phys def, +1 phys arm</v>
      </c>
      <c r="AQ134" s="101" t="str">
        <f>CHOOSE(CharGenMain!$C$216,X134,Y134,Z134,AA134,AB134,AC134,AD134,AE134,AF134,AG134,AH134,AI134,AJ134,AK134,AL134)</f>
        <v>+1 phys def, +1 spell def, +1 phys arm, +1 myst arm</v>
      </c>
      <c r="AR134" s="101" t="str">
        <f>CHOOSE(CharGenMain!$C$217,X134,Y134,Z134,AA134,AB134,AC134,AD134,AE134,AF134,AG134,AH134,AI134,AJ134,AK134,AL134)</f>
        <v>+1 phys def, +1 spell def, +2 phys arm, +1 myst arm</v>
      </c>
      <c r="AS134" s="101" t="e">
        <f>CHOOSE(CharGenMain!$C$218,X134,Y134,Z134,AA134,AB134,AC134,AD134,AE134,AF134,AG134,AH134,AI134,AJ134,AK134,AL134)</f>
        <v>#VALUE!</v>
      </c>
      <c r="AT134" s="101" t="e">
        <f>CHOOSE(CharGenMain!$C$219,X134,Y134,Z134,AA134,AB134,AC134,AD134,AE134,AF134,AG134,AH134,AI134,AJ134,AK134,AL134)</f>
        <v>#VALUE!</v>
      </c>
      <c r="AU134" s="101" t="e">
        <f>CHOOSE(CharGenMain!$C$220,X134,Y134,Z134,AA134,AB134,AC134,AD134,AE134,AF134,AG134,AH134,AI134,AJ134,AK134,AL134)</f>
        <v>#VALUE!</v>
      </c>
      <c r="AV134" s="101" t="e">
        <f>CHOOSE(CharGenMain!$C$221,X134,Y134,Z134,AA134,AB134,AC134,AD134,AE134,AF134,AG134,AH134,AI134,AJ134,AK134,AL134)</f>
        <v>#VALUE!</v>
      </c>
      <c r="AW134" s="101" t="e">
        <f>CHOOSE(CharGenMain!$C$222,X134,Y134,Z134,AA134,AB134,AC134,AD134,AE134,AF134,AG134,AH134,AI134,AJ134,AK134,AL134)</f>
        <v>#VALUE!</v>
      </c>
      <c r="AX134" s="101" t="e">
        <f>CHOOSE(CharGenMain!$C$223,X134,Y134,Z134,AA134,AB134,AC134,AD134,AE134,AF134,AG134,AH134,AI134,AJ134,AK134,AL134)</f>
        <v>#VALUE!</v>
      </c>
      <c r="AY134" s="101" t="e">
        <f>CHOOSE(CharGenMain!$C$224,X134,Y134,Z134,AA134,AB134,AC134,AD134,AE134,AF134,AG134,AH134,AI134,AJ134,AK134,AL134)</f>
        <v>#VALUE!</v>
      </c>
      <c r="AZ134" s="101" t="e">
        <f>CHOOSE(CharGenMain!$C$225,X134,Y134,Z134,AA134,AB134,AC134,AD134,AE134,AF134,AG134,AH134,AI134,AJ134,AK134,AL134)</f>
        <v>#VALUE!</v>
      </c>
      <c r="BA134" s="271" t="e">
        <f>CHOOSE(CharGenMain!$C$226,X134,Y134,Z134,AA134,AB134,AC134,AD134,AE134,AF134,AG134,AH134,AI134,AJ134,AK134,AL134)</f>
        <v>#VALUE!</v>
      </c>
    </row>
    <row r="135" spans="18:53">
      <c r="R135" s="205" t="s">
        <v>1455</v>
      </c>
      <c r="S135" s="167" t="s">
        <v>1499</v>
      </c>
      <c r="T135" s="14" t="s">
        <v>2279</v>
      </c>
      <c r="U135" s="14">
        <v>3</v>
      </c>
      <c r="V135" s="14">
        <v>5</v>
      </c>
      <c r="W135" s="14">
        <v>15</v>
      </c>
      <c r="X135" s="207" t="s">
        <v>1862</v>
      </c>
      <c r="Y135" s="207" t="s">
        <v>1456</v>
      </c>
      <c r="Z135" s="207" t="s">
        <v>1457</v>
      </c>
      <c r="AA135" s="207" t="s">
        <v>1458</v>
      </c>
      <c r="AB135" s="207" t="s">
        <v>1459</v>
      </c>
      <c r="AC135" s="87" t="s">
        <v>2997</v>
      </c>
      <c r="AD135" s="87" t="s">
        <v>2997</v>
      </c>
      <c r="AE135" s="87" t="s">
        <v>2997</v>
      </c>
      <c r="AF135" s="87" t="s">
        <v>2997</v>
      </c>
      <c r="AG135" s="87" t="s">
        <v>2997</v>
      </c>
      <c r="AH135" s="87" t="s">
        <v>2997</v>
      </c>
      <c r="AI135" s="87" t="s">
        <v>2997</v>
      </c>
      <c r="AJ135" s="87" t="s">
        <v>2997</v>
      </c>
      <c r="AK135" s="87" t="s">
        <v>2997</v>
      </c>
      <c r="AL135" s="87" t="s">
        <v>2997</v>
      </c>
      <c r="AM135" s="101" t="str">
        <f>CHOOSE(CharGenMain!$C$212,X135,Y135,Z135,AA135,AB135,AC135,AD135,AE135,AF135,AG135,AH135,AI135,AJ135,AK135,AL135)</f>
        <v>+3 spell def, +3 soc def</v>
      </c>
      <c r="AN135" s="101" t="str">
        <f>CHOOSE(CharGenMain!$C$213,X135,Y135,Z135,AA135,AB135,AC135,AD135,AE135,AF135,AG135,AH135,AI135,AJ135,AK135,AL135)</f>
        <v>+1 spell def, +1 soc def</v>
      </c>
      <c r="AO135" s="101" t="str">
        <f>CHOOSE(CharGenMain!$C$214,X135,Y135,Z135,AA135,AB135,AC135,AD135,AE135,AF135,AG135,AH135,AI135,AJ135,AK135,AL135)</f>
        <v>+1 spell def, +1 soc def</v>
      </c>
      <c r="AP135" s="101" t="str">
        <f>CHOOSE(CharGenMain!$C$215,X135,Y135,Z135,AA135,AB135,AC135,AD135,AE135,AF135,AG135,AH135,AI135,AJ135,AK135,AL135)</f>
        <v>+2 spell def, +2 soc def</v>
      </c>
      <c r="AQ135" s="101" t="str">
        <f>CHOOSE(CharGenMain!$C$216,X135,Y135,Z135,AA135,AB135,AC135,AD135,AE135,AF135,AG135,AH135,AI135,AJ135,AK135,AL135)</f>
        <v>+4 spell def, +4 soc def</v>
      </c>
      <c r="AR135" s="101" t="str">
        <f>CHOOSE(CharGenMain!$C$217,X135,Y135,Z135,AA135,AB135,AC135,AD135,AE135,AF135,AG135,AH135,AI135,AJ135,AK135,AL135)</f>
        <v>+5 spell def, +5 soc def, +1 interaction tests</v>
      </c>
      <c r="AS135" s="101" t="e">
        <f>CHOOSE(CharGenMain!$C$218,X135,Y135,Z135,AA135,AB135,AC135,AD135,AE135,AF135,AG135,AH135,AI135,AJ135,AK135,AL135)</f>
        <v>#VALUE!</v>
      </c>
      <c r="AT135" s="101" t="e">
        <f>CHOOSE(CharGenMain!$C$219,X135,Y135,Z135,AA135,AB135,AC135,AD135,AE135,AF135,AG135,AH135,AI135,AJ135,AK135,AL135)</f>
        <v>#VALUE!</v>
      </c>
      <c r="AU135" s="101" t="e">
        <f>CHOOSE(CharGenMain!$C$220,X135,Y135,Z135,AA135,AB135,AC135,AD135,AE135,AF135,AG135,AH135,AI135,AJ135,AK135,AL135)</f>
        <v>#VALUE!</v>
      </c>
      <c r="AV135" s="101" t="e">
        <f>CHOOSE(CharGenMain!$C$221,X135,Y135,Z135,AA135,AB135,AC135,AD135,AE135,AF135,AG135,AH135,AI135,AJ135,AK135,AL135)</f>
        <v>#VALUE!</v>
      </c>
      <c r="AW135" s="101" t="e">
        <f>CHOOSE(CharGenMain!$C$222,X135,Y135,Z135,AA135,AB135,AC135,AD135,AE135,AF135,AG135,AH135,AI135,AJ135,AK135,AL135)</f>
        <v>#VALUE!</v>
      </c>
      <c r="AX135" s="101" t="e">
        <f>CHOOSE(CharGenMain!$C$223,X135,Y135,Z135,AA135,AB135,AC135,AD135,AE135,AF135,AG135,AH135,AI135,AJ135,AK135,AL135)</f>
        <v>#VALUE!</v>
      </c>
      <c r="AY135" s="101" t="e">
        <f>CHOOSE(CharGenMain!$C$224,X135,Y135,Z135,AA135,AB135,AC135,AD135,AE135,AF135,AG135,AH135,AI135,AJ135,AK135,AL135)</f>
        <v>#VALUE!</v>
      </c>
      <c r="AZ135" s="101" t="e">
        <f>CHOOSE(CharGenMain!$C$225,X135,Y135,Z135,AA135,AB135,AC135,AD135,AE135,AF135,AG135,AH135,AI135,AJ135,AK135,AL135)</f>
        <v>#VALUE!</v>
      </c>
      <c r="BA135" s="271" t="e">
        <f>CHOOSE(CharGenMain!$C$226,X135,Y135,Z135,AA135,AB135,AC135,AD135,AE135,AF135,AG135,AH135,AI135,AJ135,AK135,AL135)</f>
        <v>#VALUE!</v>
      </c>
    </row>
    <row r="136" spans="18:53">
      <c r="R136" s="205" t="s">
        <v>1460</v>
      </c>
      <c r="S136" s="167" t="s">
        <v>1461</v>
      </c>
      <c r="T136" s="14" t="s">
        <v>2279</v>
      </c>
      <c r="U136" s="14">
        <v>2</v>
      </c>
      <c r="V136" s="14">
        <v>5</v>
      </c>
      <c r="W136" s="14">
        <v>12</v>
      </c>
      <c r="X136" s="207" t="s">
        <v>1462</v>
      </c>
      <c r="Y136" s="207" t="s">
        <v>1568</v>
      </c>
      <c r="Z136" s="207" t="s">
        <v>1569</v>
      </c>
      <c r="AA136" s="207" t="s">
        <v>1570</v>
      </c>
      <c r="AB136" s="207" t="s">
        <v>1581</v>
      </c>
      <c r="AC136" s="87" t="s">
        <v>2997</v>
      </c>
      <c r="AD136" s="87" t="s">
        <v>2997</v>
      </c>
      <c r="AE136" s="87" t="s">
        <v>2997</v>
      </c>
      <c r="AF136" s="87" t="s">
        <v>2997</v>
      </c>
      <c r="AG136" s="87" t="s">
        <v>2997</v>
      </c>
      <c r="AH136" s="87" t="s">
        <v>2997</v>
      </c>
      <c r="AI136" s="87" t="s">
        <v>2997</v>
      </c>
      <c r="AJ136" s="87" t="s">
        <v>2997</v>
      </c>
      <c r="AK136" s="87" t="s">
        <v>2997</v>
      </c>
      <c r="AL136" s="87" t="s">
        <v>2997</v>
      </c>
      <c r="AM136" s="101" t="str">
        <f>CHOOSE(CharGenMain!$C$212,X136,Y136,Z136,AA136,AB136,AC136,AD136,AE136,AF136,AG136,AH136,AI136,AJ136,AK136,AL136)</f>
        <v>+1 to perception tests, +2 soc def</v>
      </c>
      <c r="AN136" s="101" t="str">
        <f>CHOOSE(CharGenMain!$C$213,X136,Y136,Z136,AA136,AB136,AC136,AD136,AE136,AF136,AG136,AH136,AI136,AJ136,AK136,AL136)</f>
        <v>+1 to perception tests</v>
      </c>
      <c r="AO136" s="101" t="str">
        <f>CHOOSE(CharGenMain!$C$214,X136,Y136,Z136,AA136,AB136,AC136,AD136,AE136,AF136,AG136,AH136,AI136,AJ136,AK136,AL136)</f>
        <v>+1 to perception tests</v>
      </c>
      <c r="AP136" s="101" t="str">
        <f>CHOOSE(CharGenMain!$C$215,X136,Y136,Z136,AA136,AB136,AC136,AD136,AE136,AF136,AG136,AH136,AI136,AJ136,AK136,AL136)</f>
        <v>+1 to perception tests, +1 soc def</v>
      </c>
      <c r="AQ136" s="101" t="str">
        <f>CHOOSE(CharGenMain!$C$216,X136,Y136,Z136,AA136,AB136,AC136,AD136,AE136,AF136,AG136,AH136,AI136,AJ136,AK136,AL136)</f>
        <v>+1 to perception tests, +2 soc def, +1 detect influence</v>
      </c>
      <c r="AR136" s="101" t="str">
        <f>CHOOSE(CharGenMain!$C$217,X136,Y136,Z136,AA136,AB136,AC136,AD136,AE136,AF136,AG136,AH136,AI136,AJ136,AK136,AL136)</f>
        <v>+1 to perception tests, +2 soc def, +1 detect influence, see text</v>
      </c>
      <c r="AS136" s="101" t="e">
        <f>CHOOSE(CharGenMain!$C$218,X136,Y136,Z136,AA136,AB136,AC136,AD136,AE136,AF136,AG136,AH136,AI136,AJ136,AK136,AL136)</f>
        <v>#VALUE!</v>
      </c>
      <c r="AT136" s="101" t="e">
        <f>CHOOSE(CharGenMain!$C$219,X136,Y136,Z136,AA136,AB136,AC136,AD136,AE136,AF136,AG136,AH136,AI136,AJ136,AK136,AL136)</f>
        <v>#VALUE!</v>
      </c>
      <c r="AU136" s="101" t="e">
        <f>CHOOSE(CharGenMain!$C$220,X136,Y136,Z136,AA136,AB136,AC136,AD136,AE136,AF136,AG136,AH136,AI136,AJ136,AK136,AL136)</f>
        <v>#VALUE!</v>
      </c>
      <c r="AV136" s="101" t="e">
        <f>CHOOSE(CharGenMain!$C$221,X136,Y136,Z136,AA136,AB136,AC136,AD136,AE136,AF136,AG136,AH136,AI136,AJ136,AK136,AL136)</f>
        <v>#VALUE!</v>
      </c>
      <c r="AW136" s="101" t="e">
        <f>CHOOSE(CharGenMain!$C$222,X136,Y136,Z136,AA136,AB136,AC136,AD136,AE136,AF136,AG136,AH136,AI136,AJ136,AK136,AL136)</f>
        <v>#VALUE!</v>
      </c>
      <c r="AX136" s="101" t="e">
        <f>CHOOSE(CharGenMain!$C$223,X136,Y136,Z136,AA136,AB136,AC136,AD136,AE136,AF136,AG136,AH136,AI136,AJ136,AK136,AL136)</f>
        <v>#VALUE!</v>
      </c>
      <c r="AY136" s="101" t="e">
        <f>CHOOSE(CharGenMain!$C$224,X136,Y136,Z136,AA136,AB136,AC136,AD136,AE136,AF136,AG136,AH136,AI136,AJ136,AK136,AL136)</f>
        <v>#VALUE!</v>
      </c>
      <c r="AZ136" s="101" t="e">
        <f>CHOOSE(CharGenMain!$C$225,X136,Y136,Z136,AA136,AB136,AC136,AD136,AE136,AF136,AG136,AH136,AI136,AJ136,AK136,AL136)</f>
        <v>#VALUE!</v>
      </c>
      <c r="BA136" s="271" t="e">
        <f>CHOOSE(CharGenMain!$C$226,X136,Y136,Z136,AA136,AB136,AC136,AD136,AE136,AF136,AG136,AH136,AI136,AJ136,AK136,AL136)</f>
        <v>#VALUE!</v>
      </c>
    </row>
    <row r="137" spans="18:53">
      <c r="R137" s="226" t="s">
        <v>1582</v>
      </c>
      <c r="S137" s="14" t="s">
        <v>1583</v>
      </c>
      <c r="T137" s="14" t="s">
        <v>2223</v>
      </c>
      <c r="U137" s="14">
        <v>3</v>
      </c>
      <c r="V137" s="14">
        <v>4</v>
      </c>
      <c r="W137" s="14">
        <v>15</v>
      </c>
      <c r="X137" s="87" t="s">
        <v>1584</v>
      </c>
      <c r="Y137" s="87" t="s">
        <v>1584</v>
      </c>
      <c r="Z137" s="87" t="s">
        <v>1584</v>
      </c>
      <c r="AA137" s="87" t="s">
        <v>1584</v>
      </c>
      <c r="AB137" s="87" t="s">
        <v>2997</v>
      </c>
      <c r="AC137" s="87" t="s">
        <v>2997</v>
      </c>
      <c r="AD137" s="87" t="s">
        <v>2997</v>
      </c>
      <c r="AE137" s="87" t="s">
        <v>2997</v>
      </c>
      <c r="AF137" s="87" t="s">
        <v>2997</v>
      </c>
      <c r="AG137" s="87" t="s">
        <v>2997</v>
      </c>
      <c r="AH137" s="87" t="s">
        <v>2997</v>
      </c>
      <c r="AI137" s="87" t="s">
        <v>2997</v>
      </c>
      <c r="AJ137" s="87" t="s">
        <v>2997</v>
      </c>
      <c r="AK137" s="87" t="s">
        <v>2997</v>
      </c>
      <c r="AL137" s="87" t="s">
        <v>2997</v>
      </c>
      <c r="AM137" s="101" t="str">
        <f>CHOOSE(CharGenMain!$C$212,X137,Y137,Z137,AA137,AB137,AC137,AD137,AE137,AF137,AG137,AH137,AI137,AJ137,AK137,AL137)</f>
        <v>cast lightning and thunder, see text</v>
      </c>
      <c r="AN137" s="101" t="str">
        <f>CHOOSE(CharGenMain!$C$213,X137,Y137,Z137,AA137,AB137,AC137,AD137,AE137,AF137,AG137,AH137,AI137,AJ137,AK137,AL137)</f>
        <v>cast lightning and thunder, see text</v>
      </c>
      <c r="AO137" s="101" t="str">
        <f>CHOOSE(CharGenMain!$C$214,X137,Y137,Z137,AA137,AB137,AC137,AD137,AE137,AF137,AG137,AH137,AI137,AJ137,AK137,AL137)</f>
        <v>cast lightning and thunder, see text</v>
      </c>
      <c r="AP137" s="101" t="str">
        <f>CHOOSE(CharGenMain!$C$215,X137,Y137,Z137,AA137,AB137,AC137,AD137,AE137,AF137,AG137,AH137,AI137,AJ137,AK137,AL137)</f>
        <v>cast lightning and thunder, see text</v>
      </c>
      <c r="AQ137" s="101" t="str">
        <f>CHOOSE(CharGenMain!$C$216,X137,Y137,Z137,AA137,AB137,AC137,AD137,AE137,AF137,AG137,AH137,AI137,AJ137,AK137,AL137)</f>
        <v>cast lightning and thunder, see text</v>
      </c>
      <c r="AR137" s="101" t="str">
        <f>CHOOSE(CharGenMain!$C$217,X137,Y137,Z137,AA137,AB137,AC137,AD137,AE137,AF137,AG137,AH137,AI137,AJ137,AK137,AL137)</f>
        <v>Thread Max Exceeded</v>
      </c>
      <c r="AS137" s="101" t="e">
        <f>CHOOSE(CharGenMain!$C$218,X137,Y137,Z137,AA137,AB137,AC137,AD137,AE137,AF137,AG137,AH137,AI137,AJ137,AK137,AL137)</f>
        <v>#VALUE!</v>
      </c>
      <c r="AT137" s="101" t="e">
        <f>CHOOSE(CharGenMain!$C$219,X137,Y137,Z137,AA137,AB137,AC137,AD137,AE137,AF137,AG137,AH137,AI137,AJ137,AK137,AL137)</f>
        <v>#VALUE!</v>
      </c>
      <c r="AU137" s="101" t="e">
        <f>CHOOSE(CharGenMain!$C$220,X137,Y137,Z137,AA137,AB137,AC137,AD137,AE137,AF137,AG137,AH137,AI137,AJ137,AK137,AL137)</f>
        <v>#VALUE!</v>
      </c>
      <c r="AV137" s="101" t="e">
        <f>CHOOSE(CharGenMain!$C$221,X137,Y137,Z137,AA137,AB137,AC137,AD137,AE137,AF137,AG137,AH137,AI137,AJ137,AK137,AL137)</f>
        <v>#VALUE!</v>
      </c>
      <c r="AW137" s="101" t="e">
        <f>CHOOSE(CharGenMain!$C$222,X137,Y137,Z137,AA137,AB137,AC137,AD137,AE137,AF137,AG137,AH137,AI137,AJ137,AK137,AL137)</f>
        <v>#VALUE!</v>
      </c>
      <c r="AX137" s="101" t="e">
        <f>CHOOSE(CharGenMain!$C$223,X137,Y137,Z137,AA137,AB137,AC137,AD137,AE137,AF137,AG137,AH137,AI137,AJ137,AK137,AL137)</f>
        <v>#VALUE!</v>
      </c>
      <c r="AY137" s="101" t="e">
        <f>CHOOSE(CharGenMain!$C$224,X137,Y137,Z137,AA137,AB137,AC137,AD137,AE137,AF137,AG137,AH137,AI137,AJ137,AK137,AL137)</f>
        <v>#VALUE!</v>
      </c>
      <c r="AZ137" s="101" t="e">
        <f>CHOOSE(CharGenMain!$C$225,X137,Y137,Z137,AA137,AB137,AC137,AD137,AE137,AF137,AG137,AH137,AI137,AJ137,AK137,AL137)</f>
        <v>#VALUE!</v>
      </c>
      <c r="BA137" s="271" t="e">
        <f>CHOOSE(CharGenMain!$C$226,X137,Y137,Z137,AA137,AB137,AC137,AD137,AE137,AF137,AG137,AH137,AI137,AJ137,AK137,AL137)</f>
        <v>#VALUE!</v>
      </c>
    </row>
    <row r="138" spans="18:53">
      <c r="R138" s="20" t="s">
        <v>1585</v>
      </c>
      <c r="S138" s="14" t="s">
        <v>1586</v>
      </c>
      <c r="T138" s="14" t="s">
        <v>2279</v>
      </c>
      <c r="U138" s="14">
        <v>2</v>
      </c>
      <c r="V138" s="14">
        <v>5</v>
      </c>
      <c r="W138" s="14">
        <v>14</v>
      </c>
      <c r="X138" s="87" t="s">
        <v>1587</v>
      </c>
      <c r="Y138" s="87" t="s">
        <v>1587</v>
      </c>
      <c r="Z138" s="87" t="s">
        <v>1587</v>
      </c>
      <c r="AA138" s="87" t="s">
        <v>1587</v>
      </c>
      <c r="AB138" s="87" t="s">
        <v>1587</v>
      </c>
      <c r="AC138" s="87" t="s">
        <v>2997</v>
      </c>
      <c r="AD138" s="87" t="s">
        <v>2997</v>
      </c>
      <c r="AE138" s="87" t="s">
        <v>2997</v>
      </c>
      <c r="AF138" s="87" t="s">
        <v>2997</v>
      </c>
      <c r="AG138" s="87" t="s">
        <v>2997</v>
      </c>
      <c r="AH138" s="87" t="s">
        <v>2997</v>
      </c>
      <c r="AI138" s="87" t="s">
        <v>2997</v>
      </c>
      <c r="AJ138" s="87" t="s">
        <v>2997</v>
      </c>
      <c r="AK138" s="87" t="s">
        <v>2997</v>
      </c>
      <c r="AL138" s="87" t="s">
        <v>2997</v>
      </c>
      <c r="AM138" s="101" t="str">
        <f>CHOOSE(CharGenMain!$C$212,X138,Y138,Z138,AA138,AB138,AC138,AD138,AE138,AF138,AG138,AH138,AI138,AJ138,AK138,AL138)</f>
        <v>mage bonuses, see text</v>
      </c>
      <c r="AN138" s="101" t="str">
        <f>CHOOSE(CharGenMain!$C$213,X138,Y138,Z138,AA138,AB138,AC138,AD138,AE138,AF138,AG138,AH138,AI138,AJ138,AK138,AL138)</f>
        <v>mage bonuses, see text</v>
      </c>
      <c r="AO138" s="101" t="str">
        <f>CHOOSE(CharGenMain!$C$214,X138,Y138,Z138,AA138,AB138,AC138,AD138,AE138,AF138,AG138,AH138,AI138,AJ138,AK138,AL138)</f>
        <v>mage bonuses, see text</v>
      </c>
      <c r="AP138" s="101" t="str">
        <f>CHOOSE(CharGenMain!$C$215,X138,Y138,Z138,AA138,AB138,AC138,AD138,AE138,AF138,AG138,AH138,AI138,AJ138,AK138,AL138)</f>
        <v>mage bonuses, see text</v>
      </c>
      <c r="AQ138" s="101" t="str">
        <f>CHOOSE(CharGenMain!$C$216,X138,Y138,Z138,AA138,AB138,AC138,AD138,AE138,AF138,AG138,AH138,AI138,AJ138,AK138,AL138)</f>
        <v>mage bonuses, see text</v>
      </c>
      <c r="AR138" s="101" t="str">
        <f>CHOOSE(CharGenMain!$C$217,X138,Y138,Z138,AA138,AB138,AC138,AD138,AE138,AF138,AG138,AH138,AI138,AJ138,AK138,AL138)</f>
        <v>mage bonuses, see text</v>
      </c>
      <c r="AS138" s="101" t="e">
        <f>CHOOSE(CharGenMain!$C$218,X138,Y138,Z138,AA138,AB138,AC138,AD138,AE138,AF138,AG138,AH138,AI138,AJ138,AK138,AL138)</f>
        <v>#VALUE!</v>
      </c>
      <c r="AT138" s="101" t="e">
        <f>CHOOSE(CharGenMain!$C$219,X138,Y138,Z138,AA138,AB138,AC138,AD138,AE138,AF138,AG138,AH138,AI138,AJ138,AK138,AL138)</f>
        <v>#VALUE!</v>
      </c>
      <c r="AU138" s="101" t="e">
        <f>CHOOSE(CharGenMain!$C$220,X138,Y138,Z138,AA138,AB138,AC138,AD138,AE138,AF138,AG138,AH138,AI138,AJ138,AK138,AL138)</f>
        <v>#VALUE!</v>
      </c>
      <c r="AV138" s="101" t="e">
        <f>CHOOSE(CharGenMain!$C$221,X138,Y138,Z138,AA138,AB138,AC138,AD138,AE138,AF138,AG138,AH138,AI138,AJ138,AK138,AL138)</f>
        <v>#VALUE!</v>
      </c>
      <c r="AW138" s="101" t="e">
        <f>CHOOSE(CharGenMain!$C$222,X138,Y138,Z138,AA138,AB138,AC138,AD138,AE138,AF138,AG138,AH138,AI138,AJ138,AK138,AL138)</f>
        <v>#VALUE!</v>
      </c>
      <c r="AX138" s="101" t="e">
        <f>CHOOSE(CharGenMain!$C$223,X138,Y138,Z138,AA138,AB138,AC138,AD138,AE138,AF138,AG138,AH138,AI138,AJ138,AK138,AL138)</f>
        <v>#VALUE!</v>
      </c>
      <c r="AY138" s="101" t="e">
        <f>CHOOSE(CharGenMain!$C$224,X138,Y138,Z138,AA138,AB138,AC138,AD138,AE138,AF138,AG138,AH138,AI138,AJ138,AK138,AL138)</f>
        <v>#VALUE!</v>
      </c>
      <c r="AZ138" s="101" t="e">
        <f>CHOOSE(CharGenMain!$C$225,X138,Y138,Z138,AA138,AB138,AC138,AD138,AE138,AF138,AG138,AH138,AI138,AJ138,AK138,AL138)</f>
        <v>#VALUE!</v>
      </c>
      <c r="BA138" s="271" t="e">
        <f>CHOOSE(CharGenMain!$C$226,X138,Y138,Z138,AA138,AB138,AC138,AD138,AE138,AF138,AG138,AH138,AI138,AJ138,AK138,AL138)</f>
        <v>#VALUE!</v>
      </c>
    </row>
    <row r="139" spans="18:53">
      <c r="R139" s="205" t="s">
        <v>1578</v>
      </c>
      <c r="S139" s="167" t="s">
        <v>1579</v>
      </c>
      <c r="T139" s="14" t="s">
        <v>2279</v>
      </c>
      <c r="U139" s="14">
        <v>3</v>
      </c>
      <c r="V139" s="14">
        <v>6</v>
      </c>
      <c r="W139" s="14">
        <v>21</v>
      </c>
      <c r="X139" s="207" t="s">
        <v>1580</v>
      </c>
      <c r="Y139" s="207" t="s">
        <v>1468</v>
      </c>
      <c r="Z139" s="207" t="s">
        <v>1469</v>
      </c>
      <c r="AA139" s="207" t="s">
        <v>1362</v>
      </c>
      <c r="AB139" s="207" t="s">
        <v>1244</v>
      </c>
      <c r="AC139" s="207" t="s">
        <v>1245</v>
      </c>
      <c r="AD139" s="87" t="s">
        <v>2997</v>
      </c>
      <c r="AE139" s="87" t="s">
        <v>2997</v>
      </c>
      <c r="AF139" s="87" t="s">
        <v>2997</v>
      </c>
      <c r="AG139" s="87" t="s">
        <v>2997</v>
      </c>
      <c r="AH139" s="87" t="s">
        <v>2997</v>
      </c>
      <c r="AI139" s="87" t="s">
        <v>2997</v>
      </c>
      <c r="AJ139" s="87" t="s">
        <v>2997</v>
      </c>
      <c r="AK139" s="87" t="s">
        <v>2997</v>
      </c>
      <c r="AL139" s="87" t="s">
        <v>2997</v>
      </c>
      <c r="AM139" s="101" t="str">
        <f>CHOOSE(CharGenMain!$C$212,X139,Y139,Z139,AA139,AB139,AC139,AD139,AE139,AF139,AG139,AH139,AI139,AJ139,AK139,AL139)</f>
        <v>+1 Architect talents/skills, +1 phys/spell/soc def in Throal, shorter time</v>
      </c>
      <c r="AN139" s="101" t="str">
        <f>CHOOSE(CharGenMain!$C$213,X139,Y139,Z139,AA139,AB139,AC139,AD139,AE139,AF139,AG139,AH139,AI139,AJ139,AK139,AL139)</f>
        <v>+1 Architect talents/skills in Throal</v>
      </c>
      <c r="AO139" s="101" t="str">
        <f>CHOOSE(CharGenMain!$C$214,X139,Y139,Z139,AA139,AB139,AC139,AD139,AE139,AF139,AG139,AH139,AI139,AJ139,AK139,AL139)</f>
        <v>+1 Architect talents/skills in Throal</v>
      </c>
      <c r="AP139" s="101" t="str">
        <f>CHOOSE(CharGenMain!$C$215,X139,Y139,Z139,AA139,AB139,AC139,AD139,AE139,AF139,AG139,AH139,AI139,AJ139,AK139,AL139)</f>
        <v>+1 Architect talents/skills, +1 phys/spell/soc def in Throal</v>
      </c>
      <c r="AQ139" s="101" t="str">
        <f>CHOOSE(CharGenMain!$C$216,X139,Y139,Z139,AA139,AB139,AC139,AD139,AE139,AF139,AG139,AH139,AI139,AJ139,AK139,AL139)</f>
        <v>+1 Architect talents/skills, +1 phys/spell/soc def in Throal, shorter time; +2 if innner Throal</v>
      </c>
      <c r="AR139" s="101" t="str">
        <f>CHOOSE(CharGenMain!$C$217,X139,Y139,Z139,AA139,AB139,AC139,AD139,AE139,AF139,AG139,AH139,AI139,AJ139,AK139,AL139)</f>
        <v>+1 Architect talents/skills, +1 phys/spell/soc def in Throal, shorter time; +2 if innner Throal, Fortify Structure power</v>
      </c>
      <c r="AS139" s="101" t="e">
        <f>CHOOSE(CharGenMain!$C$218,X139,Y139,Z139,AA139,AB139,AC139,AD139,AE139,AF139,AG139,AH139,AI139,AJ139,AK139,AL139)</f>
        <v>#VALUE!</v>
      </c>
      <c r="AT139" s="101" t="e">
        <f>CHOOSE(CharGenMain!$C$219,X139,Y139,Z139,AA139,AB139,AC139,AD139,AE139,AF139,AG139,AH139,AI139,AJ139,AK139,AL139)</f>
        <v>#VALUE!</v>
      </c>
      <c r="AU139" s="101" t="e">
        <f>CHOOSE(CharGenMain!$C$220,X139,Y139,Z139,AA139,AB139,AC139,AD139,AE139,AF139,AG139,AH139,AI139,AJ139,AK139,AL139)</f>
        <v>#VALUE!</v>
      </c>
      <c r="AV139" s="101" t="e">
        <f>CHOOSE(CharGenMain!$C$221,X139,Y139,Z139,AA139,AB139,AC139,AD139,AE139,AF139,AG139,AH139,AI139,AJ139,AK139,AL139)</f>
        <v>#VALUE!</v>
      </c>
      <c r="AW139" s="101" t="e">
        <f>CHOOSE(CharGenMain!$C$222,X139,Y139,Z139,AA139,AB139,AC139,AD139,AE139,AF139,AG139,AH139,AI139,AJ139,AK139,AL139)</f>
        <v>#VALUE!</v>
      </c>
      <c r="AX139" s="101" t="e">
        <f>CHOOSE(CharGenMain!$C$223,X139,Y139,Z139,AA139,AB139,AC139,AD139,AE139,AF139,AG139,AH139,AI139,AJ139,AK139,AL139)</f>
        <v>#VALUE!</v>
      </c>
      <c r="AY139" s="101" t="e">
        <f>CHOOSE(CharGenMain!$C$224,X139,Y139,Z139,AA139,AB139,AC139,AD139,AE139,AF139,AG139,AH139,AI139,AJ139,AK139,AL139)</f>
        <v>#VALUE!</v>
      </c>
      <c r="AZ139" s="101" t="e">
        <f>CHOOSE(CharGenMain!$C$225,X139,Y139,Z139,AA139,AB139,AC139,AD139,AE139,AF139,AG139,AH139,AI139,AJ139,AK139,AL139)</f>
        <v>#VALUE!</v>
      </c>
      <c r="BA139" s="271" t="e">
        <f>CHOOSE(CharGenMain!$C$226,X139,Y139,Z139,AA139,AB139,AC139,AD139,AE139,AF139,AG139,AH139,AI139,AJ139,AK139,AL139)</f>
        <v>#VALUE!</v>
      </c>
    </row>
    <row r="140" spans="18:53">
      <c r="R140" s="226" t="s">
        <v>1574</v>
      </c>
      <c r="S140" s="167" t="s">
        <v>4742</v>
      </c>
      <c r="T140" s="14" t="s">
        <v>2667</v>
      </c>
      <c r="U140" s="14">
        <v>1</v>
      </c>
      <c r="V140" s="14">
        <v>6</v>
      </c>
      <c r="W140" s="14">
        <v>8</v>
      </c>
      <c r="X140" s="87" t="s">
        <v>1575</v>
      </c>
      <c r="Y140" s="87" t="s">
        <v>1575</v>
      </c>
      <c r="Z140" s="87" t="s">
        <v>1575</v>
      </c>
      <c r="AA140" s="87" t="s">
        <v>1575</v>
      </c>
      <c r="AB140" s="87" t="s">
        <v>1575</v>
      </c>
      <c r="AC140" s="87" t="s">
        <v>1575</v>
      </c>
      <c r="AD140" s="87" t="s">
        <v>2997</v>
      </c>
      <c r="AE140" s="87" t="s">
        <v>2997</v>
      </c>
      <c r="AF140" s="87" t="s">
        <v>2997</v>
      </c>
      <c r="AG140" s="87" t="s">
        <v>2997</v>
      </c>
      <c r="AH140" s="87" t="s">
        <v>2997</v>
      </c>
      <c r="AI140" s="87" t="s">
        <v>2997</v>
      </c>
      <c r="AJ140" s="87" t="s">
        <v>2997</v>
      </c>
      <c r="AK140" s="87" t="s">
        <v>2997</v>
      </c>
      <c r="AL140" s="87" t="s">
        <v>2997</v>
      </c>
      <c r="AM140" s="101" t="str">
        <f>CHOOSE(CharGenMain!$C$212,X140,Y140,Z140,AA140,AB140,AC140,AD140,AE140,AF140,AG140,AH140,AI140,AJ140,AK140,AL140)</f>
        <v>Command, telepathy, and attack of silver torcs</v>
      </c>
      <c r="AN140" s="101" t="str">
        <f>CHOOSE(CharGenMain!$C$213,X140,Y140,Z140,AA140,AB140,AC140,AD140,AE140,AF140,AG140,AH140,AI140,AJ140,AK140,AL140)</f>
        <v>Command, telepathy, and attack of silver torcs</v>
      </c>
      <c r="AO140" s="101" t="str">
        <f>CHOOSE(CharGenMain!$C$214,X140,Y140,Z140,AA140,AB140,AC140,AD140,AE140,AF140,AG140,AH140,AI140,AJ140,AK140,AL140)</f>
        <v>Command, telepathy, and attack of silver torcs</v>
      </c>
      <c r="AP140" s="101" t="str">
        <f>CHOOSE(CharGenMain!$C$215,X140,Y140,Z140,AA140,AB140,AC140,AD140,AE140,AF140,AG140,AH140,AI140,AJ140,AK140,AL140)</f>
        <v>Command, telepathy, and attack of silver torcs</v>
      </c>
      <c r="AQ140" s="101" t="str">
        <f>CHOOSE(CharGenMain!$C$216,X140,Y140,Z140,AA140,AB140,AC140,AD140,AE140,AF140,AG140,AH140,AI140,AJ140,AK140,AL140)</f>
        <v>Command, telepathy, and attack of silver torcs</v>
      </c>
      <c r="AR140" s="101" t="str">
        <f>CHOOSE(CharGenMain!$C$217,X140,Y140,Z140,AA140,AB140,AC140,AD140,AE140,AF140,AG140,AH140,AI140,AJ140,AK140,AL140)</f>
        <v>Command, telepathy, and attack of silver torcs</v>
      </c>
      <c r="AS140" s="101" t="e">
        <f>CHOOSE(CharGenMain!$C$218,X140,Y140,Z140,AA140,AB140,AC140,AD140,AE140,AF140,AG140,AH140,AI140,AJ140,AK140,AL140)</f>
        <v>#VALUE!</v>
      </c>
      <c r="AT140" s="101" t="e">
        <f>CHOOSE(CharGenMain!$C$219,X140,Y140,Z140,AA140,AB140,AC140,AD140,AE140,AF140,AG140,AH140,AI140,AJ140,AK140,AL140)</f>
        <v>#VALUE!</v>
      </c>
      <c r="AU140" s="101" t="e">
        <f>CHOOSE(CharGenMain!$C$220,X140,Y140,Z140,AA140,AB140,AC140,AD140,AE140,AF140,AG140,AH140,AI140,AJ140,AK140,AL140)</f>
        <v>#VALUE!</v>
      </c>
      <c r="AV140" s="101" t="e">
        <f>CHOOSE(CharGenMain!$C$221,X140,Y140,Z140,AA140,AB140,AC140,AD140,AE140,AF140,AG140,AH140,AI140,AJ140,AK140,AL140)</f>
        <v>#VALUE!</v>
      </c>
      <c r="AW140" s="101" t="e">
        <f>CHOOSE(CharGenMain!$C$222,X140,Y140,Z140,AA140,AB140,AC140,AD140,AE140,AF140,AG140,AH140,AI140,AJ140,AK140,AL140)</f>
        <v>#VALUE!</v>
      </c>
      <c r="AX140" s="101" t="e">
        <f>CHOOSE(CharGenMain!$C$223,X140,Y140,Z140,AA140,AB140,AC140,AD140,AE140,AF140,AG140,AH140,AI140,AJ140,AK140,AL140)</f>
        <v>#VALUE!</v>
      </c>
      <c r="AY140" s="101" t="e">
        <f>CHOOSE(CharGenMain!$C$224,X140,Y140,Z140,AA140,AB140,AC140,AD140,AE140,AF140,AG140,AH140,AI140,AJ140,AK140,AL140)</f>
        <v>#VALUE!</v>
      </c>
      <c r="AZ140" s="101" t="e">
        <f>CHOOSE(CharGenMain!$C$225,X140,Y140,Z140,AA140,AB140,AC140,AD140,AE140,AF140,AG140,AH140,AI140,AJ140,AK140,AL140)</f>
        <v>#VALUE!</v>
      </c>
      <c r="BA140" s="271" t="e">
        <f>CHOOSE(CharGenMain!$C$226,X140,Y140,Z140,AA140,AB140,AC140,AD140,AE140,AF140,AG140,AH140,AI140,AJ140,AK140,AL140)</f>
        <v>#VALUE!</v>
      </c>
    </row>
    <row r="141" spans="18:53">
      <c r="R141" s="226" t="s">
        <v>1576</v>
      </c>
      <c r="S141" s="167" t="s">
        <v>4742</v>
      </c>
      <c r="T141" s="14" t="s">
        <v>2667</v>
      </c>
      <c r="U141" s="14">
        <v>1</v>
      </c>
      <c r="V141" s="14">
        <v>1</v>
      </c>
      <c r="W141" s="14">
        <v>5</v>
      </c>
      <c r="X141" s="87" t="s">
        <v>1577</v>
      </c>
      <c r="Y141" s="87" t="s">
        <v>2997</v>
      </c>
      <c r="Z141" s="87" t="s">
        <v>2997</v>
      </c>
      <c r="AA141" s="87" t="s">
        <v>2997</v>
      </c>
      <c r="AB141" s="87" t="s">
        <v>2997</v>
      </c>
      <c r="AC141" s="87" t="s">
        <v>2997</v>
      </c>
      <c r="AD141" s="87" t="s">
        <v>2997</v>
      </c>
      <c r="AE141" s="87" t="s">
        <v>2997</v>
      </c>
      <c r="AF141" s="87" t="s">
        <v>2997</v>
      </c>
      <c r="AG141" s="87" t="s">
        <v>2997</v>
      </c>
      <c r="AH141" s="87" t="s">
        <v>2997</v>
      </c>
      <c r="AI141" s="87" t="s">
        <v>2997</v>
      </c>
      <c r="AJ141" s="87" t="s">
        <v>2997</v>
      </c>
      <c r="AK141" s="87" t="s">
        <v>2997</v>
      </c>
      <c r="AL141" s="87" t="s">
        <v>2997</v>
      </c>
      <c r="AM141" s="101" t="str">
        <f>CHOOSE(CharGenMain!$C$212,X141,Y141,Z141,AA141,AB141,AC141,AD141,AE141,AF141,AG141,AH141,AI141,AJ141,AK141,AL141)</f>
        <v>Thread Max Exceeded</v>
      </c>
      <c r="AN141" s="101" t="str">
        <f>CHOOSE(CharGenMain!$C$213,X141,Y141,Z141,AA141,AB141,AC141,AD141,AE141,AF141,AG141,AH141,AI141,AJ141,AK141,AL141)</f>
        <v>Obey gold torcs</v>
      </c>
      <c r="AO141" s="101" t="str">
        <f>CHOOSE(CharGenMain!$C$214,X141,Y141,Z141,AA141,AB141,AC141,AD141,AE141,AF141,AG141,AH141,AI141,AJ141,AK141,AL141)</f>
        <v>Obey gold torcs</v>
      </c>
      <c r="AP141" s="101" t="str">
        <f>CHOOSE(CharGenMain!$C$215,X141,Y141,Z141,AA141,AB141,AC141,AD141,AE141,AF141,AG141,AH141,AI141,AJ141,AK141,AL141)</f>
        <v>Thread Max Exceeded</v>
      </c>
      <c r="AQ141" s="101" t="str">
        <f>CHOOSE(CharGenMain!$C$216,X141,Y141,Z141,AA141,AB141,AC141,AD141,AE141,AF141,AG141,AH141,AI141,AJ141,AK141,AL141)</f>
        <v>Thread Max Exceeded</v>
      </c>
      <c r="AR141" s="101" t="str">
        <f>CHOOSE(CharGenMain!$C$217,X141,Y141,Z141,AA141,AB141,AC141,AD141,AE141,AF141,AG141,AH141,AI141,AJ141,AK141,AL141)</f>
        <v>Thread Max Exceeded</v>
      </c>
      <c r="AS141" s="101" t="e">
        <f>CHOOSE(CharGenMain!$C$218,X141,Y141,Z141,AA141,AB141,AC141,AD141,AE141,AF141,AG141,AH141,AI141,AJ141,AK141,AL141)</f>
        <v>#VALUE!</v>
      </c>
      <c r="AT141" s="101" t="e">
        <f>CHOOSE(CharGenMain!$C$219,X141,Y141,Z141,AA141,AB141,AC141,AD141,AE141,AF141,AG141,AH141,AI141,AJ141,AK141,AL141)</f>
        <v>#VALUE!</v>
      </c>
      <c r="AU141" s="101" t="e">
        <f>CHOOSE(CharGenMain!$C$220,X141,Y141,Z141,AA141,AB141,AC141,AD141,AE141,AF141,AG141,AH141,AI141,AJ141,AK141,AL141)</f>
        <v>#VALUE!</v>
      </c>
      <c r="AV141" s="101" t="e">
        <f>CHOOSE(CharGenMain!$C$221,X141,Y141,Z141,AA141,AB141,AC141,AD141,AE141,AF141,AG141,AH141,AI141,AJ141,AK141,AL141)</f>
        <v>#VALUE!</v>
      </c>
      <c r="AW141" s="101" t="e">
        <f>CHOOSE(CharGenMain!$C$222,X141,Y141,Z141,AA141,AB141,AC141,AD141,AE141,AF141,AG141,AH141,AI141,AJ141,AK141,AL141)</f>
        <v>#VALUE!</v>
      </c>
      <c r="AX141" s="101" t="e">
        <f>CHOOSE(CharGenMain!$C$223,X141,Y141,Z141,AA141,AB141,AC141,AD141,AE141,AF141,AG141,AH141,AI141,AJ141,AK141,AL141)</f>
        <v>#VALUE!</v>
      </c>
      <c r="AY141" s="101" t="e">
        <f>CHOOSE(CharGenMain!$C$224,X141,Y141,Z141,AA141,AB141,AC141,AD141,AE141,AF141,AG141,AH141,AI141,AJ141,AK141,AL141)</f>
        <v>#VALUE!</v>
      </c>
      <c r="AZ141" s="101" t="e">
        <f>CHOOSE(CharGenMain!$C$225,X141,Y141,Z141,AA141,AB141,AC141,AD141,AE141,AF141,AG141,AH141,AI141,AJ141,AK141,AL141)</f>
        <v>#VALUE!</v>
      </c>
      <c r="BA141" s="271" t="e">
        <f>CHOOSE(CharGenMain!$C$226,X141,Y141,Z141,AA141,AB141,AC141,AD141,AE141,AF141,AG141,AH141,AI141,AJ141,AK141,AL141)</f>
        <v>#VALUE!</v>
      </c>
    </row>
    <row r="142" spans="18:53">
      <c r="R142" s="226" t="s">
        <v>1246</v>
      </c>
      <c r="S142" s="167" t="s">
        <v>2666</v>
      </c>
      <c r="T142" s="14" t="s">
        <v>2667</v>
      </c>
      <c r="U142" s="14">
        <v>2</v>
      </c>
      <c r="V142" s="14">
        <v>3</v>
      </c>
      <c r="W142" s="14">
        <v>12</v>
      </c>
      <c r="X142" s="168" t="s">
        <v>1247</v>
      </c>
      <c r="Y142" s="168" t="s">
        <v>1247</v>
      </c>
      <c r="Z142" s="168" t="s">
        <v>1247</v>
      </c>
      <c r="AA142" s="87" t="s">
        <v>2997</v>
      </c>
      <c r="AB142" s="87" t="s">
        <v>2997</v>
      </c>
      <c r="AC142" s="87" t="s">
        <v>2997</v>
      </c>
      <c r="AD142" s="87" t="s">
        <v>2997</v>
      </c>
      <c r="AE142" s="87" t="s">
        <v>2997</v>
      </c>
      <c r="AF142" s="87" t="s">
        <v>2997</v>
      </c>
      <c r="AG142" s="87" t="s">
        <v>2997</v>
      </c>
      <c r="AH142" s="87" t="s">
        <v>2997</v>
      </c>
      <c r="AI142" s="87" t="s">
        <v>2997</v>
      </c>
      <c r="AJ142" s="87" t="s">
        <v>2997</v>
      </c>
      <c r="AK142" s="87" t="s">
        <v>2997</v>
      </c>
      <c r="AL142" s="87" t="s">
        <v>2997</v>
      </c>
      <c r="AM142" s="101" t="str">
        <f>CHOOSE(CharGenMain!$C$212,X142,Y142,Z142,AA142,AB142,AC142,AD142,AE142,AF142,AG142,AH142,AI142,AJ142,AK142,AL142)</f>
        <v>weaponsmith bonuses, see text</v>
      </c>
      <c r="AN142" s="101" t="str">
        <f>CHOOSE(CharGenMain!$C$213,X142,Y142,Z142,AA142,AB142,AC142,AD142,AE142,AF142,AG142,AH142,AI142,AJ142,AK142,AL142)</f>
        <v>weaponsmith bonuses, see text</v>
      </c>
      <c r="AO142" s="101" t="str">
        <f>CHOOSE(CharGenMain!$C$214,X142,Y142,Z142,AA142,AB142,AC142,AD142,AE142,AF142,AG142,AH142,AI142,AJ142,AK142,AL142)</f>
        <v>weaponsmith bonuses, see text</v>
      </c>
      <c r="AP142" s="101" t="str">
        <f>CHOOSE(CharGenMain!$C$215,X142,Y142,Z142,AA142,AB142,AC142,AD142,AE142,AF142,AG142,AH142,AI142,AJ142,AK142,AL142)</f>
        <v>weaponsmith bonuses, see text</v>
      </c>
      <c r="AQ142" s="101" t="str">
        <f>CHOOSE(CharGenMain!$C$216,X142,Y142,Z142,AA142,AB142,AC142,AD142,AE142,AF142,AG142,AH142,AI142,AJ142,AK142,AL142)</f>
        <v>Thread Max Exceeded</v>
      </c>
      <c r="AR142" s="101" t="str">
        <f>CHOOSE(CharGenMain!$C$217,X142,Y142,Z142,AA142,AB142,AC142,AD142,AE142,AF142,AG142,AH142,AI142,AJ142,AK142,AL142)</f>
        <v>Thread Max Exceeded</v>
      </c>
      <c r="AS142" s="101" t="e">
        <f>CHOOSE(CharGenMain!$C$218,X142,Y142,Z142,AA142,AB142,AC142,AD142,AE142,AF142,AG142,AH142,AI142,AJ142,AK142,AL142)</f>
        <v>#VALUE!</v>
      </c>
      <c r="AT142" s="101" t="e">
        <f>CHOOSE(CharGenMain!$C$219,X142,Y142,Z142,AA142,AB142,AC142,AD142,AE142,AF142,AG142,AH142,AI142,AJ142,AK142,AL142)</f>
        <v>#VALUE!</v>
      </c>
      <c r="AU142" s="101" t="e">
        <f>CHOOSE(CharGenMain!$C$220,X142,Y142,Z142,AA142,AB142,AC142,AD142,AE142,AF142,AG142,AH142,AI142,AJ142,AK142,AL142)</f>
        <v>#VALUE!</v>
      </c>
      <c r="AV142" s="101" t="e">
        <f>CHOOSE(CharGenMain!$C$221,X142,Y142,Z142,AA142,AB142,AC142,AD142,AE142,AF142,AG142,AH142,AI142,AJ142,AK142,AL142)</f>
        <v>#VALUE!</v>
      </c>
      <c r="AW142" s="101" t="e">
        <f>CHOOSE(CharGenMain!$C$222,X142,Y142,Z142,AA142,AB142,AC142,AD142,AE142,AF142,AG142,AH142,AI142,AJ142,AK142,AL142)</f>
        <v>#VALUE!</v>
      </c>
      <c r="AX142" s="101" t="e">
        <f>CHOOSE(CharGenMain!$C$223,X142,Y142,Z142,AA142,AB142,AC142,AD142,AE142,AF142,AG142,AH142,AI142,AJ142,AK142,AL142)</f>
        <v>#VALUE!</v>
      </c>
      <c r="AY142" s="101" t="e">
        <f>CHOOSE(CharGenMain!$C$224,X142,Y142,Z142,AA142,AB142,AC142,AD142,AE142,AF142,AG142,AH142,AI142,AJ142,AK142,AL142)</f>
        <v>#VALUE!</v>
      </c>
      <c r="AZ142" s="101" t="e">
        <f>CHOOSE(CharGenMain!$C$225,X142,Y142,Z142,AA142,AB142,AC142,AD142,AE142,AF142,AG142,AH142,AI142,AJ142,AK142,AL142)</f>
        <v>#VALUE!</v>
      </c>
      <c r="BA142" s="271" t="e">
        <f>CHOOSE(CharGenMain!$C$226,X142,Y142,Z142,AA142,AB142,AC142,AD142,AE142,AF142,AG142,AH142,AI142,AJ142,AK142,AL142)</f>
        <v>#VALUE!</v>
      </c>
    </row>
    <row r="143" spans="18:53">
      <c r="R143" s="226" t="s">
        <v>1248</v>
      </c>
      <c r="S143" s="167" t="s">
        <v>2666</v>
      </c>
      <c r="T143" s="14" t="s">
        <v>2667</v>
      </c>
      <c r="U143" s="14">
        <v>2</v>
      </c>
      <c r="V143" s="14">
        <v>2</v>
      </c>
      <c r="W143" s="14">
        <v>8</v>
      </c>
      <c r="X143" s="168" t="s">
        <v>1374</v>
      </c>
      <c r="Y143" s="168" t="s">
        <v>1374</v>
      </c>
      <c r="Z143" s="87" t="s">
        <v>2997</v>
      </c>
      <c r="AA143" s="87" t="s">
        <v>2997</v>
      </c>
      <c r="AB143" s="87" t="s">
        <v>2997</v>
      </c>
      <c r="AC143" s="87" t="s">
        <v>2997</v>
      </c>
      <c r="AD143" s="87" t="s">
        <v>2997</v>
      </c>
      <c r="AE143" s="87" t="s">
        <v>2997</v>
      </c>
      <c r="AF143" s="87" t="s">
        <v>2997</v>
      </c>
      <c r="AG143" s="87" t="s">
        <v>2997</v>
      </c>
      <c r="AH143" s="87" t="s">
        <v>2997</v>
      </c>
      <c r="AI143" s="87" t="s">
        <v>2997</v>
      </c>
      <c r="AJ143" s="87" t="s">
        <v>2997</v>
      </c>
      <c r="AK143" s="87" t="s">
        <v>2997</v>
      </c>
      <c r="AL143" s="87" t="s">
        <v>2997</v>
      </c>
      <c r="AM143" s="101" t="str">
        <f>CHOOSE(CharGenMain!$C$212,X143,Y143,Z143,AA143,AB143,AC143,AD143,AE143,AF143,AG143,AH143,AI143,AJ143,AK143,AL143)</f>
        <v>Thread Max Exceeded</v>
      </c>
      <c r="AN143" s="101" t="str">
        <f>CHOOSE(CharGenMain!$C$213,X143,Y143,Z143,AA143,AB143,AC143,AD143,AE143,AF143,AG143,AH143,AI143,AJ143,AK143,AL143)</f>
        <v>troubadour bonues, see text</v>
      </c>
      <c r="AO143" s="101" t="str">
        <f>CHOOSE(CharGenMain!$C$214,X143,Y143,Z143,AA143,AB143,AC143,AD143,AE143,AF143,AG143,AH143,AI143,AJ143,AK143,AL143)</f>
        <v>troubadour bonues, see text</v>
      </c>
      <c r="AP143" s="101" t="str">
        <f>CHOOSE(CharGenMain!$C$215,X143,Y143,Z143,AA143,AB143,AC143,AD143,AE143,AF143,AG143,AH143,AI143,AJ143,AK143,AL143)</f>
        <v>troubadour bonues, see text</v>
      </c>
      <c r="AQ143" s="101" t="str">
        <f>CHOOSE(CharGenMain!$C$216,X143,Y143,Z143,AA143,AB143,AC143,AD143,AE143,AF143,AG143,AH143,AI143,AJ143,AK143,AL143)</f>
        <v>Thread Max Exceeded</v>
      </c>
      <c r="AR143" s="101" t="str">
        <f>CHOOSE(CharGenMain!$C$217,X143,Y143,Z143,AA143,AB143,AC143,AD143,AE143,AF143,AG143,AH143,AI143,AJ143,AK143,AL143)</f>
        <v>Thread Max Exceeded</v>
      </c>
      <c r="AS143" s="101" t="e">
        <f>CHOOSE(CharGenMain!$C$218,X143,Y143,Z143,AA143,AB143,AC143,AD143,AE143,AF143,AG143,AH143,AI143,AJ143,AK143,AL143)</f>
        <v>#VALUE!</v>
      </c>
      <c r="AT143" s="101" t="e">
        <f>CHOOSE(CharGenMain!$C$219,X143,Y143,Z143,AA143,AB143,AC143,AD143,AE143,AF143,AG143,AH143,AI143,AJ143,AK143,AL143)</f>
        <v>#VALUE!</v>
      </c>
      <c r="AU143" s="101" t="e">
        <f>CHOOSE(CharGenMain!$C$220,X143,Y143,Z143,AA143,AB143,AC143,AD143,AE143,AF143,AG143,AH143,AI143,AJ143,AK143,AL143)</f>
        <v>#VALUE!</v>
      </c>
      <c r="AV143" s="101" t="e">
        <f>CHOOSE(CharGenMain!$C$221,X143,Y143,Z143,AA143,AB143,AC143,AD143,AE143,AF143,AG143,AH143,AI143,AJ143,AK143,AL143)</f>
        <v>#VALUE!</v>
      </c>
      <c r="AW143" s="101" t="e">
        <f>CHOOSE(CharGenMain!$C$222,X143,Y143,Z143,AA143,AB143,AC143,AD143,AE143,AF143,AG143,AH143,AI143,AJ143,AK143,AL143)</f>
        <v>#VALUE!</v>
      </c>
      <c r="AX143" s="101" t="e">
        <f>CHOOSE(CharGenMain!$C$223,X143,Y143,Z143,AA143,AB143,AC143,AD143,AE143,AF143,AG143,AH143,AI143,AJ143,AK143,AL143)</f>
        <v>#VALUE!</v>
      </c>
      <c r="AY143" s="101" t="e">
        <f>CHOOSE(CharGenMain!$C$224,X143,Y143,Z143,AA143,AB143,AC143,AD143,AE143,AF143,AG143,AH143,AI143,AJ143,AK143,AL143)</f>
        <v>#VALUE!</v>
      </c>
      <c r="AZ143" s="101" t="e">
        <f>CHOOSE(CharGenMain!$C$225,X143,Y143,Z143,AA143,AB143,AC143,AD143,AE143,AF143,AG143,AH143,AI143,AJ143,AK143,AL143)</f>
        <v>#VALUE!</v>
      </c>
      <c r="BA143" s="271" t="e">
        <f>CHOOSE(CharGenMain!$C$226,X143,Y143,Z143,AA143,AB143,AC143,AD143,AE143,AF143,AG143,AH143,AI143,AJ143,AK143,AL143)</f>
        <v>#VALUE!</v>
      </c>
    </row>
    <row r="144" spans="18:53">
      <c r="R144" s="226" t="s">
        <v>1478</v>
      </c>
      <c r="S144" s="167" t="s">
        <v>1479</v>
      </c>
      <c r="T144" s="14" t="s">
        <v>2667</v>
      </c>
      <c r="U144" s="14">
        <v>3</v>
      </c>
      <c r="V144" s="14">
        <v>7</v>
      </c>
      <c r="W144" s="14">
        <v>13</v>
      </c>
      <c r="X144" s="168" t="s">
        <v>1480</v>
      </c>
      <c r="Y144" s="168" t="s">
        <v>1481</v>
      </c>
      <c r="Z144" s="168" t="s">
        <v>1482</v>
      </c>
      <c r="AA144" s="168" t="s">
        <v>1262</v>
      </c>
      <c r="AB144" s="168" t="s">
        <v>1383</v>
      </c>
      <c r="AC144" s="168" t="s">
        <v>1384</v>
      </c>
      <c r="AD144" s="168" t="s">
        <v>1385</v>
      </c>
      <c r="AE144" s="87" t="s">
        <v>2997</v>
      </c>
      <c r="AF144" s="87" t="s">
        <v>2997</v>
      </c>
      <c r="AG144" s="87" t="s">
        <v>2997</v>
      </c>
      <c r="AH144" s="87" t="s">
        <v>2997</v>
      </c>
      <c r="AI144" s="87" t="s">
        <v>2997</v>
      </c>
      <c r="AJ144" s="87" t="s">
        <v>2997</v>
      </c>
      <c r="AK144" s="87" t="s">
        <v>2997</v>
      </c>
      <c r="AL144" s="87" t="s">
        <v>2997</v>
      </c>
      <c r="AM144" s="101" t="str">
        <f>CHOOSE(CharGenMain!$C$212,X144,Y144,Z144,AA144,AB144,AC144,AD144,AE144,AF144,AG144,AH144,AI144,AJ144,AK144,AL144)</f>
        <v>Holds 30 lbs, owner knows changes and can inventory contents</v>
      </c>
      <c r="AN144" s="101" t="str">
        <f>CHOOSE(CharGenMain!$C$213,X144,Y144,Z144,AA144,AB144,AC144,AD144,AE144,AF144,AG144,AH144,AI144,AJ144,AK144,AL144)</f>
        <v>Holds 10 lbs</v>
      </c>
      <c r="AO144" s="101" t="str">
        <f>CHOOSE(CharGenMain!$C$214,X144,Y144,Z144,AA144,AB144,AC144,AD144,AE144,AF144,AG144,AH144,AI144,AJ144,AK144,AL144)</f>
        <v>Holds 10 lbs</v>
      </c>
      <c r="AP144" s="101" t="str">
        <f>CHOOSE(CharGenMain!$C$215,X144,Y144,Z144,AA144,AB144,AC144,AD144,AE144,AF144,AG144,AH144,AI144,AJ144,AK144,AL144)</f>
        <v>Holds 30 lbs</v>
      </c>
      <c r="AQ144" s="101" t="str">
        <f>CHOOSE(CharGenMain!$C$216,X144,Y144,Z144,AA144,AB144,AC144,AD144,AE144,AF144,AG144,AH144,AI144,AJ144,AK144,AL144)</f>
        <v>Holds 50 lbs, owner knows changes and can inventory contents</v>
      </c>
      <c r="AR144" s="101" t="str">
        <f>CHOOSE(CharGenMain!$C$217,X144,Y144,Z144,AA144,AB144,AC144,AD144,AE144,AF144,AG144,AH144,AI144,AJ144,AK144,AL144)</f>
        <v>Holds 50 lbs, 1 strain = teleport contained item within 100 yards, owner knows changes and can inventory contents</v>
      </c>
      <c r="AS144" s="101" t="e">
        <f>CHOOSE(CharGenMain!$C$218,X144,Y144,Z144,AA144,AB144,AC144,AD144,AE144,AF144,AG144,AH144,AI144,AJ144,AK144,AL144)</f>
        <v>#VALUE!</v>
      </c>
      <c r="AT144" s="101" t="e">
        <f>CHOOSE(CharGenMain!$C$219,X144,Y144,Z144,AA144,AB144,AC144,AD144,AE144,AF144,AG144,AH144,AI144,AJ144,AK144,AL144)</f>
        <v>#VALUE!</v>
      </c>
      <c r="AU144" s="101" t="e">
        <f>CHOOSE(CharGenMain!$C$220,X144,Y144,Z144,AA144,AB144,AC144,AD144,AE144,AF144,AG144,AH144,AI144,AJ144,AK144,AL144)</f>
        <v>#VALUE!</v>
      </c>
      <c r="AV144" s="101" t="e">
        <f>CHOOSE(CharGenMain!$C$221,X144,Y144,Z144,AA144,AB144,AC144,AD144,AE144,AF144,AG144,AH144,AI144,AJ144,AK144,AL144)</f>
        <v>#VALUE!</v>
      </c>
      <c r="AW144" s="101" t="e">
        <f>CHOOSE(CharGenMain!$C$222,X144,Y144,Z144,AA144,AB144,AC144,AD144,AE144,AF144,AG144,AH144,AI144,AJ144,AK144,AL144)</f>
        <v>#VALUE!</v>
      </c>
      <c r="AX144" s="101" t="e">
        <f>CHOOSE(CharGenMain!$C$223,X144,Y144,Z144,AA144,AB144,AC144,AD144,AE144,AF144,AG144,AH144,AI144,AJ144,AK144,AL144)</f>
        <v>#VALUE!</v>
      </c>
      <c r="AY144" s="101" t="e">
        <f>CHOOSE(CharGenMain!$C$224,X144,Y144,Z144,AA144,AB144,AC144,AD144,AE144,AF144,AG144,AH144,AI144,AJ144,AK144,AL144)</f>
        <v>#VALUE!</v>
      </c>
      <c r="AZ144" s="101" t="e">
        <f>CHOOSE(CharGenMain!$C$225,X144,Y144,Z144,AA144,AB144,AC144,AD144,AE144,AF144,AG144,AH144,AI144,AJ144,AK144,AL144)</f>
        <v>#VALUE!</v>
      </c>
      <c r="BA144" s="271" t="e">
        <f>CHOOSE(CharGenMain!$C$226,X144,Y144,Z144,AA144,AB144,AC144,AD144,AE144,AF144,AG144,AH144,AI144,AJ144,AK144,AL144)</f>
        <v>#VALUE!</v>
      </c>
    </row>
    <row r="145" spans="18:53">
      <c r="R145" s="226" t="s">
        <v>1386</v>
      </c>
      <c r="S145" s="14" t="s">
        <v>1475</v>
      </c>
      <c r="T145" s="14" t="s">
        <v>2667</v>
      </c>
      <c r="U145" s="14">
        <v>1</v>
      </c>
      <c r="V145" s="14">
        <v>4</v>
      </c>
      <c r="W145" s="14">
        <v>11</v>
      </c>
      <c r="X145" s="87" t="s">
        <v>1387</v>
      </c>
      <c r="Y145" s="87" t="s">
        <v>1387</v>
      </c>
      <c r="Z145" s="87" t="s">
        <v>1387</v>
      </c>
      <c r="AA145" s="87" t="s">
        <v>1387</v>
      </c>
      <c r="AB145" s="87" t="s">
        <v>2997</v>
      </c>
      <c r="AC145" s="87" t="s">
        <v>2997</v>
      </c>
      <c r="AD145" s="87" t="s">
        <v>2997</v>
      </c>
      <c r="AE145" s="87" t="s">
        <v>2997</v>
      </c>
      <c r="AF145" s="87" t="s">
        <v>2997</v>
      </c>
      <c r="AG145" s="87" t="s">
        <v>2997</v>
      </c>
      <c r="AH145" s="87" t="s">
        <v>2997</v>
      </c>
      <c r="AI145" s="87" t="s">
        <v>2997</v>
      </c>
      <c r="AJ145" s="87" t="s">
        <v>2997</v>
      </c>
      <c r="AK145" s="87" t="s">
        <v>2997</v>
      </c>
      <c r="AL145" s="87" t="s">
        <v>2997</v>
      </c>
      <c r="AM145" s="101" t="str">
        <f>CHOOSE(CharGenMain!$C$212,X145,Y145,Z145,AA145,AB145,AC145,AD145,AE145,AF145,AG145,AH145,AI145,AJ145,AK145,AL145)</f>
        <v>cavalryman bonuses, see text</v>
      </c>
      <c r="AN145" s="101" t="str">
        <f>CHOOSE(CharGenMain!$C$213,X145,Y145,Z145,AA145,AB145,AC145,AD145,AE145,AF145,AG145,AH145,AI145,AJ145,AK145,AL145)</f>
        <v>cavalryman bonuses, see text</v>
      </c>
      <c r="AO145" s="101" t="str">
        <f>CHOOSE(CharGenMain!$C$214,X145,Y145,Z145,AA145,AB145,AC145,AD145,AE145,AF145,AG145,AH145,AI145,AJ145,AK145,AL145)</f>
        <v>cavalryman bonuses, see text</v>
      </c>
      <c r="AP145" s="101" t="str">
        <f>CHOOSE(CharGenMain!$C$215,X145,Y145,Z145,AA145,AB145,AC145,AD145,AE145,AF145,AG145,AH145,AI145,AJ145,AK145,AL145)</f>
        <v>cavalryman bonuses, see text</v>
      </c>
      <c r="AQ145" s="101" t="str">
        <f>CHOOSE(CharGenMain!$C$216,X145,Y145,Z145,AA145,AB145,AC145,AD145,AE145,AF145,AG145,AH145,AI145,AJ145,AK145,AL145)</f>
        <v>cavalryman bonuses, see text</v>
      </c>
      <c r="AR145" s="101" t="str">
        <f>CHOOSE(CharGenMain!$C$217,X145,Y145,Z145,AA145,AB145,AC145,AD145,AE145,AF145,AG145,AH145,AI145,AJ145,AK145,AL145)</f>
        <v>Thread Max Exceeded</v>
      </c>
      <c r="AS145" s="101" t="e">
        <f>CHOOSE(CharGenMain!$C$218,X145,Y145,Z145,AA145,AB145,AC145,AD145,AE145,AF145,AG145,AH145,AI145,AJ145,AK145,AL145)</f>
        <v>#VALUE!</v>
      </c>
      <c r="AT145" s="101" t="e">
        <f>CHOOSE(CharGenMain!$C$219,X145,Y145,Z145,AA145,AB145,AC145,AD145,AE145,AF145,AG145,AH145,AI145,AJ145,AK145,AL145)</f>
        <v>#VALUE!</v>
      </c>
      <c r="AU145" s="101" t="e">
        <f>CHOOSE(CharGenMain!$C$220,X145,Y145,Z145,AA145,AB145,AC145,AD145,AE145,AF145,AG145,AH145,AI145,AJ145,AK145,AL145)</f>
        <v>#VALUE!</v>
      </c>
      <c r="AV145" s="101" t="e">
        <f>CHOOSE(CharGenMain!$C$221,X145,Y145,Z145,AA145,AB145,AC145,AD145,AE145,AF145,AG145,AH145,AI145,AJ145,AK145,AL145)</f>
        <v>#VALUE!</v>
      </c>
      <c r="AW145" s="101" t="e">
        <f>CHOOSE(CharGenMain!$C$222,X145,Y145,Z145,AA145,AB145,AC145,AD145,AE145,AF145,AG145,AH145,AI145,AJ145,AK145,AL145)</f>
        <v>#VALUE!</v>
      </c>
      <c r="AX145" s="101" t="e">
        <f>CHOOSE(CharGenMain!$C$223,X145,Y145,Z145,AA145,AB145,AC145,AD145,AE145,AF145,AG145,AH145,AI145,AJ145,AK145,AL145)</f>
        <v>#VALUE!</v>
      </c>
      <c r="AY145" s="101" t="e">
        <f>CHOOSE(CharGenMain!$C$224,X145,Y145,Z145,AA145,AB145,AC145,AD145,AE145,AF145,AG145,AH145,AI145,AJ145,AK145,AL145)</f>
        <v>#VALUE!</v>
      </c>
      <c r="AZ145" s="101" t="e">
        <f>CHOOSE(CharGenMain!$C$225,X145,Y145,Z145,AA145,AB145,AC145,AD145,AE145,AF145,AG145,AH145,AI145,AJ145,AK145,AL145)</f>
        <v>#VALUE!</v>
      </c>
      <c r="BA145" s="271" t="e">
        <f>CHOOSE(CharGenMain!$C$226,X145,Y145,Z145,AA145,AB145,AC145,AD145,AE145,AF145,AG145,AH145,AI145,AJ145,AK145,AL145)</f>
        <v>#VALUE!</v>
      </c>
    </row>
    <row r="146" spans="18:53">
      <c r="R146" s="226" t="s">
        <v>1388</v>
      </c>
      <c r="S146" s="14" t="s">
        <v>1389</v>
      </c>
      <c r="T146" s="14" t="s">
        <v>2667</v>
      </c>
      <c r="U146" s="14">
        <v>3</v>
      </c>
      <c r="V146" s="14">
        <v>4</v>
      </c>
      <c r="W146" s="106">
        <v>12</v>
      </c>
      <c r="X146" s="206" t="s">
        <v>1390</v>
      </c>
      <c r="Y146" s="206" t="s">
        <v>1391</v>
      </c>
      <c r="Z146" s="206" t="s">
        <v>1392</v>
      </c>
      <c r="AA146" s="206" t="s">
        <v>1393</v>
      </c>
      <c r="AB146" s="87" t="s">
        <v>2997</v>
      </c>
      <c r="AC146" s="87" t="s">
        <v>2997</v>
      </c>
      <c r="AD146" s="87" t="s">
        <v>2997</v>
      </c>
      <c r="AE146" s="87" t="s">
        <v>2997</v>
      </c>
      <c r="AF146" s="87" t="s">
        <v>2997</v>
      </c>
      <c r="AG146" s="87" t="s">
        <v>2997</v>
      </c>
      <c r="AH146" s="87" t="s">
        <v>2997</v>
      </c>
      <c r="AI146" s="87" t="s">
        <v>2997</v>
      </c>
      <c r="AJ146" s="87" t="s">
        <v>2997</v>
      </c>
      <c r="AK146" s="87" t="s">
        <v>2997</v>
      </c>
      <c r="AL146" s="87" t="s">
        <v>2997</v>
      </c>
      <c r="AM146" s="101" t="str">
        <f>CHOOSE(CharGenMain!$C$212,X146,Y146,Z146,AA146,AB146,AC146,AD146,AE146,AF146,AG146,AH146,AI146,AJ146,AK146,AL146)</f>
        <v>+6 steps to recovery or heal 1 wound</v>
      </c>
      <c r="AN146" s="101" t="str">
        <f>CHOOSE(CharGenMain!$C$213,X146,Y146,Z146,AA146,AB146,AC146,AD146,AE146,AF146,AG146,AH146,AI146,AJ146,AK146,AL146)</f>
        <v>+4 steps to recovery</v>
      </c>
      <c r="AO146" s="101" t="str">
        <f>CHOOSE(CharGenMain!$C$214,X146,Y146,Z146,AA146,AB146,AC146,AD146,AE146,AF146,AG146,AH146,AI146,AJ146,AK146,AL146)</f>
        <v>+4 steps to recovery</v>
      </c>
      <c r="AP146" s="101" t="str">
        <f>CHOOSE(CharGenMain!$C$215,X146,Y146,Z146,AA146,AB146,AC146,AD146,AE146,AF146,AG146,AH146,AI146,AJ146,AK146,AL146)</f>
        <v>+5 steps to recovery</v>
      </c>
      <c r="AQ146" s="101" t="str">
        <f>CHOOSE(CharGenMain!$C$216,X146,Y146,Z146,AA146,AB146,AC146,AD146,AE146,AF146,AG146,AH146,AI146,AJ146,AK146,AL146)</f>
        <v>+7 steps to recovery or heal 1 wound</v>
      </c>
      <c r="AR146" s="101" t="str">
        <f>CHOOSE(CharGenMain!$C$217,X146,Y146,Z146,AA146,AB146,AC146,AD146,AE146,AF146,AG146,AH146,AI146,AJ146,AK146,AL146)</f>
        <v>Thread Max Exceeded</v>
      </c>
      <c r="AS146" s="101" t="e">
        <f>CHOOSE(CharGenMain!$C$218,X146,Y146,Z146,AA146,AB146,AC146,AD146,AE146,AF146,AG146,AH146,AI146,AJ146,AK146,AL146)</f>
        <v>#VALUE!</v>
      </c>
      <c r="AT146" s="101" t="e">
        <f>CHOOSE(CharGenMain!$C$219,X146,Y146,Z146,AA146,AB146,AC146,AD146,AE146,AF146,AG146,AH146,AI146,AJ146,AK146,AL146)</f>
        <v>#VALUE!</v>
      </c>
      <c r="AU146" s="101" t="e">
        <f>CHOOSE(CharGenMain!$C$220,X146,Y146,Z146,AA146,AB146,AC146,AD146,AE146,AF146,AG146,AH146,AI146,AJ146,AK146,AL146)</f>
        <v>#VALUE!</v>
      </c>
      <c r="AV146" s="101" t="e">
        <f>CHOOSE(CharGenMain!$C$221,X146,Y146,Z146,AA146,AB146,AC146,AD146,AE146,AF146,AG146,AH146,AI146,AJ146,AK146,AL146)</f>
        <v>#VALUE!</v>
      </c>
      <c r="AW146" s="101" t="e">
        <f>CHOOSE(CharGenMain!$C$222,X146,Y146,Z146,AA146,AB146,AC146,AD146,AE146,AF146,AG146,AH146,AI146,AJ146,AK146,AL146)</f>
        <v>#VALUE!</v>
      </c>
      <c r="AX146" s="101" t="e">
        <f>CHOOSE(CharGenMain!$C$223,X146,Y146,Z146,AA146,AB146,AC146,AD146,AE146,AF146,AG146,AH146,AI146,AJ146,AK146,AL146)</f>
        <v>#VALUE!</v>
      </c>
      <c r="AY146" s="101" t="e">
        <f>CHOOSE(CharGenMain!$C$224,X146,Y146,Z146,AA146,AB146,AC146,AD146,AE146,AF146,AG146,AH146,AI146,AJ146,AK146,AL146)</f>
        <v>#VALUE!</v>
      </c>
      <c r="AZ146" s="101" t="e">
        <f>CHOOSE(CharGenMain!$C$225,X146,Y146,Z146,AA146,AB146,AC146,AD146,AE146,AF146,AG146,AH146,AI146,AJ146,AK146,AL146)</f>
        <v>#VALUE!</v>
      </c>
      <c r="BA146" s="271" t="e">
        <f>CHOOSE(CharGenMain!$C$226,X146,Y146,Z146,AA146,AB146,AC146,AD146,AE146,AF146,AG146,AH146,AI146,AJ146,AK146,AL146)</f>
        <v>#VALUE!</v>
      </c>
    </row>
    <row r="147" spans="18:53">
      <c r="R147" s="226" t="s">
        <v>1394</v>
      </c>
      <c r="S147" s="14" t="s">
        <v>1389</v>
      </c>
      <c r="T147" s="14" t="s">
        <v>2667</v>
      </c>
      <c r="U147" s="14">
        <v>3</v>
      </c>
      <c r="V147" s="14">
        <v>4</v>
      </c>
      <c r="W147" s="106">
        <v>19</v>
      </c>
      <c r="X147" s="206" t="s">
        <v>1395</v>
      </c>
      <c r="Y147" s="206" t="s">
        <v>1515</v>
      </c>
      <c r="Z147" s="206" t="s">
        <v>1516</v>
      </c>
      <c r="AA147" s="206" t="s">
        <v>1517</v>
      </c>
      <c r="AB147" s="87" t="s">
        <v>2997</v>
      </c>
      <c r="AC147" s="87" t="s">
        <v>2997</v>
      </c>
      <c r="AD147" s="87" t="s">
        <v>2997</v>
      </c>
      <c r="AE147" s="87" t="s">
        <v>2997</v>
      </c>
      <c r="AF147" s="87" t="s">
        <v>2997</v>
      </c>
      <c r="AG147" s="87" t="s">
        <v>2997</v>
      </c>
      <c r="AH147" s="87" t="s">
        <v>2997</v>
      </c>
      <c r="AI147" s="87" t="s">
        <v>2997</v>
      </c>
      <c r="AJ147" s="87" t="s">
        <v>2997</v>
      </c>
      <c r="AK147" s="87" t="s">
        <v>2997</v>
      </c>
      <c r="AL147" s="87" t="s">
        <v>2997</v>
      </c>
      <c r="AM147" s="101" t="str">
        <f>CHOOSE(CharGenMain!$C$212,X147,Y147,Z147,AA147,AB147,AC147,AD147,AE147,AF147,AG147,AH147,AI147,AJ147,AK147,AL147)</f>
        <v>+2 step to spellcasting, +1 spell def</v>
      </c>
      <c r="AN147" s="101" t="str">
        <f>CHOOSE(CharGenMain!$C$213,X147,Y147,Z147,AA147,AB147,AC147,AD147,AE147,AF147,AG147,AH147,AI147,AJ147,AK147,AL147)</f>
        <v>+1 step to spellcasting</v>
      </c>
      <c r="AO147" s="101" t="str">
        <f>CHOOSE(CharGenMain!$C$214,X147,Y147,Z147,AA147,AB147,AC147,AD147,AE147,AF147,AG147,AH147,AI147,AJ147,AK147,AL147)</f>
        <v>+1 step to spellcasting</v>
      </c>
      <c r="AP147" s="101" t="str">
        <f>CHOOSE(CharGenMain!$C$215,X147,Y147,Z147,AA147,AB147,AC147,AD147,AE147,AF147,AG147,AH147,AI147,AJ147,AK147,AL147)</f>
        <v>+2 step to spellcasting</v>
      </c>
      <c r="AQ147" s="101" t="str">
        <f>CHOOSE(CharGenMain!$C$216,X147,Y147,Z147,AA147,AB147,AC147,AD147,AE147,AF147,AG147,AH147,AI147,AJ147,AK147,AL147)</f>
        <v>+2 step to spellcasting, +2 spell def</v>
      </c>
      <c r="AR147" s="101" t="str">
        <f>CHOOSE(CharGenMain!$C$217,X147,Y147,Z147,AA147,AB147,AC147,AD147,AE147,AF147,AG147,AH147,AI147,AJ147,AK147,AL147)</f>
        <v>Thread Max Exceeded</v>
      </c>
      <c r="AS147" s="101" t="e">
        <f>CHOOSE(CharGenMain!$C$218,X147,Y147,Z147,AA147,AB147,AC147,AD147,AE147,AF147,AG147,AH147,AI147,AJ147,AK147,AL147)</f>
        <v>#VALUE!</v>
      </c>
      <c r="AT147" s="101" t="e">
        <f>CHOOSE(CharGenMain!$C$219,X147,Y147,Z147,AA147,AB147,AC147,AD147,AE147,AF147,AG147,AH147,AI147,AJ147,AK147,AL147)</f>
        <v>#VALUE!</v>
      </c>
      <c r="AU147" s="101" t="e">
        <f>CHOOSE(CharGenMain!$C$220,X147,Y147,Z147,AA147,AB147,AC147,AD147,AE147,AF147,AG147,AH147,AI147,AJ147,AK147,AL147)</f>
        <v>#VALUE!</v>
      </c>
      <c r="AV147" s="101" t="e">
        <f>CHOOSE(CharGenMain!$C$221,X147,Y147,Z147,AA147,AB147,AC147,AD147,AE147,AF147,AG147,AH147,AI147,AJ147,AK147,AL147)</f>
        <v>#VALUE!</v>
      </c>
      <c r="AW147" s="101" t="e">
        <f>CHOOSE(CharGenMain!$C$222,X147,Y147,Z147,AA147,AB147,AC147,AD147,AE147,AF147,AG147,AH147,AI147,AJ147,AK147,AL147)</f>
        <v>#VALUE!</v>
      </c>
      <c r="AX147" s="101" t="e">
        <f>CHOOSE(CharGenMain!$C$223,X147,Y147,Z147,AA147,AB147,AC147,AD147,AE147,AF147,AG147,AH147,AI147,AJ147,AK147,AL147)</f>
        <v>#VALUE!</v>
      </c>
      <c r="AY147" s="101" t="e">
        <f>CHOOSE(CharGenMain!$C$224,X147,Y147,Z147,AA147,AB147,AC147,AD147,AE147,AF147,AG147,AH147,AI147,AJ147,AK147,AL147)</f>
        <v>#VALUE!</v>
      </c>
      <c r="AZ147" s="101" t="e">
        <f>CHOOSE(CharGenMain!$C$225,X147,Y147,Z147,AA147,AB147,AC147,AD147,AE147,AF147,AG147,AH147,AI147,AJ147,AK147,AL147)</f>
        <v>#VALUE!</v>
      </c>
      <c r="BA147" s="271" t="e">
        <f>CHOOSE(CharGenMain!$C$226,X147,Y147,Z147,AA147,AB147,AC147,AD147,AE147,AF147,AG147,AH147,AI147,AJ147,AK147,AL147)</f>
        <v>#VALUE!</v>
      </c>
    </row>
    <row r="148" spans="18:53">
      <c r="R148" s="226" t="s">
        <v>1630</v>
      </c>
      <c r="S148" s="14" t="s">
        <v>1631</v>
      </c>
      <c r="T148" s="14" t="s">
        <v>2667</v>
      </c>
      <c r="U148" s="14">
        <v>3</v>
      </c>
      <c r="V148" s="14">
        <v>4</v>
      </c>
      <c r="W148" s="106">
        <v>19</v>
      </c>
      <c r="X148" s="206" t="s">
        <v>1395</v>
      </c>
      <c r="Y148" s="206" t="s">
        <v>1632</v>
      </c>
      <c r="Z148" s="206" t="s">
        <v>1633</v>
      </c>
      <c r="AA148" s="206" t="s">
        <v>1518</v>
      </c>
      <c r="AB148" s="87" t="s">
        <v>2997</v>
      </c>
      <c r="AC148" s="87" t="s">
        <v>2997</v>
      </c>
      <c r="AD148" s="87" t="s">
        <v>2997</v>
      </c>
      <c r="AE148" s="87" t="s">
        <v>2997</v>
      </c>
      <c r="AF148" s="87" t="s">
        <v>2997</v>
      </c>
      <c r="AG148" s="87" t="s">
        <v>2997</v>
      </c>
      <c r="AH148" s="87" t="s">
        <v>2997</v>
      </c>
      <c r="AI148" s="87" t="s">
        <v>2997</v>
      </c>
      <c r="AJ148" s="87" t="s">
        <v>2997</v>
      </c>
      <c r="AK148" s="87" t="s">
        <v>2997</v>
      </c>
      <c r="AL148" s="87" t="s">
        <v>2997</v>
      </c>
      <c r="AM148" s="101" t="str">
        <f>CHOOSE(CharGenMain!$C$212,X148,Y148,Z148,AA148,AB148,AC148,AD148,AE148,AF148,AG148,AH148,AI148,AJ148,AK148,AL148)</f>
        <v>+1 step to spellcasting, +1 step to threadweaving, +1 step to spell effect</v>
      </c>
      <c r="AN148" s="101" t="str">
        <f>CHOOSE(CharGenMain!$C$213,X148,Y148,Z148,AA148,AB148,AC148,AD148,AE148,AF148,AG148,AH148,AI148,AJ148,AK148,AL148)</f>
        <v>+1 step to spellcasting</v>
      </c>
      <c r="AO148" s="101" t="str">
        <f>CHOOSE(CharGenMain!$C$214,X148,Y148,Z148,AA148,AB148,AC148,AD148,AE148,AF148,AG148,AH148,AI148,AJ148,AK148,AL148)</f>
        <v>+1 step to spellcasting</v>
      </c>
      <c r="AP148" s="101" t="str">
        <f>CHOOSE(CharGenMain!$C$215,X148,Y148,Z148,AA148,AB148,AC148,AD148,AE148,AF148,AG148,AH148,AI148,AJ148,AK148,AL148)</f>
        <v>+1 step to spellcasting, +1 step to threadweaving</v>
      </c>
      <c r="AQ148" s="101" t="str">
        <f>CHOOSE(CharGenMain!$C$216,X148,Y148,Z148,AA148,AB148,AC148,AD148,AE148,AF148,AG148,AH148,AI148,AJ148,AK148,AL148)</f>
        <v>+2 steps to spellcasting, +1 step to threadweaving, +1 step to spell effect</v>
      </c>
      <c r="AR148" s="101" t="str">
        <f>CHOOSE(CharGenMain!$C$217,X148,Y148,Z148,AA148,AB148,AC148,AD148,AE148,AF148,AG148,AH148,AI148,AJ148,AK148,AL148)</f>
        <v>Thread Max Exceeded</v>
      </c>
      <c r="AS148" s="101" t="e">
        <f>CHOOSE(CharGenMain!$C$218,X148,Y148,Z148,AA148,AB148,AC148,AD148,AE148,AF148,AG148,AH148,AI148,AJ148,AK148,AL148)</f>
        <v>#VALUE!</v>
      </c>
      <c r="AT148" s="101" t="e">
        <f>CHOOSE(CharGenMain!$C$219,X148,Y148,Z148,AA148,AB148,AC148,AD148,AE148,AF148,AG148,AH148,AI148,AJ148,AK148,AL148)</f>
        <v>#VALUE!</v>
      </c>
      <c r="AU148" s="101" t="e">
        <f>CHOOSE(CharGenMain!$C$220,X148,Y148,Z148,AA148,AB148,AC148,AD148,AE148,AF148,AG148,AH148,AI148,AJ148,AK148,AL148)</f>
        <v>#VALUE!</v>
      </c>
      <c r="AV148" s="101" t="e">
        <f>CHOOSE(CharGenMain!$C$221,X148,Y148,Z148,AA148,AB148,AC148,AD148,AE148,AF148,AG148,AH148,AI148,AJ148,AK148,AL148)</f>
        <v>#VALUE!</v>
      </c>
      <c r="AW148" s="101" t="e">
        <f>CHOOSE(CharGenMain!$C$222,X148,Y148,Z148,AA148,AB148,AC148,AD148,AE148,AF148,AG148,AH148,AI148,AJ148,AK148,AL148)</f>
        <v>#VALUE!</v>
      </c>
      <c r="AX148" s="101" t="e">
        <f>CHOOSE(CharGenMain!$C$223,X148,Y148,Z148,AA148,AB148,AC148,AD148,AE148,AF148,AG148,AH148,AI148,AJ148,AK148,AL148)</f>
        <v>#VALUE!</v>
      </c>
      <c r="AY148" s="101" t="e">
        <f>CHOOSE(CharGenMain!$C$224,X148,Y148,Z148,AA148,AB148,AC148,AD148,AE148,AF148,AG148,AH148,AI148,AJ148,AK148,AL148)</f>
        <v>#VALUE!</v>
      </c>
      <c r="AZ148" s="101" t="e">
        <f>CHOOSE(CharGenMain!$C$225,X148,Y148,Z148,AA148,AB148,AC148,AD148,AE148,AF148,AG148,AH148,AI148,AJ148,AK148,AL148)</f>
        <v>#VALUE!</v>
      </c>
      <c r="BA148" s="271" t="e">
        <f>CHOOSE(CharGenMain!$C$226,X148,Y148,Z148,AA148,AB148,AC148,AD148,AE148,AF148,AG148,AH148,AI148,AJ148,AK148,AL148)</f>
        <v>#VALUE!</v>
      </c>
    </row>
    <row r="149" spans="18:53">
      <c r="R149" s="226" t="s">
        <v>5903</v>
      </c>
      <c r="S149" s="14" t="s">
        <v>530</v>
      </c>
      <c r="T149" s="14" t="s">
        <v>2667</v>
      </c>
      <c r="U149" s="14">
        <v>1</v>
      </c>
      <c r="V149" s="14">
        <v>4</v>
      </c>
      <c r="W149" s="106">
        <v>12</v>
      </c>
      <c r="X149" s="206" t="s">
        <v>1395</v>
      </c>
      <c r="Y149" s="206" t="s">
        <v>1632</v>
      </c>
      <c r="Z149" s="206" t="s">
        <v>5904</v>
      </c>
      <c r="AA149" s="206" t="s">
        <v>5905</v>
      </c>
      <c r="AB149" s="87" t="s">
        <v>2997</v>
      </c>
      <c r="AC149" s="87" t="s">
        <v>2997</v>
      </c>
      <c r="AD149" s="87" t="s">
        <v>2997</v>
      </c>
      <c r="AE149" s="87" t="s">
        <v>2997</v>
      </c>
      <c r="AF149" s="87" t="s">
        <v>2997</v>
      </c>
      <c r="AG149" s="87" t="s">
        <v>2997</v>
      </c>
      <c r="AH149" s="87" t="s">
        <v>2997</v>
      </c>
      <c r="AI149" s="87" t="s">
        <v>2997</v>
      </c>
      <c r="AJ149" s="87" t="s">
        <v>2997</v>
      </c>
      <c r="AK149" s="87" t="s">
        <v>2997</v>
      </c>
      <c r="AL149" s="87" t="s">
        <v>2997</v>
      </c>
      <c r="AM149" s="101" t="str">
        <f>CHOOSE(CharGenMain!$C$212,X149,Y149,Z149,AA149,AB149,AC149,AD149,AE149,AF149,AG149,AH149,AI149,AJ149,AK149,AL149)</f>
        <v>+2 step to spellcasting, +1 step to threadweaving</v>
      </c>
      <c r="AN149" s="101" t="str">
        <f>CHOOSE(CharGenMain!$C$213,X149,Y149,Z149,AA149,AB149,AC149,AD149,AE149,AF149,AG149,AH149,AI149,AJ149,AK149,AL149)</f>
        <v>+1 step to spellcasting</v>
      </c>
      <c r="AO149" s="101" t="str">
        <f>CHOOSE(CharGenMain!$C$214,X149,Y149,Z149,AA149,AB149,AC149,AD149,AE149,AF149,AG149,AH149,AI149,AJ149,AK149,AL149)</f>
        <v>+1 step to spellcasting</v>
      </c>
      <c r="AP149" s="101" t="str">
        <f>CHOOSE(CharGenMain!$C$215,X149,Y149,Z149,AA149,AB149,AC149,AD149,AE149,AF149,AG149,AH149,AI149,AJ149,AK149,AL149)</f>
        <v>+1 step to spellcasting, +1 step to threadweaving</v>
      </c>
      <c r="AQ149" s="101" t="str">
        <f>CHOOSE(CharGenMain!$C$216,X149,Y149,Z149,AA149,AB149,AC149,AD149,AE149,AF149,AG149,AH149,AI149,AJ149,AK149,AL149)</f>
        <v>+2 step to spellcasting, +2 step to threadweaving</v>
      </c>
      <c r="AR149" s="101" t="str">
        <f>CHOOSE(CharGenMain!$C$217,X149,Y149,Z149,AA149,AB149,AC149,AD149,AE149,AF149,AG149,AH149,AI149,AJ149,AK149,AL149)</f>
        <v>Thread Max Exceeded</v>
      </c>
      <c r="AS149" s="101" t="e">
        <f>CHOOSE(CharGenMain!$C$218,X149,Y149,Z149,AA149,AB149,AC149,AD149,AE149,AF149,AG149,AH149,AI149,AJ149,AK149,AL149)</f>
        <v>#VALUE!</v>
      </c>
      <c r="AT149" s="101" t="e">
        <f>CHOOSE(CharGenMain!$C$219,X149,Y149,Z149,AA149,AB149,AC149,AD149,AE149,AF149,AG149,AH149,AI149,AJ149,AK149,AL149)</f>
        <v>#VALUE!</v>
      </c>
      <c r="AU149" s="101" t="e">
        <f>CHOOSE(CharGenMain!$C$220,X149,Y149,Z149,AA149,AB149,AC149,AD149,AE149,AF149,AG149,AH149,AI149,AJ149,AK149,AL149)</f>
        <v>#VALUE!</v>
      </c>
      <c r="AV149" s="101" t="e">
        <f>CHOOSE(CharGenMain!$C$221,X149,Y149,Z149,AA149,AB149,AC149,AD149,AE149,AF149,AG149,AH149,AI149,AJ149,AK149,AL149)</f>
        <v>#VALUE!</v>
      </c>
      <c r="AW149" s="101" t="e">
        <f>CHOOSE(CharGenMain!$C$222,X149,Y149,Z149,AA149,AB149,AC149,AD149,AE149,AF149,AG149,AH149,AI149,AJ149,AK149,AL149)</f>
        <v>#VALUE!</v>
      </c>
      <c r="AX149" s="101" t="e">
        <f>CHOOSE(CharGenMain!$C$223,X149,Y149,Z149,AA149,AB149,AC149,AD149,AE149,AF149,AG149,AH149,AI149,AJ149,AK149,AL149)</f>
        <v>#VALUE!</v>
      </c>
      <c r="AY149" s="101" t="e">
        <f>CHOOSE(CharGenMain!$C$224,X149,Y149,Z149,AA149,AB149,AC149,AD149,AE149,AF149,AG149,AH149,AI149,AJ149,AK149,AL149)</f>
        <v>#VALUE!</v>
      </c>
      <c r="AZ149" s="101" t="e">
        <f>CHOOSE(CharGenMain!$C$225,X149,Y149,Z149,AA149,AB149,AC149,AD149,AE149,AF149,AG149,AH149,AI149,AJ149,AK149,AL149)</f>
        <v>#VALUE!</v>
      </c>
      <c r="BA149" s="271" t="e">
        <f>CHOOSE(CharGenMain!$C$226,X149,Y149,Z149,AA149,AB149,AC149,AD149,AE149,AF149,AG149,AH149,AI149,AJ149,AK149,AL149)</f>
        <v>#VALUE!</v>
      </c>
    </row>
    <row r="150" spans="18:53">
      <c r="R150" s="226" t="s">
        <v>1519</v>
      </c>
      <c r="S150" s="14" t="s">
        <v>1520</v>
      </c>
      <c r="T150" s="14" t="s">
        <v>2223</v>
      </c>
      <c r="U150" s="14">
        <v>3</v>
      </c>
      <c r="V150" s="14">
        <v>3</v>
      </c>
      <c r="W150" s="106">
        <v>14</v>
      </c>
      <c r="X150" s="168" t="s">
        <v>1521</v>
      </c>
      <c r="Y150" s="168" t="s">
        <v>1402</v>
      </c>
      <c r="Z150" s="168" t="s">
        <v>1403</v>
      </c>
      <c r="AA150" s="87" t="s">
        <v>2997</v>
      </c>
      <c r="AB150" s="87" t="s">
        <v>2997</v>
      </c>
      <c r="AC150" s="87" t="s">
        <v>2997</v>
      </c>
      <c r="AD150" s="87" t="s">
        <v>2997</v>
      </c>
      <c r="AE150" s="87" t="s">
        <v>2997</v>
      </c>
      <c r="AF150" s="87" t="s">
        <v>2997</v>
      </c>
      <c r="AG150" s="87" t="s">
        <v>2997</v>
      </c>
      <c r="AH150" s="87" t="s">
        <v>2997</v>
      </c>
      <c r="AI150" s="87" t="s">
        <v>2997</v>
      </c>
      <c r="AJ150" s="87" t="s">
        <v>2997</v>
      </c>
      <c r="AK150" s="87" t="s">
        <v>2997</v>
      </c>
      <c r="AL150" s="87" t="s">
        <v>2997</v>
      </c>
      <c r="AM150" s="101" t="str">
        <f>CHOOSE(CharGenMain!$C$212,X150,Y150,Z150,AA150,AB150,AC150,AD150,AE150,AF150,AG150,AH150,AI150,AJ150,AK150,AL150)</f>
        <v>Mentally communicate with other wearers</v>
      </c>
      <c r="AN150" s="101" t="str">
        <f>CHOOSE(CharGenMain!$C$213,X150,Y150,Z150,AA150,AB150,AC150,AD150,AE150,AF150,AG150,AH150,AI150,AJ150,AK150,AL150)</f>
        <v>Hear what other wearers say within thread rank miles</v>
      </c>
      <c r="AO150" s="101" t="str">
        <f>CHOOSE(CharGenMain!$C$214,X150,Y150,Z150,AA150,AB150,AC150,AD150,AE150,AF150,AG150,AH150,AI150,AJ150,AK150,AL150)</f>
        <v>Hear what other wearers say within thread rank miles</v>
      </c>
      <c r="AP150" s="101" t="str">
        <f>CHOOSE(CharGenMain!$C$215,X150,Y150,Z150,AA150,AB150,AC150,AD150,AE150,AF150,AG150,AH150,AI150,AJ150,AK150,AL150)</f>
        <v>Choose a specific wearer to hear</v>
      </c>
      <c r="AQ150" s="101" t="str">
        <f>CHOOSE(CharGenMain!$C$216,X150,Y150,Z150,AA150,AB150,AC150,AD150,AE150,AF150,AG150,AH150,AI150,AJ150,AK150,AL150)</f>
        <v>Thread Max Exceeded</v>
      </c>
      <c r="AR150" s="101" t="str">
        <f>CHOOSE(CharGenMain!$C$217,X150,Y150,Z150,AA150,AB150,AC150,AD150,AE150,AF150,AG150,AH150,AI150,AJ150,AK150,AL150)</f>
        <v>Thread Max Exceeded</v>
      </c>
      <c r="AS150" s="101" t="e">
        <f>CHOOSE(CharGenMain!$C$218,X150,Y150,Z150,AA150,AB150,AC150,AD150,AE150,AF150,AG150,AH150,AI150,AJ150,AK150,AL150)</f>
        <v>#VALUE!</v>
      </c>
      <c r="AT150" s="101" t="e">
        <f>CHOOSE(CharGenMain!$C$219,X150,Y150,Z150,AA150,AB150,AC150,AD150,AE150,AF150,AG150,AH150,AI150,AJ150,AK150,AL150)</f>
        <v>#VALUE!</v>
      </c>
      <c r="AU150" s="101" t="e">
        <f>CHOOSE(CharGenMain!$C$220,X150,Y150,Z150,AA150,AB150,AC150,AD150,AE150,AF150,AG150,AH150,AI150,AJ150,AK150,AL150)</f>
        <v>#VALUE!</v>
      </c>
      <c r="AV150" s="101" t="e">
        <f>CHOOSE(CharGenMain!$C$221,X150,Y150,Z150,AA150,AB150,AC150,AD150,AE150,AF150,AG150,AH150,AI150,AJ150,AK150,AL150)</f>
        <v>#VALUE!</v>
      </c>
      <c r="AW150" s="101" t="e">
        <f>CHOOSE(CharGenMain!$C$222,X150,Y150,Z150,AA150,AB150,AC150,AD150,AE150,AF150,AG150,AH150,AI150,AJ150,AK150,AL150)</f>
        <v>#VALUE!</v>
      </c>
      <c r="AX150" s="101" t="e">
        <f>CHOOSE(CharGenMain!$C$223,X150,Y150,Z150,AA150,AB150,AC150,AD150,AE150,AF150,AG150,AH150,AI150,AJ150,AK150,AL150)</f>
        <v>#VALUE!</v>
      </c>
      <c r="AY150" s="101" t="e">
        <f>CHOOSE(CharGenMain!$C$224,X150,Y150,Z150,AA150,AB150,AC150,AD150,AE150,AF150,AG150,AH150,AI150,AJ150,AK150,AL150)</f>
        <v>#VALUE!</v>
      </c>
      <c r="AZ150" s="101" t="e">
        <f>CHOOSE(CharGenMain!$C$225,X150,Y150,Z150,AA150,AB150,AC150,AD150,AE150,AF150,AG150,AH150,AI150,AJ150,AK150,AL150)</f>
        <v>#VALUE!</v>
      </c>
      <c r="BA150" s="271" t="e">
        <f>CHOOSE(CharGenMain!$C$226,X150,Y150,Z150,AA150,AB150,AC150,AD150,AE150,AF150,AG150,AH150,AI150,AJ150,AK150,AL150)</f>
        <v>#VALUE!</v>
      </c>
    </row>
    <row r="151" spans="18:53">
      <c r="R151" s="232" t="s">
        <v>1404</v>
      </c>
      <c r="S151" s="23" t="s">
        <v>1405</v>
      </c>
      <c r="T151" s="23" t="s">
        <v>2223</v>
      </c>
      <c r="U151" s="23">
        <v>2</v>
      </c>
      <c r="V151" s="23">
        <v>8</v>
      </c>
      <c r="W151" s="23">
        <v>13</v>
      </c>
      <c r="X151" s="117" t="s">
        <v>1406</v>
      </c>
      <c r="Y151" s="117" t="s">
        <v>1407</v>
      </c>
      <c r="Z151" s="117" t="s">
        <v>1407</v>
      </c>
      <c r="AA151" s="117" t="s">
        <v>1407</v>
      </c>
      <c r="AB151" s="117" t="s">
        <v>1407</v>
      </c>
      <c r="AC151" s="117" t="s">
        <v>1407</v>
      </c>
      <c r="AD151" s="117" t="s">
        <v>1407</v>
      </c>
      <c r="AE151" s="117" t="s">
        <v>1407</v>
      </c>
      <c r="AF151" s="117" t="s">
        <v>2997</v>
      </c>
      <c r="AG151" s="117" t="s">
        <v>2997</v>
      </c>
      <c r="AH151" s="117" t="s">
        <v>2997</v>
      </c>
      <c r="AI151" s="117" t="s">
        <v>2997</v>
      </c>
      <c r="AJ151" s="117" t="s">
        <v>2997</v>
      </c>
      <c r="AK151" s="117" t="s">
        <v>2997</v>
      </c>
      <c r="AL151" s="117" t="s">
        <v>2997</v>
      </c>
      <c r="AM151" s="103" t="str">
        <f>CHOOSE(CharGenMain!$C$212,X151,Y151,Z151,AA151,AB151,AC151,AD151,AE151,AF151,AG151,AH151,AI151,AJ151,AK151,AL151)</f>
        <v>fills with water or wine, see text</v>
      </c>
      <c r="AN151" s="103" t="str">
        <f>CHOOSE(CharGenMain!$C$213,X151,Y151,Z151,AA151,AB151,AC151,AD151,AE151,AF151,AG151,AH151,AI151,AJ151,AK151,AL151)</f>
        <v>fills with water or wine</v>
      </c>
      <c r="AO151" s="103" t="str">
        <f>CHOOSE(CharGenMain!$C$214,X151,Y151,Z151,AA151,AB151,AC151,AD151,AE151,AF151,AG151,AH151,AI151,AJ151,AK151,AL151)</f>
        <v>fills with water or wine</v>
      </c>
      <c r="AP151" s="103" t="str">
        <f>CHOOSE(CharGenMain!$C$215,X151,Y151,Z151,AA151,AB151,AC151,AD151,AE151,AF151,AG151,AH151,AI151,AJ151,AK151,AL151)</f>
        <v>fills with water or wine, see text</v>
      </c>
      <c r="AQ151" s="103" t="str">
        <f>CHOOSE(CharGenMain!$C$216,X151,Y151,Z151,AA151,AB151,AC151,AD151,AE151,AF151,AG151,AH151,AI151,AJ151,AK151,AL151)</f>
        <v>fills with water or wine, see text</v>
      </c>
      <c r="AR151" s="103" t="str">
        <f>CHOOSE(CharGenMain!$C$217,X151,Y151,Z151,AA151,AB151,AC151,AD151,AE151,AF151,AG151,AH151,AI151,AJ151,AK151,AL151)</f>
        <v>fills with water or wine, see text</v>
      </c>
      <c r="AS151" s="103" t="e">
        <f>CHOOSE(CharGenMain!$C$218,X151,Y151,Z151,AA151,AB151,AC151,AD151,AE151,AF151,AG151,AH151,AI151,AJ151,AK151,AL151)</f>
        <v>#VALUE!</v>
      </c>
      <c r="AT151" s="103" t="e">
        <f>CHOOSE(CharGenMain!$C$219,X151,Y151,Z151,AA151,AB151,AC151,AD151,AE151,AF151,AG151,AH151,AI151,AJ151,AK151,AL151)</f>
        <v>#VALUE!</v>
      </c>
      <c r="AU151" s="103" t="e">
        <f>CHOOSE(CharGenMain!$C$220,X151,Y151,Z151,AA151,AB151,AC151,AD151,AE151,AF151,AG151,AH151,AI151,AJ151,AK151,AL151)</f>
        <v>#VALUE!</v>
      </c>
      <c r="AV151" s="103" t="e">
        <f>CHOOSE(CharGenMain!$C$221,X151,Y151,Z151,AA151,AB151,AC151,AD151,AE151,AF151,AG151,AH151,AI151,AJ151,AK151,AL151)</f>
        <v>#VALUE!</v>
      </c>
      <c r="AW151" s="103" t="e">
        <f>CHOOSE(CharGenMain!$C$222,X151,Y151,Z151,AA151,AB151,AC151,AD151,AE151,AF151,AG151,AH151,AI151,AJ151,AK151,AL151)</f>
        <v>#VALUE!</v>
      </c>
      <c r="AX151" s="103" t="e">
        <f>CHOOSE(CharGenMain!$C$223,X151,Y151,Z151,AA151,AB151,AC151,AD151,AE151,AF151,AG151,AH151,AI151,AJ151,AK151,AL151)</f>
        <v>#VALUE!</v>
      </c>
      <c r="AY151" s="103" t="e">
        <f>CHOOSE(CharGenMain!$C$224,X151,Y151,Z151,AA151,AB151,AC151,AD151,AE151,AF151,AG151,AH151,AI151,AJ151,AK151,AL151)</f>
        <v>#VALUE!</v>
      </c>
      <c r="AZ151" s="103" t="e">
        <f>CHOOSE(CharGenMain!$C$225,X151,Y151,Z151,AA151,AB151,AC151,AD151,AE151,AF151,AG151,AH151,AI151,AJ151,AK151,AL151)</f>
        <v>#VALUE!</v>
      </c>
      <c r="BA151" s="272" t="e">
        <f>CHOOSE(CharGenMain!$C$226,X151,Y151,Z151,AA151,AB151,AC151,AD151,AE151,AF151,AG151,AH151,AI151,AJ151,AK151,AL151)</f>
        <v>#VALUE!</v>
      </c>
    </row>
    <row r="154" spans="18:53">
      <c r="S154" s="167"/>
      <c r="T154" s="14"/>
    </row>
    <row r="155" spans="18:53">
      <c r="S155" s="167"/>
      <c r="T155" s="14"/>
    </row>
    <row r="156" spans="18:53">
      <c r="S156" s="167"/>
      <c r="T156" s="14"/>
    </row>
    <row r="157" spans="18:53">
      <c r="S157" s="167"/>
      <c r="T157" s="14"/>
    </row>
    <row r="158" spans="18:53">
      <c r="S158" s="167"/>
      <c r="T158" s="14"/>
    </row>
    <row r="159" spans="18:53">
      <c r="S159" s="167"/>
      <c r="T159" s="14"/>
    </row>
    <row r="160" spans="18:53">
      <c r="S160" s="167"/>
      <c r="T160" s="14"/>
    </row>
    <row r="161" spans="19:20">
      <c r="S161" s="167"/>
    </row>
    <row r="162" spans="19:20">
      <c r="S162" s="167"/>
    </row>
    <row r="163" spans="19:20">
      <c r="S163" s="167"/>
    </row>
    <row r="164" spans="19:20">
      <c r="S164" s="167"/>
    </row>
    <row r="165" spans="19:20">
      <c r="S165" s="167"/>
    </row>
    <row r="166" spans="19:20">
      <c r="S166" s="167"/>
      <c r="T166" s="14"/>
    </row>
    <row r="167" spans="19:20">
      <c r="S167" s="167"/>
      <c r="T167" s="14"/>
    </row>
  </sheetData>
  <phoneticPr fontId="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K32"/>
  <sheetViews>
    <sheetView workbookViewId="0"/>
  </sheetViews>
  <sheetFormatPr baseColWidth="10" defaultRowHeight="13"/>
  <cols>
    <col min="1" max="6" width="10.7109375" style="231"/>
    <col min="7" max="66" width="10.7109375" style="5"/>
    <col min="67" max="16384" width="10.7109375" style="231"/>
  </cols>
  <sheetData>
    <row r="1" spans="1:141">
      <c r="A1" s="17" t="s">
        <v>5588</v>
      </c>
      <c r="B1" s="18" t="s">
        <v>5701</v>
      </c>
      <c r="C1" s="18" t="s">
        <v>3869</v>
      </c>
      <c r="D1" s="18" t="s">
        <v>5781</v>
      </c>
      <c r="E1" s="18" t="s">
        <v>5105</v>
      </c>
      <c r="F1" s="18" t="s">
        <v>4754</v>
      </c>
      <c r="G1" s="18" t="s">
        <v>1408</v>
      </c>
      <c r="H1" s="18" t="s">
        <v>1409</v>
      </c>
      <c r="I1" s="18" t="s">
        <v>1410</v>
      </c>
      <c r="J1" s="18" t="s">
        <v>1411</v>
      </c>
      <c r="K1" s="18" t="s">
        <v>1412</v>
      </c>
      <c r="L1" s="18" t="s">
        <v>1413</v>
      </c>
      <c r="M1" s="18" t="s">
        <v>1298</v>
      </c>
      <c r="N1" s="18" t="s">
        <v>1299</v>
      </c>
      <c r="O1" s="18" t="s">
        <v>1300</v>
      </c>
      <c r="P1" s="18" t="s">
        <v>1301</v>
      </c>
      <c r="Q1" s="18" t="s">
        <v>1302</v>
      </c>
      <c r="R1" s="18" t="s">
        <v>1303</v>
      </c>
      <c r="S1" s="18" t="s">
        <v>1304</v>
      </c>
      <c r="T1" s="18" t="s">
        <v>1305</v>
      </c>
      <c r="U1" s="18" t="s">
        <v>1306</v>
      </c>
      <c r="V1" s="18" t="s">
        <v>1307</v>
      </c>
      <c r="W1" s="18" t="s">
        <v>1176</v>
      </c>
      <c r="X1" s="18" t="s">
        <v>1177</v>
      </c>
      <c r="Y1" s="18" t="s">
        <v>1178</v>
      </c>
      <c r="Z1" s="18" t="s">
        <v>1179</v>
      </c>
      <c r="AA1" s="18" t="s">
        <v>1180</v>
      </c>
      <c r="AB1" s="18" t="s">
        <v>1181</v>
      </c>
      <c r="AC1" s="18" t="s">
        <v>1182</v>
      </c>
      <c r="AD1" s="18" t="s">
        <v>1183</v>
      </c>
      <c r="AE1" s="18" t="s">
        <v>1184</v>
      </c>
      <c r="AF1" s="18" t="s">
        <v>1185</v>
      </c>
      <c r="AG1" s="18" t="s">
        <v>1172</v>
      </c>
      <c r="AH1" s="18" t="s">
        <v>1173</v>
      </c>
      <c r="AI1" s="18" t="s">
        <v>1174</v>
      </c>
      <c r="AJ1" s="18" t="s">
        <v>1175</v>
      </c>
      <c r="AK1" s="18" t="s">
        <v>1186</v>
      </c>
      <c r="AL1" s="18" t="s">
        <v>1187</v>
      </c>
      <c r="AM1" s="18" t="s">
        <v>1188</v>
      </c>
      <c r="AN1" s="18" t="s">
        <v>1189</v>
      </c>
      <c r="AO1" s="18" t="s">
        <v>1190</v>
      </c>
      <c r="AP1" s="18" t="s">
        <v>1191</v>
      </c>
      <c r="AQ1" s="18" t="s">
        <v>1192</v>
      </c>
      <c r="AR1" s="18" t="s">
        <v>1193</v>
      </c>
      <c r="AS1" s="18" t="s">
        <v>1194</v>
      </c>
      <c r="AT1" s="18" t="s">
        <v>1195</v>
      </c>
      <c r="AU1" s="18" t="s">
        <v>1196</v>
      </c>
      <c r="AV1" s="18" t="s">
        <v>1197</v>
      </c>
      <c r="AW1" s="18" t="s">
        <v>1322</v>
      </c>
      <c r="AX1" s="18" t="s">
        <v>1323</v>
      </c>
      <c r="AY1" s="18" t="s">
        <v>1424</v>
      </c>
      <c r="AZ1" s="18" t="s">
        <v>1425</v>
      </c>
      <c r="BA1" s="18" t="s">
        <v>1426</v>
      </c>
      <c r="BB1" s="18" t="s">
        <v>1427</v>
      </c>
      <c r="BC1" s="18" t="s">
        <v>1428</v>
      </c>
      <c r="BD1" s="18" t="s">
        <v>1429</v>
      </c>
      <c r="BE1" s="18" t="s">
        <v>1430</v>
      </c>
      <c r="BF1" s="18" t="s">
        <v>1431</v>
      </c>
      <c r="BG1" s="18" t="s">
        <v>1432</v>
      </c>
      <c r="BH1" s="18" t="s">
        <v>1433</v>
      </c>
      <c r="BI1" s="18" t="s">
        <v>1434</v>
      </c>
      <c r="BJ1" s="18" t="s">
        <v>1435</v>
      </c>
      <c r="BK1" s="18" t="s">
        <v>1208</v>
      </c>
      <c r="BL1" s="18" t="s">
        <v>1209</v>
      </c>
      <c r="BM1" s="18" t="s">
        <v>1210</v>
      </c>
      <c r="BN1" s="18" t="s">
        <v>1211</v>
      </c>
      <c r="BO1" s="84" t="s">
        <v>1440</v>
      </c>
      <c r="BP1" s="84" t="s">
        <v>1332</v>
      </c>
      <c r="BQ1" s="84" t="s">
        <v>1214</v>
      </c>
      <c r="BR1" s="77" t="s">
        <v>1085</v>
      </c>
      <c r="BT1" s="17" t="s">
        <v>1086</v>
      </c>
      <c r="BU1" s="18" t="s">
        <v>5701</v>
      </c>
      <c r="BV1" s="18" t="s">
        <v>3869</v>
      </c>
      <c r="BW1" s="18" t="s">
        <v>5781</v>
      </c>
      <c r="BX1" s="18" t="s">
        <v>5105</v>
      </c>
      <c r="BY1" s="18" t="s">
        <v>4754</v>
      </c>
      <c r="BZ1" s="24" t="s">
        <v>1408</v>
      </c>
      <c r="CA1" s="24" t="s">
        <v>1409</v>
      </c>
      <c r="CB1" s="24" t="s">
        <v>1410</v>
      </c>
      <c r="CC1" s="24" t="s">
        <v>1411</v>
      </c>
      <c r="CD1" s="24" t="s">
        <v>1412</v>
      </c>
      <c r="CE1" s="24" t="s">
        <v>1413</v>
      </c>
      <c r="CF1" s="24" t="s">
        <v>1298</v>
      </c>
      <c r="CG1" s="24" t="s">
        <v>1299</v>
      </c>
      <c r="CH1" s="24" t="s">
        <v>1300</v>
      </c>
      <c r="CI1" s="24" t="s">
        <v>1301</v>
      </c>
      <c r="CJ1" s="24" t="s">
        <v>1302</v>
      </c>
      <c r="CK1" s="24" t="s">
        <v>1303</v>
      </c>
      <c r="CL1" s="24" t="s">
        <v>1304</v>
      </c>
      <c r="CM1" s="24" t="s">
        <v>1305</v>
      </c>
      <c r="CN1" s="24" t="s">
        <v>1306</v>
      </c>
      <c r="CO1" s="24" t="s">
        <v>1307</v>
      </c>
      <c r="CP1" s="24" t="s">
        <v>1176</v>
      </c>
      <c r="CQ1" s="24" t="s">
        <v>1177</v>
      </c>
      <c r="CR1" s="24" t="s">
        <v>1178</v>
      </c>
      <c r="CS1" s="24" t="s">
        <v>1179</v>
      </c>
      <c r="CT1" s="24" t="s">
        <v>1180</v>
      </c>
      <c r="CU1" s="24" t="s">
        <v>1181</v>
      </c>
      <c r="CV1" s="24" t="s">
        <v>1182</v>
      </c>
      <c r="CW1" s="24" t="s">
        <v>1183</v>
      </c>
      <c r="CX1" s="24" t="s">
        <v>1184</v>
      </c>
      <c r="CY1" s="24" t="s">
        <v>1185</v>
      </c>
      <c r="CZ1" s="24" t="s">
        <v>1172</v>
      </c>
      <c r="DA1" s="24" t="s">
        <v>1173</v>
      </c>
      <c r="DB1" s="24" t="s">
        <v>1174</v>
      </c>
      <c r="DC1" s="24" t="s">
        <v>1175</v>
      </c>
      <c r="DD1" s="24" t="s">
        <v>1186</v>
      </c>
      <c r="DE1" s="24" t="s">
        <v>1187</v>
      </c>
      <c r="DF1" s="24" t="s">
        <v>1188</v>
      </c>
      <c r="DG1" s="24" t="s">
        <v>1189</v>
      </c>
      <c r="DH1" s="24" t="s">
        <v>1190</v>
      </c>
      <c r="DI1" s="24" t="s">
        <v>1191</v>
      </c>
      <c r="DJ1" s="24" t="s">
        <v>1192</v>
      </c>
      <c r="DK1" s="24" t="s">
        <v>1193</v>
      </c>
      <c r="DL1" s="24" t="s">
        <v>1194</v>
      </c>
      <c r="DM1" s="24" t="s">
        <v>1195</v>
      </c>
      <c r="DN1" s="24" t="s">
        <v>1196</v>
      </c>
      <c r="DO1" s="24" t="s">
        <v>1197</v>
      </c>
      <c r="DP1" s="24" t="s">
        <v>1322</v>
      </c>
      <c r="DQ1" s="24" t="s">
        <v>1323</v>
      </c>
      <c r="DR1" s="24" t="s">
        <v>1424</v>
      </c>
      <c r="DS1" s="24" t="s">
        <v>1425</v>
      </c>
      <c r="DT1" s="24" t="s">
        <v>1426</v>
      </c>
      <c r="DU1" s="24" t="s">
        <v>1427</v>
      </c>
      <c r="DV1" s="24" t="s">
        <v>1428</v>
      </c>
      <c r="DW1" s="24" t="s">
        <v>1429</v>
      </c>
      <c r="DX1" s="24" t="s">
        <v>1430</v>
      </c>
      <c r="DY1" s="24" t="s">
        <v>1431</v>
      </c>
      <c r="DZ1" s="24" t="s">
        <v>1432</v>
      </c>
      <c r="EA1" s="24" t="s">
        <v>1433</v>
      </c>
      <c r="EB1" s="24" t="s">
        <v>1434</v>
      </c>
      <c r="EC1" s="24" t="s">
        <v>1435</v>
      </c>
      <c r="ED1" s="24" t="s">
        <v>1208</v>
      </c>
      <c r="EE1" s="24" t="s">
        <v>1209</v>
      </c>
      <c r="EF1" s="24" t="s">
        <v>1210</v>
      </c>
      <c r="EG1" s="24" t="s">
        <v>1211</v>
      </c>
      <c r="EH1" s="84" t="s">
        <v>1440</v>
      </c>
      <c r="EI1" s="84" t="s">
        <v>1332</v>
      </c>
      <c r="EJ1" s="84" t="s">
        <v>1214</v>
      </c>
      <c r="EK1" s="77" t="s">
        <v>1085</v>
      </c>
    </row>
    <row r="2" spans="1:141">
      <c r="A2" s="226" t="s">
        <v>1087</v>
      </c>
      <c r="B2" s="14" t="s">
        <v>2158</v>
      </c>
      <c r="C2" s="14" t="s">
        <v>2667</v>
      </c>
      <c r="D2" s="14">
        <v>3</v>
      </c>
      <c r="E2" s="14">
        <v>6</v>
      </c>
      <c r="F2" s="14">
        <v>15</v>
      </c>
      <c r="G2" s="14">
        <v>6</v>
      </c>
      <c r="H2" s="14">
        <v>0</v>
      </c>
      <c r="I2" s="14">
        <v>-2</v>
      </c>
      <c r="J2" s="14" t="s">
        <v>1215</v>
      </c>
      <c r="K2" s="14">
        <v>6</v>
      </c>
      <c r="L2" s="14">
        <v>0</v>
      </c>
      <c r="M2" s="14">
        <v>0</v>
      </c>
      <c r="N2" s="14" t="s">
        <v>1216</v>
      </c>
      <c r="O2" s="14">
        <v>8</v>
      </c>
      <c r="P2" s="14">
        <v>0</v>
      </c>
      <c r="Q2" s="14">
        <v>0</v>
      </c>
      <c r="R2" s="14" t="s">
        <v>1217</v>
      </c>
      <c r="S2" s="14">
        <v>9</v>
      </c>
      <c r="T2" s="14">
        <v>0</v>
      </c>
      <c r="U2" s="14">
        <v>0</v>
      </c>
      <c r="V2" s="14" t="s">
        <v>1217</v>
      </c>
      <c r="W2" s="14">
        <v>9</v>
      </c>
      <c r="X2" s="14">
        <v>2</v>
      </c>
      <c r="Y2" s="14">
        <v>0</v>
      </c>
      <c r="Z2" s="14" t="s">
        <v>1217</v>
      </c>
      <c r="AA2" s="14">
        <v>9</v>
      </c>
      <c r="AB2" s="14">
        <v>2</v>
      </c>
      <c r="AC2" s="14">
        <v>2</v>
      </c>
      <c r="AD2" s="14" t="s">
        <v>1217</v>
      </c>
      <c r="AE2" s="14" t="s">
        <v>2997</v>
      </c>
      <c r="AF2" s="14" t="s">
        <v>2997</v>
      </c>
      <c r="AG2" s="14" t="s">
        <v>2997</v>
      </c>
      <c r="AH2" s="14" t="s">
        <v>2997</v>
      </c>
      <c r="AI2" s="14" t="s">
        <v>2997</v>
      </c>
      <c r="AJ2" s="14" t="s">
        <v>2997</v>
      </c>
      <c r="AK2" s="14" t="s">
        <v>2997</v>
      </c>
      <c r="AL2" s="14" t="s">
        <v>2997</v>
      </c>
      <c r="AM2" s="14" t="s">
        <v>2997</v>
      </c>
      <c r="AN2" s="14" t="s">
        <v>2997</v>
      </c>
      <c r="AO2" s="14" t="s">
        <v>2997</v>
      </c>
      <c r="AP2" s="14" t="s">
        <v>2997</v>
      </c>
      <c r="AQ2" s="14" t="s">
        <v>2997</v>
      </c>
      <c r="AR2" s="14" t="s">
        <v>2997</v>
      </c>
      <c r="AS2" s="14" t="s">
        <v>2997</v>
      </c>
      <c r="AT2" s="14" t="s">
        <v>2997</v>
      </c>
      <c r="AU2" s="14" t="s">
        <v>2997</v>
      </c>
      <c r="AV2" s="14" t="s">
        <v>2997</v>
      </c>
      <c r="AW2" s="14" t="s">
        <v>2997</v>
      </c>
      <c r="AX2" s="14" t="s">
        <v>2997</v>
      </c>
      <c r="AY2" s="14" t="s">
        <v>2997</v>
      </c>
      <c r="AZ2" s="14" t="s">
        <v>2997</v>
      </c>
      <c r="BA2" s="14" t="s">
        <v>2997</v>
      </c>
      <c r="BB2" s="14" t="s">
        <v>2997</v>
      </c>
      <c r="BC2" s="14" t="s">
        <v>2997</v>
      </c>
      <c r="BD2" s="14" t="s">
        <v>2997</v>
      </c>
      <c r="BE2" s="14" t="s">
        <v>2997</v>
      </c>
      <c r="BF2" s="14" t="s">
        <v>2997</v>
      </c>
      <c r="BG2" s="14" t="s">
        <v>2997</v>
      </c>
      <c r="BH2" s="14" t="s">
        <v>2997</v>
      </c>
      <c r="BI2" s="14" t="s">
        <v>2997</v>
      </c>
      <c r="BJ2" s="14" t="s">
        <v>2997</v>
      </c>
      <c r="BK2" s="14" t="s">
        <v>2997</v>
      </c>
      <c r="BL2" s="14" t="s">
        <v>2997</v>
      </c>
      <c r="BM2" s="14" t="s">
        <v>2997</v>
      </c>
      <c r="BN2" s="14" t="s">
        <v>2997</v>
      </c>
      <c r="BO2" s="21">
        <f>CHOOSE(CharGenMain!$B$202,G2,K2,O2,S2,W2,AA2,AE2,AI2,AM2,AQ2,AU2,AY2,BC2,BG2,BK2)</f>
        <v>9</v>
      </c>
      <c r="BP2" s="21">
        <f>CHOOSE(CharGenMain!$B$202,H2,L2,P2,T2,X2,AB2,AF2,AJ2,AN2,AR2,AV2,AZ2,BD2,BH2,BL2)</f>
        <v>2</v>
      </c>
      <c r="BQ2" s="21">
        <f>CHOOSE(CharGenMain!$B$202,I2,M2,Q2,U2,Y2,AC2,AG2,AK2,AO2,AS2,AW2,BA2,BE2,BI2,BM2)</f>
        <v>2</v>
      </c>
      <c r="BR2" s="28" t="str">
        <f>CHOOSE(CharGenMain!$B$202,J2,N2,R2,V2,Z2,AD2,AH2,AL2,AP2,AT2,AX2,BB2,BF2,BJ2,BN2)</f>
        <v>armor floats, extraordinary hit to defeat armor</v>
      </c>
      <c r="BT2" s="20" t="s">
        <v>1333</v>
      </c>
      <c r="BU2" s="14" t="s">
        <v>1334</v>
      </c>
      <c r="BV2" s="14" t="s">
        <v>2279</v>
      </c>
      <c r="BW2" s="14">
        <v>3</v>
      </c>
      <c r="BX2" s="14">
        <v>7</v>
      </c>
      <c r="BY2" s="14">
        <v>18</v>
      </c>
      <c r="BZ2" s="21">
        <v>4</v>
      </c>
      <c r="CA2" s="21">
        <v>4</v>
      </c>
      <c r="CB2" s="21">
        <v>-2</v>
      </c>
      <c r="CC2" s="21" t="s">
        <v>1215</v>
      </c>
      <c r="CD2" s="21">
        <v>5</v>
      </c>
      <c r="CE2" s="21">
        <v>4</v>
      </c>
      <c r="CF2" s="21">
        <v>-2</v>
      </c>
      <c r="CG2" s="105" t="s">
        <v>1335</v>
      </c>
      <c r="CH2" s="21">
        <v>5</v>
      </c>
      <c r="CI2" s="21">
        <v>5</v>
      </c>
      <c r="CJ2" s="21">
        <v>-2</v>
      </c>
      <c r="CK2" s="211" t="s">
        <v>1336</v>
      </c>
      <c r="CL2" s="21">
        <v>6</v>
      </c>
      <c r="CM2" s="21">
        <v>6</v>
      </c>
      <c r="CN2" s="21">
        <v>-1</v>
      </c>
      <c r="CO2" s="211" t="s">
        <v>1336</v>
      </c>
      <c r="CP2" s="21">
        <v>6</v>
      </c>
      <c r="CQ2" s="21">
        <v>6</v>
      </c>
      <c r="CR2" s="21">
        <v>0</v>
      </c>
      <c r="CS2" s="211" t="s">
        <v>1337</v>
      </c>
      <c r="CT2" s="21">
        <v>7</v>
      </c>
      <c r="CU2" s="21">
        <v>7</v>
      </c>
      <c r="CV2" s="21">
        <v>0</v>
      </c>
      <c r="CW2" s="211" t="s">
        <v>1338</v>
      </c>
      <c r="CX2" s="21">
        <v>7</v>
      </c>
      <c r="CY2" s="21">
        <v>7</v>
      </c>
      <c r="CZ2" s="21">
        <v>0</v>
      </c>
      <c r="DA2" s="211" t="s">
        <v>1339</v>
      </c>
      <c r="DB2" s="14" t="s">
        <v>2997</v>
      </c>
      <c r="DC2" s="14" t="s">
        <v>2997</v>
      </c>
      <c r="DD2" s="14" t="s">
        <v>2997</v>
      </c>
      <c r="DE2" s="14" t="s">
        <v>2997</v>
      </c>
      <c r="DF2" s="14" t="s">
        <v>2997</v>
      </c>
      <c r="DG2" s="14" t="s">
        <v>2997</v>
      </c>
      <c r="DH2" s="14" t="s">
        <v>2997</v>
      </c>
      <c r="DI2" s="14" t="s">
        <v>2997</v>
      </c>
      <c r="DJ2" s="14" t="s">
        <v>2997</v>
      </c>
      <c r="DK2" s="14" t="s">
        <v>2997</v>
      </c>
      <c r="DL2" s="14" t="s">
        <v>2997</v>
      </c>
      <c r="DM2" s="14" t="s">
        <v>2997</v>
      </c>
      <c r="DN2" s="14" t="s">
        <v>2997</v>
      </c>
      <c r="DO2" s="14" t="s">
        <v>2997</v>
      </c>
      <c r="DP2" s="14" t="s">
        <v>2997</v>
      </c>
      <c r="DQ2" s="14" t="s">
        <v>2997</v>
      </c>
      <c r="DR2" s="14" t="s">
        <v>2997</v>
      </c>
      <c r="DS2" s="14" t="s">
        <v>2997</v>
      </c>
      <c r="DT2" s="14" t="s">
        <v>2997</v>
      </c>
      <c r="DU2" s="14" t="s">
        <v>2997</v>
      </c>
      <c r="DV2" s="14" t="s">
        <v>2997</v>
      </c>
      <c r="DW2" s="14" t="s">
        <v>2997</v>
      </c>
      <c r="DX2" s="14" t="s">
        <v>2997</v>
      </c>
      <c r="DY2" s="14" t="s">
        <v>2997</v>
      </c>
      <c r="DZ2" s="14" t="s">
        <v>2997</v>
      </c>
      <c r="EA2" s="14" t="s">
        <v>2997</v>
      </c>
      <c r="EB2" s="14" t="s">
        <v>2997</v>
      </c>
      <c r="EC2" s="14" t="s">
        <v>2997</v>
      </c>
      <c r="ED2" s="14" t="s">
        <v>2997</v>
      </c>
      <c r="EE2" s="14" t="s">
        <v>2997</v>
      </c>
      <c r="EF2" s="14" t="s">
        <v>2997</v>
      </c>
      <c r="EG2" s="14" t="s">
        <v>2997</v>
      </c>
      <c r="EH2" s="21" t="e">
        <f>CHOOSE(CharGenMain!$B$204,BZ2,CD2,CH2,CL2,CP2,CT2,CX2,DB2,DF2,DJ2,DN2,DR2,DV2,DZ2,ED2)</f>
        <v>#VALUE!</v>
      </c>
      <c r="EI2" s="21" t="e">
        <f>CHOOSE(CharGenMain!$B$204,CA2,CE2,CI2,CM2,CQ2,CU2,CY2,DC2,DG2,DK2,DO2,DS2,DW2,EA2,EE2)</f>
        <v>#VALUE!</v>
      </c>
      <c r="EJ2" s="21" t="e">
        <f>CHOOSE(CharGenMain!$B$204,CB2,CF2,CJ2,CN2,CR2,CV2,CZ2,DD2,DH2,DL2,DP2,DT2,DX2,EB2,EF2)</f>
        <v>#VALUE!</v>
      </c>
      <c r="EK2" s="28" t="e">
        <f>CHOOSE(CharGenMain!$B$204,CC2,CG2,CK2,CO2,CS2,CW2,DA2,DE2,DI2,DM2,DQ2,DU2,DY2,EC2,EG2)</f>
        <v>#VALUE!</v>
      </c>
    </row>
    <row r="3" spans="1:141">
      <c r="A3" s="226" t="s">
        <v>1340</v>
      </c>
      <c r="B3" s="14" t="s">
        <v>3576</v>
      </c>
      <c r="C3" s="14" t="s">
        <v>2667</v>
      </c>
      <c r="D3" s="14">
        <v>3</v>
      </c>
      <c r="E3" s="14">
        <v>4</v>
      </c>
      <c r="F3" s="14">
        <v>13</v>
      </c>
      <c r="G3" s="14">
        <v>5</v>
      </c>
      <c r="H3" s="14">
        <v>3</v>
      </c>
      <c r="I3" s="14">
        <v>0</v>
      </c>
      <c r="J3" s="14" t="s">
        <v>1215</v>
      </c>
      <c r="K3" s="14">
        <v>6</v>
      </c>
      <c r="L3" s="14">
        <v>4</v>
      </c>
      <c r="M3" s="14">
        <v>0</v>
      </c>
      <c r="N3" s="14" t="s">
        <v>1215</v>
      </c>
      <c r="O3" s="14">
        <v>6</v>
      </c>
      <c r="P3" s="14">
        <v>4</v>
      </c>
      <c r="Q3" s="14">
        <v>0</v>
      </c>
      <c r="R3" s="106" t="s">
        <v>1341</v>
      </c>
      <c r="S3" s="14">
        <v>6</v>
      </c>
      <c r="T3" s="14">
        <v>4</v>
      </c>
      <c r="U3" s="14">
        <v>0</v>
      </c>
      <c r="V3" s="106" t="s">
        <v>1342</v>
      </c>
      <c r="W3" s="14" t="s">
        <v>2997</v>
      </c>
      <c r="X3" s="14" t="s">
        <v>2997</v>
      </c>
      <c r="Y3" s="14" t="s">
        <v>2997</v>
      </c>
      <c r="Z3" s="14" t="s">
        <v>2997</v>
      </c>
      <c r="AA3" s="14" t="s">
        <v>2997</v>
      </c>
      <c r="AB3" s="14" t="s">
        <v>2997</v>
      </c>
      <c r="AC3" s="14" t="s">
        <v>2997</v>
      </c>
      <c r="AD3" s="14" t="s">
        <v>2997</v>
      </c>
      <c r="AE3" s="14" t="s">
        <v>2997</v>
      </c>
      <c r="AF3" s="14" t="s">
        <v>2997</v>
      </c>
      <c r="AG3" s="14" t="s">
        <v>2997</v>
      </c>
      <c r="AH3" s="14" t="s">
        <v>2997</v>
      </c>
      <c r="AI3" s="14" t="s">
        <v>2997</v>
      </c>
      <c r="AJ3" s="14" t="s">
        <v>2997</v>
      </c>
      <c r="AK3" s="14" t="s">
        <v>2997</v>
      </c>
      <c r="AL3" s="14" t="s">
        <v>2997</v>
      </c>
      <c r="AM3" s="14" t="s">
        <v>2997</v>
      </c>
      <c r="AN3" s="14" t="s">
        <v>2997</v>
      </c>
      <c r="AO3" s="14" t="s">
        <v>2997</v>
      </c>
      <c r="AP3" s="14" t="s">
        <v>2997</v>
      </c>
      <c r="AQ3" s="14" t="s">
        <v>2997</v>
      </c>
      <c r="AR3" s="14" t="s">
        <v>2997</v>
      </c>
      <c r="AS3" s="14" t="s">
        <v>2997</v>
      </c>
      <c r="AT3" s="14" t="s">
        <v>2997</v>
      </c>
      <c r="AU3" s="14" t="s">
        <v>2997</v>
      </c>
      <c r="AV3" s="14" t="s">
        <v>2997</v>
      </c>
      <c r="AW3" s="14" t="s">
        <v>2997</v>
      </c>
      <c r="AX3" s="14" t="s">
        <v>2997</v>
      </c>
      <c r="AY3" s="14" t="s">
        <v>2997</v>
      </c>
      <c r="AZ3" s="14" t="s">
        <v>2997</v>
      </c>
      <c r="BA3" s="14" t="s">
        <v>2997</v>
      </c>
      <c r="BB3" s="14" t="s">
        <v>2997</v>
      </c>
      <c r="BC3" s="14" t="s">
        <v>2997</v>
      </c>
      <c r="BD3" s="14" t="s">
        <v>2997</v>
      </c>
      <c r="BE3" s="14" t="s">
        <v>2997</v>
      </c>
      <c r="BF3" s="14" t="s">
        <v>2997</v>
      </c>
      <c r="BG3" s="14" t="s">
        <v>2997</v>
      </c>
      <c r="BH3" s="14" t="s">
        <v>2997</v>
      </c>
      <c r="BI3" s="14" t="s">
        <v>2997</v>
      </c>
      <c r="BJ3" s="14" t="s">
        <v>2997</v>
      </c>
      <c r="BK3" s="14" t="s">
        <v>2997</v>
      </c>
      <c r="BL3" s="14" t="s">
        <v>2997</v>
      </c>
      <c r="BM3" s="14" t="s">
        <v>2997</v>
      </c>
      <c r="BN3" s="14" t="s">
        <v>2997</v>
      </c>
      <c r="BO3" s="21" t="str">
        <f>CHOOSE(CharGenMain!$B$202,G3,K3,O3,S3,W3,AA3,AE3,AI3,AM3,AQ3,AU3,AY3,BC3,BG3,BK3)</f>
        <v>Thread Max Exceeded</v>
      </c>
      <c r="BP3" s="21" t="str">
        <f>CHOOSE(CharGenMain!$B$202,H3,L3,P3,T3,X3,AB3,AF3,AJ3,AN3,AR3,AV3,AZ3,BD3,BH3,BL3)</f>
        <v>Thread Max Exceeded</v>
      </c>
      <c r="BQ3" s="21" t="str">
        <f>CHOOSE(CharGenMain!$B$202,I3,M3,Q3,U3,Y3,AC3,AG3,AK3,AO3,AS3,AW3,BA3,BE3,BI3,BM3)</f>
        <v>Thread Max Exceeded</v>
      </c>
      <c r="BR3" s="28" t="str">
        <f>CHOOSE(CharGenMain!$B$202,J3,N3,R3,V3,Z3,AD3,AH3,AL3,AP3,AT3,AX3,BB3,BF3,BJ3,BN3)</f>
        <v>Thread Max Exceeded</v>
      </c>
      <c r="BT3" s="226" t="s">
        <v>1343</v>
      </c>
      <c r="BU3" s="14" t="s">
        <v>1344</v>
      </c>
      <c r="BV3" s="14" t="s">
        <v>2667</v>
      </c>
      <c r="BW3" s="14">
        <v>2</v>
      </c>
      <c r="BX3" s="14">
        <v>3</v>
      </c>
      <c r="BY3" s="14">
        <v>13</v>
      </c>
      <c r="BZ3" s="21">
        <v>3</v>
      </c>
      <c r="CA3" s="21">
        <v>0</v>
      </c>
      <c r="CB3" s="21">
        <v>0</v>
      </c>
      <c r="CC3" s="21" t="s">
        <v>1215</v>
      </c>
      <c r="CD3" s="21">
        <v>3</v>
      </c>
      <c r="CE3" s="21">
        <v>1</v>
      </c>
      <c r="CF3" s="21">
        <v>0</v>
      </c>
      <c r="CG3" s="21" t="s">
        <v>1215</v>
      </c>
      <c r="CH3" s="21">
        <v>4</v>
      </c>
      <c r="CI3" s="21">
        <v>1</v>
      </c>
      <c r="CJ3" s="21">
        <v>0</v>
      </c>
      <c r="CK3" s="21" t="s">
        <v>1215</v>
      </c>
      <c r="CL3" s="14" t="s">
        <v>2997</v>
      </c>
      <c r="CM3" s="14" t="s">
        <v>2997</v>
      </c>
      <c r="CN3" s="14" t="s">
        <v>2997</v>
      </c>
      <c r="CO3" s="14" t="s">
        <v>2997</v>
      </c>
      <c r="CP3" s="14" t="s">
        <v>2997</v>
      </c>
      <c r="CQ3" s="14" t="s">
        <v>2997</v>
      </c>
      <c r="CR3" s="14" t="s">
        <v>2997</v>
      </c>
      <c r="CS3" s="14" t="s">
        <v>2997</v>
      </c>
      <c r="CT3" s="14" t="s">
        <v>2997</v>
      </c>
      <c r="CU3" s="14" t="s">
        <v>2997</v>
      </c>
      <c r="CV3" s="14" t="s">
        <v>2997</v>
      </c>
      <c r="CW3" s="14" t="s">
        <v>2997</v>
      </c>
      <c r="CX3" s="14" t="s">
        <v>2997</v>
      </c>
      <c r="CY3" s="14" t="s">
        <v>2997</v>
      </c>
      <c r="CZ3" s="14" t="s">
        <v>2997</v>
      </c>
      <c r="DA3" s="14" t="s">
        <v>2997</v>
      </c>
      <c r="DB3" s="14" t="s">
        <v>2997</v>
      </c>
      <c r="DC3" s="14" t="s">
        <v>2997</v>
      </c>
      <c r="DD3" s="14" t="s">
        <v>2997</v>
      </c>
      <c r="DE3" s="14" t="s">
        <v>2997</v>
      </c>
      <c r="DF3" s="14" t="s">
        <v>2997</v>
      </c>
      <c r="DG3" s="14" t="s">
        <v>2997</v>
      </c>
      <c r="DH3" s="14" t="s">
        <v>2997</v>
      </c>
      <c r="DI3" s="14" t="s">
        <v>2997</v>
      </c>
      <c r="DJ3" s="14" t="s">
        <v>2997</v>
      </c>
      <c r="DK3" s="14" t="s">
        <v>2997</v>
      </c>
      <c r="DL3" s="14" t="s">
        <v>2997</v>
      </c>
      <c r="DM3" s="14" t="s">
        <v>2997</v>
      </c>
      <c r="DN3" s="14" t="s">
        <v>2997</v>
      </c>
      <c r="DO3" s="14" t="s">
        <v>2997</v>
      </c>
      <c r="DP3" s="14" t="s">
        <v>2997</v>
      </c>
      <c r="DQ3" s="14" t="s">
        <v>2997</v>
      </c>
      <c r="DR3" s="14" t="s">
        <v>2997</v>
      </c>
      <c r="DS3" s="14" t="s">
        <v>2997</v>
      </c>
      <c r="DT3" s="14" t="s">
        <v>2997</v>
      </c>
      <c r="DU3" s="14" t="s">
        <v>2997</v>
      </c>
      <c r="DV3" s="14" t="s">
        <v>2997</v>
      </c>
      <c r="DW3" s="14" t="s">
        <v>2997</v>
      </c>
      <c r="DX3" s="14" t="s">
        <v>2997</v>
      </c>
      <c r="DY3" s="14" t="s">
        <v>2997</v>
      </c>
      <c r="DZ3" s="14" t="s">
        <v>2997</v>
      </c>
      <c r="EA3" s="14" t="s">
        <v>2997</v>
      </c>
      <c r="EB3" s="14" t="s">
        <v>2997</v>
      </c>
      <c r="EC3" s="14" t="s">
        <v>2997</v>
      </c>
      <c r="ED3" s="14" t="s">
        <v>2997</v>
      </c>
      <c r="EE3" s="14" t="s">
        <v>2997</v>
      </c>
      <c r="EF3" s="14" t="s">
        <v>2997</v>
      </c>
      <c r="EG3" s="14" t="s">
        <v>2997</v>
      </c>
      <c r="EH3" s="21" t="e">
        <f>CHOOSE(CharGenMain!$B$204,BZ3,CD3,CH3,CL3,CP3,CT3,CX3,DB3,DF3,DJ3,DN3,DR3,DV3,DZ3,ED3)</f>
        <v>#VALUE!</v>
      </c>
      <c r="EI3" s="21" t="e">
        <f>CHOOSE(CharGenMain!$B$204,CA3,CE3,CI3,CM3,CQ3,CU3,CY3,DC3,DG3,DK3,DO3,DS3,DW3,EA3,EE3)</f>
        <v>#VALUE!</v>
      </c>
      <c r="EJ3" s="21" t="e">
        <f>CHOOSE(CharGenMain!$B$204,CB3,CF3,CJ3,CN3,CR3,CV3,CZ3,DD3,DH3,DL3,DP3,DT3,DX3,EB3,EF3)</f>
        <v>#VALUE!</v>
      </c>
      <c r="EK3" s="28" t="e">
        <f>CHOOSE(CharGenMain!$B$204,CC3,CG3,CK3,CO3,CS3,CW3,DA3,DE3,DI3,DM3,DQ3,DU3,DY3,EC3,EG3)</f>
        <v>#VALUE!</v>
      </c>
    </row>
    <row r="4" spans="1:141">
      <c r="A4" s="226" t="s">
        <v>1345</v>
      </c>
      <c r="B4" s="167" t="s">
        <v>2274</v>
      </c>
      <c r="C4" s="14" t="s">
        <v>2667</v>
      </c>
      <c r="D4" s="14">
        <v>2</v>
      </c>
      <c r="E4" s="14">
        <v>6</v>
      </c>
      <c r="F4" s="14">
        <v>14</v>
      </c>
      <c r="G4" s="167">
        <v>1</v>
      </c>
      <c r="H4" s="167">
        <v>0</v>
      </c>
      <c r="I4" s="14">
        <v>0</v>
      </c>
      <c r="J4" s="14" t="s">
        <v>1215</v>
      </c>
      <c r="K4" s="14">
        <v>1</v>
      </c>
      <c r="L4" s="14">
        <v>0</v>
      </c>
      <c r="M4" s="14">
        <v>0</v>
      </c>
      <c r="N4" s="106" t="s">
        <v>2269</v>
      </c>
      <c r="O4" s="14">
        <v>2</v>
      </c>
      <c r="P4" s="14">
        <v>0</v>
      </c>
      <c r="Q4" s="14">
        <v>0</v>
      </c>
      <c r="R4" s="106" t="s">
        <v>1346</v>
      </c>
      <c r="S4" s="14">
        <v>2</v>
      </c>
      <c r="T4" s="14">
        <v>0</v>
      </c>
      <c r="U4" s="14">
        <v>0</v>
      </c>
      <c r="V4" s="106" t="s">
        <v>1347</v>
      </c>
      <c r="W4" s="14">
        <v>3</v>
      </c>
      <c r="X4" s="14">
        <v>0</v>
      </c>
      <c r="Y4" s="14">
        <v>0</v>
      </c>
      <c r="Z4" s="106" t="s">
        <v>1463</v>
      </c>
      <c r="AA4" s="14">
        <v>3</v>
      </c>
      <c r="AB4" s="14">
        <v>0</v>
      </c>
      <c r="AC4" s="14">
        <v>0</v>
      </c>
      <c r="AD4" s="106" t="s">
        <v>1571</v>
      </c>
      <c r="AE4" s="14" t="s">
        <v>2997</v>
      </c>
      <c r="AF4" s="14" t="s">
        <v>2997</v>
      </c>
      <c r="AG4" s="14" t="s">
        <v>2997</v>
      </c>
      <c r="AH4" s="14" t="s">
        <v>2997</v>
      </c>
      <c r="AI4" s="14" t="s">
        <v>2997</v>
      </c>
      <c r="AJ4" s="14" t="s">
        <v>2997</v>
      </c>
      <c r="AK4" s="14" t="s">
        <v>2997</v>
      </c>
      <c r="AL4" s="14" t="s">
        <v>2997</v>
      </c>
      <c r="AM4" s="14" t="s">
        <v>2997</v>
      </c>
      <c r="AN4" s="14" t="s">
        <v>2997</v>
      </c>
      <c r="AO4" s="14" t="s">
        <v>2997</v>
      </c>
      <c r="AP4" s="14" t="s">
        <v>2997</v>
      </c>
      <c r="AQ4" s="14" t="s">
        <v>2997</v>
      </c>
      <c r="AR4" s="14" t="s">
        <v>2997</v>
      </c>
      <c r="AS4" s="14" t="s">
        <v>2997</v>
      </c>
      <c r="AT4" s="14" t="s">
        <v>2997</v>
      </c>
      <c r="AU4" s="14" t="s">
        <v>2997</v>
      </c>
      <c r="AV4" s="14" t="s">
        <v>2997</v>
      </c>
      <c r="AW4" s="14" t="s">
        <v>2997</v>
      </c>
      <c r="AX4" s="14" t="s">
        <v>2997</v>
      </c>
      <c r="AY4" s="14" t="s">
        <v>2997</v>
      </c>
      <c r="AZ4" s="14" t="s">
        <v>2997</v>
      </c>
      <c r="BA4" s="14" t="s">
        <v>2997</v>
      </c>
      <c r="BB4" s="14" t="s">
        <v>2997</v>
      </c>
      <c r="BC4" s="14" t="s">
        <v>2997</v>
      </c>
      <c r="BD4" s="14" t="s">
        <v>2997</v>
      </c>
      <c r="BE4" s="14" t="s">
        <v>2997</v>
      </c>
      <c r="BF4" s="14" t="s">
        <v>2997</v>
      </c>
      <c r="BG4" s="14" t="s">
        <v>2997</v>
      </c>
      <c r="BH4" s="14" t="s">
        <v>2997</v>
      </c>
      <c r="BI4" s="14" t="s">
        <v>2997</v>
      </c>
      <c r="BJ4" s="14" t="s">
        <v>2997</v>
      </c>
      <c r="BK4" s="14" t="s">
        <v>2997</v>
      </c>
      <c r="BL4" s="14" t="s">
        <v>2997</v>
      </c>
      <c r="BM4" s="14" t="s">
        <v>2997</v>
      </c>
      <c r="BN4" s="14" t="s">
        <v>2997</v>
      </c>
      <c r="BO4" s="21">
        <f>CHOOSE(CharGenMain!$B$202,G4,K4,O4,S4,W4,AA4,AE4,AI4,AM4,AQ4,AU4,AY4,BC4,BG4,BK4)</f>
        <v>3</v>
      </c>
      <c r="BP4" s="21">
        <f>CHOOSE(CharGenMain!$B$202,H4,L4,P4,T4,X4,AB4,AF4,AJ4,AN4,AR4,AV4,AZ4,BD4,BH4,BL4)</f>
        <v>0</v>
      </c>
      <c r="BQ4" s="21">
        <f>CHOOSE(CharGenMain!$B$202,I4,M4,Q4,U4,Y4,AC4,AG4,AK4,AO4,AS4,AW4,BA4,BE4,BI4,BM4)</f>
        <v>0</v>
      </c>
      <c r="BR4" s="28" t="str">
        <f>CHOOSE(CharGenMain!$B$202,J4,N4,R4,V4,Z4,AD4,AH4,AL4,AP4,AT4,AX4,BB4,BF4,BJ4,BN4)</f>
        <v>+3 soc def, deflection +4, +3 to intimidation test</v>
      </c>
      <c r="BT4" s="20" t="s">
        <v>1572</v>
      </c>
      <c r="BU4" s="14" t="s">
        <v>1573</v>
      </c>
      <c r="BV4" s="14" t="s">
        <v>2667</v>
      </c>
      <c r="BW4" s="14">
        <v>3</v>
      </c>
      <c r="BX4" s="14">
        <v>4</v>
      </c>
      <c r="BY4" s="14">
        <v>19</v>
      </c>
      <c r="BZ4" s="21">
        <v>2</v>
      </c>
      <c r="CA4" s="21">
        <v>1</v>
      </c>
      <c r="CB4" s="21">
        <v>0</v>
      </c>
      <c r="CC4" s="21" t="s">
        <v>1215</v>
      </c>
      <c r="CD4" s="21">
        <v>3</v>
      </c>
      <c r="CE4" s="21">
        <v>2</v>
      </c>
      <c r="CF4" s="21">
        <v>0</v>
      </c>
      <c r="CG4" s="21" t="s">
        <v>1215</v>
      </c>
      <c r="CH4" s="21">
        <v>4</v>
      </c>
      <c r="CI4" s="21">
        <v>3</v>
      </c>
      <c r="CJ4" s="21">
        <v>0</v>
      </c>
      <c r="CK4" s="21" t="s">
        <v>1215</v>
      </c>
      <c r="CL4" s="21">
        <v>5</v>
      </c>
      <c r="CM4" s="21">
        <v>4</v>
      </c>
      <c r="CN4" s="21">
        <v>0</v>
      </c>
      <c r="CO4" s="21" t="s">
        <v>1215</v>
      </c>
      <c r="CP4" s="14" t="s">
        <v>2997</v>
      </c>
      <c r="CQ4" s="14" t="s">
        <v>2997</v>
      </c>
      <c r="CR4" s="14" t="s">
        <v>2997</v>
      </c>
      <c r="CS4" s="14" t="s">
        <v>2997</v>
      </c>
      <c r="CT4" s="14" t="s">
        <v>2997</v>
      </c>
      <c r="CU4" s="14" t="s">
        <v>2997</v>
      </c>
      <c r="CV4" s="14" t="s">
        <v>2997</v>
      </c>
      <c r="CW4" s="14" t="s">
        <v>2997</v>
      </c>
      <c r="CX4" s="14" t="s">
        <v>2997</v>
      </c>
      <c r="CY4" s="14" t="s">
        <v>2997</v>
      </c>
      <c r="CZ4" s="14" t="s">
        <v>2997</v>
      </c>
      <c r="DA4" s="14" t="s">
        <v>2997</v>
      </c>
      <c r="DB4" s="14" t="s">
        <v>2997</v>
      </c>
      <c r="DC4" s="14" t="s">
        <v>2997</v>
      </c>
      <c r="DD4" s="14" t="s">
        <v>2997</v>
      </c>
      <c r="DE4" s="14" t="s">
        <v>2997</v>
      </c>
      <c r="DF4" s="14" t="s">
        <v>2997</v>
      </c>
      <c r="DG4" s="14" t="s">
        <v>2997</v>
      </c>
      <c r="DH4" s="14" t="s">
        <v>2997</v>
      </c>
      <c r="DI4" s="14" t="s">
        <v>2997</v>
      </c>
      <c r="DJ4" s="14" t="s">
        <v>2997</v>
      </c>
      <c r="DK4" s="14" t="s">
        <v>2997</v>
      </c>
      <c r="DL4" s="14" t="s">
        <v>2997</v>
      </c>
      <c r="DM4" s="14" t="s">
        <v>2997</v>
      </c>
      <c r="DN4" s="14" t="s">
        <v>2997</v>
      </c>
      <c r="DO4" s="14" t="s">
        <v>2997</v>
      </c>
      <c r="DP4" s="14" t="s">
        <v>2997</v>
      </c>
      <c r="DQ4" s="14" t="s">
        <v>2997</v>
      </c>
      <c r="DR4" s="14" t="s">
        <v>2997</v>
      </c>
      <c r="DS4" s="14" t="s">
        <v>2997</v>
      </c>
      <c r="DT4" s="14" t="s">
        <v>2997</v>
      </c>
      <c r="DU4" s="14" t="s">
        <v>2997</v>
      </c>
      <c r="DV4" s="14" t="s">
        <v>2997</v>
      </c>
      <c r="DW4" s="14" t="s">
        <v>2997</v>
      </c>
      <c r="DX4" s="14" t="s">
        <v>2997</v>
      </c>
      <c r="DY4" s="14" t="s">
        <v>2997</v>
      </c>
      <c r="DZ4" s="14" t="s">
        <v>2997</v>
      </c>
      <c r="EA4" s="14" t="s">
        <v>2997</v>
      </c>
      <c r="EB4" s="14" t="s">
        <v>2997</v>
      </c>
      <c r="EC4" s="14" t="s">
        <v>2997</v>
      </c>
      <c r="ED4" s="14" t="s">
        <v>2997</v>
      </c>
      <c r="EE4" s="14" t="s">
        <v>2997</v>
      </c>
      <c r="EF4" s="14" t="s">
        <v>2997</v>
      </c>
      <c r="EG4" s="14" t="s">
        <v>2997</v>
      </c>
      <c r="EH4" s="21" t="e">
        <f>CHOOSE(CharGenMain!$B$204,BZ4,CD4,CH4,CL4,CP4,CT4,CX4,DB4,DF4,DJ4,DN4,DR4,DV4,DZ4,ED4)</f>
        <v>#VALUE!</v>
      </c>
      <c r="EI4" s="21" t="e">
        <f>CHOOSE(CharGenMain!$B$204,CA4,CE4,CI4,CM4,CQ4,CU4,CY4,DC4,DG4,DK4,DO4,DS4,DW4,EA4,EE4)</f>
        <v>#VALUE!</v>
      </c>
      <c r="EJ4" s="21" t="e">
        <f>CHOOSE(CharGenMain!$B$204,CB4,CF4,CJ4,CN4,CR4,CV4,CZ4,DD4,DH4,DL4,DP4,DT4,DX4,EB4,EF4)</f>
        <v>#VALUE!</v>
      </c>
      <c r="EK4" s="28" t="e">
        <f>CHOOSE(CharGenMain!$B$204,CC4,CG4,CK4,CO4,CS4,CW4,DA4,DE4,DI4,DM4,DQ4,DU4,DY4,EC4,EG4)</f>
        <v>#VALUE!</v>
      </c>
    </row>
    <row r="5" spans="1:141">
      <c r="A5" s="226" t="s">
        <v>1350</v>
      </c>
      <c r="B5" s="14" t="s">
        <v>1573</v>
      </c>
      <c r="C5" s="14" t="s">
        <v>2667</v>
      </c>
      <c r="D5" s="14">
        <v>2</v>
      </c>
      <c r="E5" s="14">
        <v>4</v>
      </c>
      <c r="F5" s="14">
        <v>13</v>
      </c>
      <c r="G5" s="14">
        <v>8</v>
      </c>
      <c r="H5" s="14">
        <v>0</v>
      </c>
      <c r="I5" s="14">
        <v>-3</v>
      </c>
      <c r="J5" s="14" t="s">
        <v>1215</v>
      </c>
      <c r="K5" s="14">
        <v>8</v>
      </c>
      <c r="L5" s="14">
        <v>1</v>
      </c>
      <c r="M5" s="14">
        <v>-3</v>
      </c>
      <c r="N5" s="14" t="s">
        <v>1215</v>
      </c>
      <c r="O5" s="14">
        <v>9</v>
      </c>
      <c r="P5" s="14">
        <v>1</v>
      </c>
      <c r="Q5" s="14">
        <v>0</v>
      </c>
      <c r="R5" s="14" t="s">
        <v>1215</v>
      </c>
      <c r="S5" s="14">
        <v>10</v>
      </c>
      <c r="T5" s="14">
        <v>2</v>
      </c>
      <c r="U5" s="14">
        <v>0</v>
      </c>
      <c r="V5" s="14" t="s">
        <v>1215</v>
      </c>
      <c r="W5" s="14" t="s">
        <v>2997</v>
      </c>
      <c r="X5" s="14" t="s">
        <v>2997</v>
      </c>
      <c r="Y5" s="14" t="s">
        <v>2997</v>
      </c>
      <c r="Z5" s="14" t="s">
        <v>2997</v>
      </c>
      <c r="AA5" s="14" t="s">
        <v>2997</v>
      </c>
      <c r="AB5" s="14" t="s">
        <v>2997</v>
      </c>
      <c r="AC5" s="14" t="s">
        <v>2997</v>
      </c>
      <c r="AD5" s="14" t="s">
        <v>2997</v>
      </c>
      <c r="AE5" s="14" t="s">
        <v>2997</v>
      </c>
      <c r="AF5" s="14" t="s">
        <v>2997</v>
      </c>
      <c r="AG5" s="14" t="s">
        <v>2997</v>
      </c>
      <c r="AH5" s="14" t="s">
        <v>2997</v>
      </c>
      <c r="AI5" s="14" t="s">
        <v>2997</v>
      </c>
      <c r="AJ5" s="14" t="s">
        <v>2997</v>
      </c>
      <c r="AK5" s="14" t="s">
        <v>2997</v>
      </c>
      <c r="AL5" s="14" t="s">
        <v>2997</v>
      </c>
      <c r="AM5" s="14" t="s">
        <v>2997</v>
      </c>
      <c r="AN5" s="14" t="s">
        <v>2997</v>
      </c>
      <c r="AO5" s="14" t="s">
        <v>2997</v>
      </c>
      <c r="AP5" s="14" t="s">
        <v>2997</v>
      </c>
      <c r="AQ5" s="14" t="s">
        <v>2997</v>
      </c>
      <c r="AR5" s="14" t="s">
        <v>2997</v>
      </c>
      <c r="AS5" s="14" t="s">
        <v>2997</v>
      </c>
      <c r="AT5" s="14" t="s">
        <v>2997</v>
      </c>
      <c r="AU5" s="14" t="s">
        <v>2997</v>
      </c>
      <c r="AV5" s="14" t="s">
        <v>2997</v>
      </c>
      <c r="AW5" s="14" t="s">
        <v>2997</v>
      </c>
      <c r="AX5" s="14" t="s">
        <v>2997</v>
      </c>
      <c r="AY5" s="14" t="s">
        <v>2997</v>
      </c>
      <c r="AZ5" s="14" t="s">
        <v>2997</v>
      </c>
      <c r="BA5" s="14" t="s">
        <v>2997</v>
      </c>
      <c r="BB5" s="14" t="s">
        <v>2997</v>
      </c>
      <c r="BC5" s="14" t="s">
        <v>2997</v>
      </c>
      <c r="BD5" s="14" t="s">
        <v>2997</v>
      </c>
      <c r="BE5" s="14" t="s">
        <v>2997</v>
      </c>
      <c r="BF5" s="14" t="s">
        <v>2997</v>
      </c>
      <c r="BG5" s="14" t="s">
        <v>2997</v>
      </c>
      <c r="BH5" s="14" t="s">
        <v>2997</v>
      </c>
      <c r="BI5" s="14" t="s">
        <v>2997</v>
      </c>
      <c r="BJ5" s="14" t="s">
        <v>2997</v>
      </c>
      <c r="BK5" s="14" t="s">
        <v>2997</v>
      </c>
      <c r="BL5" s="14" t="s">
        <v>2997</v>
      </c>
      <c r="BM5" s="14" t="s">
        <v>2997</v>
      </c>
      <c r="BN5" s="14" t="s">
        <v>2997</v>
      </c>
      <c r="BO5" s="21" t="str">
        <f>CHOOSE(CharGenMain!$B$202,G5,K5,O5,S5,W5,AA5,AE5,AI5,AM5,AQ5,AU5,AY5,BC5,BG5,BK5)</f>
        <v>Thread Max Exceeded</v>
      </c>
      <c r="BP5" s="21" t="str">
        <f>CHOOSE(CharGenMain!$B$202,H5,L5,P5,T5,X5,AB5,AF5,AJ5,AN5,AR5,AV5,AZ5,BD5,BH5,BL5)</f>
        <v>Thread Max Exceeded</v>
      </c>
      <c r="BQ5" s="21" t="str">
        <f>CHOOSE(CharGenMain!$B$202,I5,M5,Q5,U5,Y5,AC5,AG5,AK5,AO5,AS5,AW5,BA5,BE5,BI5,BM5)</f>
        <v>Thread Max Exceeded</v>
      </c>
      <c r="BR5" s="28" t="str">
        <f>CHOOSE(CharGenMain!$B$202,J5,N5,R5,V5,Z5,AD5,AH5,AL5,AP5,AT5,AX5,BB5,BF5,BJ5,BN5)</f>
        <v>Thread Max Exceeded</v>
      </c>
      <c r="BT5" s="20" t="s">
        <v>1351</v>
      </c>
      <c r="BU5" s="14" t="s">
        <v>1464</v>
      </c>
      <c r="BV5" s="14" t="s">
        <v>2279</v>
      </c>
      <c r="BW5" s="14">
        <v>3</v>
      </c>
      <c r="BX5" s="14">
        <v>9</v>
      </c>
      <c r="BY5" s="14">
        <v>14</v>
      </c>
      <c r="BZ5" s="168">
        <v>1</v>
      </c>
      <c r="CA5" s="168">
        <v>0</v>
      </c>
      <c r="CB5" s="168">
        <v>0</v>
      </c>
      <c r="CC5" s="101" t="s">
        <v>1465</v>
      </c>
      <c r="CD5" s="168">
        <v>2</v>
      </c>
      <c r="CE5" s="168">
        <v>0</v>
      </c>
      <c r="CF5" s="168">
        <v>0</v>
      </c>
      <c r="CG5" s="101" t="s">
        <v>1465</v>
      </c>
      <c r="CH5" s="168">
        <v>2</v>
      </c>
      <c r="CI5" s="168">
        <v>0</v>
      </c>
      <c r="CJ5" s="168">
        <v>0</v>
      </c>
      <c r="CK5" s="101" t="s">
        <v>1466</v>
      </c>
      <c r="CL5" s="168">
        <v>2</v>
      </c>
      <c r="CM5" s="168">
        <v>1</v>
      </c>
      <c r="CN5" s="168">
        <v>0</v>
      </c>
      <c r="CO5" s="101" t="s">
        <v>1466</v>
      </c>
      <c r="CP5" s="168">
        <v>2</v>
      </c>
      <c r="CQ5" s="168">
        <v>1</v>
      </c>
      <c r="CR5" s="168">
        <v>0</v>
      </c>
      <c r="CS5" s="101" t="s">
        <v>1467</v>
      </c>
      <c r="CT5" s="168">
        <v>3</v>
      </c>
      <c r="CU5" s="168">
        <v>1</v>
      </c>
      <c r="CV5" s="168">
        <v>0</v>
      </c>
      <c r="CW5" s="101" t="s">
        <v>1467</v>
      </c>
      <c r="CX5" s="168">
        <v>3</v>
      </c>
      <c r="CY5" s="168">
        <v>1</v>
      </c>
      <c r="CZ5" s="168">
        <v>0</v>
      </c>
      <c r="DA5" s="101" t="s">
        <v>1355</v>
      </c>
      <c r="DB5" s="168">
        <v>3</v>
      </c>
      <c r="DC5" s="168">
        <v>2</v>
      </c>
      <c r="DD5" s="168">
        <v>0</v>
      </c>
      <c r="DE5" s="101" t="s">
        <v>1356</v>
      </c>
      <c r="DF5" s="168">
        <v>3</v>
      </c>
      <c r="DG5" s="168">
        <v>2</v>
      </c>
      <c r="DH5" s="168">
        <v>0</v>
      </c>
      <c r="DI5" s="101" t="s">
        <v>1357</v>
      </c>
      <c r="DJ5" s="14" t="s">
        <v>2997</v>
      </c>
      <c r="DK5" s="14" t="s">
        <v>2997</v>
      </c>
      <c r="DL5" s="14" t="s">
        <v>2997</v>
      </c>
      <c r="DM5" s="14" t="s">
        <v>2997</v>
      </c>
      <c r="DN5" s="14" t="s">
        <v>2997</v>
      </c>
      <c r="DO5" s="14" t="s">
        <v>2997</v>
      </c>
      <c r="DP5" s="14" t="s">
        <v>2997</v>
      </c>
      <c r="DQ5" s="14" t="s">
        <v>2997</v>
      </c>
      <c r="DR5" s="14" t="s">
        <v>2997</v>
      </c>
      <c r="DS5" s="14" t="s">
        <v>2997</v>
      </c>
      <c r="DT5" s="14" t="s">
        <v>2997</v>
      </c>
      <c r="DU5" s="14" t="s">
        <v>2997</v>
      </c>
      <c r="DV5" s="14" t="s">
        <v>2997</v>
      </c>
      <c r="DW5" s="14" t="s">
        <v>2997</v>
      </c>
      <c r="DX5" s="14" t="s">
        <v>2997</v>
      </c>
      <c r="DY5" s="14" t="s">
        <v>2997</v>
      </c>
      <c r="DZ5" s="14" t="s">
        <v>2997</v>
      </c>
      <c r="EA5" s="14" t="s">
        <v>2997</v>
      </c>
      <c r="EB5" s="14" t="s">
        <v>2997</v>
      </c>
      <c r="EC5" s="14" t="s">
        <v>2997</v>
      </c>
      <c r="ED5" s="14" t="s">
        <v>2997</v>
      </c>
      <c r="EE5" s="14" t="s">
        <v>2997</v>
      </c>
      <c r="EF5" s="14" t="s">
        <v>2997</v>
      </c>
      <c r="EG5" s="14" t="s">
        <v>2997</v>
      </c>
      <c r="EH5" s="21" t="e">
        <f>CHOOSE(CharGenMain!$B$204,BZ5,CD5,CH5,CL5,CP5,CT5,CX5,DB5,DF5,DJ5,DN5,DR5,DV5,DZ5,ED5)</f>
        <v>#VALUE!</v>
      </c>
      <c r="EI5" s="21" t="e">
        <f>CHOOSE(CharGenMain!$B$204,CA5,CE5,CI5,CM5,CQ5,CU5,CY5,DC5,DG5,DK5,DO5,DS5,DW5,EA5,EE5)</f>
        <v>#VALUE!</v>
      </c>
      <c r="EJ5" s="21" t="e">
        <f>CHOOSE(CharGenMain!$B$204,CB5,CF5,CJ5,CN5,CR5,CV5,CZ5,DD5,DH5,DL5,DP5,DT5,DX5,EB5,EF5)</f>
        <v>#VALUE!</v>
      </c>
      <c r="EK5" s="28" t="e">
        <f>CHOOSE(CharGenMain!$B$204,CC5,CG5,CK5,CO5,CS5,CW5,DA5,DE5,DI5,DM5,DQ5,DU5,DY5,EC5,EG5)</f>
        <v>#VALUE!</v>
      </c>
    </row>
    <row r="6" spans="1:141">
      <c r="A6" s="226" t="s">
        <v>5736</v>
      </c>
      <c r="B6" s="14" t="s">
        <v>531</v>
      </c>
      <c r="C6" s="14" t="s">
        <v>2667</v>
      </c>
      <c r="D6" s="14">
        <v>2</v>
      </c>
      <c r="E6" s="14">
        <v>6</v>
      </c>
      <c r="F6" s="14">
        <v>14</v>
      </c>
      <c r="G6" s="14">
        <v>5</v>
      </c>
      <c r="H6" s="14">
        <v>1</v>
      </c>
      <c r="I6" s="14">
        <v>-1</v>
      </c>
      <c r="J6" s="106" t="s">
        <v>5737</v>
      </c>
      <c r="K6" s="14">
        <v>5</v>
      </c>
      <c r="L6" s="14">
        <v>1</v>
      </c>
      <c r="M6" s="14">
        <v>0</v>
      </c>
      <c r="N6" s="106" t="s">
        <v>5737</v>
      </c>
      <c r="O6" s="14">
        <v>5</v>
      </c>
      <c r="P6" s="14">
        <v>1</v>
      </c>
      <c r="Q6" s="14">
        <v>0</v>
      </c>
      <c r="R6" s="106" t="s">
        <v>5738</v>
      </c>
      <c r="S6" s="14">
        <v>5</v>
      </c>
      <c r="T6" s="14">
        <v>2</v>
      </c>
      <c r="U6" s="14">
        <v>0</v>
      </c>
      <c r="V6" s="106" t="s">
        <v>5738</v>
      </c>
      <c r="W6" s="14">
        <v>5</v>
      </c>
      <c r="X6" s="14">
        <v>2</v>
      </c>
      <c r="Y6" s="14">
        <v>0</v>
      </c>
      <c r="Z6" s="106" t="s">
        <v>5739</v>
      </c>
      <c r="AA6" s="14">
        <v>6</v>
      </c>
      <c r="AB6" s="14">
        <v>2</v>
      </c>
      <c r="AC6" s="14">
        <v>0</v>
      </c>
      <c r="AD6" s="106" t="s">
        <v>5739</v>
      </c>
      <c r="AE6" s="14" t="s">
        <v>2997</v>
      </c>
      <c r="AF6" s="14" t="s">
        <v>2997</v>
      </c>
      <c r="AG6" s="14" t="s">
        <v>2997</v>
      </c>
      <c r="AH6" s="14" t="s">
        <v>2997</v>
      </c>
      <c r="AI6" s="14" t="s">
        <v>2997</v>
      </c>
      <c r="AJ6" s="14" t="s">
        <v>2997</v>
      </c>
      <c r="AK6" s="14" t="s">
        <v>2997</v>
      </c>
      <c r="AL6" s="14" t="s">
        <v>2997</v>
      </c>
      <c r="AM6" s="14" t="s">
        <v>2997</v>
      </c>
      <c r="AN6" s="14" t="s">
        <v>2997</v>
      </c>
      <c r="AO6" s="14" t="s">
        <v>2997</v>
      </c>
      <c r="AP6" s="14" t="s">
        <v>2997</v>
      </c>
      <c r="AQ6" s="14" t="s">
        <v>2997</v>
      </c>
      <c r="AR6" s="14" t="s">
        <v>2997</v>
      </c>
      <c r="AS6" s="14" t="s">
        <v>2997</v>
      </c>
      <c r="AT6" s="14" t="s">
        <v>2997</v>
      </c>
      <c r="AU6" s="14" t="s">
        <v>2997</v>
      </c>
      <c r="AV6" s="14" t="s">
        <v>2997</v>
      </c>
      <c r="AW6" s="14" t="s">
        <v>2997</v>
      </c>
      <c r="AX6" s="14" t="s">
        <v>2997</v>
      </c>
      <c r="AY6" s="14" t="s">
        <v>2997</v>
      </c>
      <c r="AZ6" s="14" t="s">
        <v>2997</v>
      </c>
      <c r="BA6" s="14" t="s">
        <v>2997</v>
      </c>
      <c r="BB6" s="14" t="s">
        <v>2997</v>
      </c>
      <c r="BC6" s="14" t="s">
        <v>2997</v>
      </c>
      <c r="BD6" s="14" t="s">
        <v>2997</v>
      </c>
      <c r="BE6" s="14" t="s">
        <v>2997</v>
      </c>
      <c r="BF6" s="14" t="s">
        <v>2997</v>
      </c>
      <c r="BG6" s="14" t="s">
        <v>2997</v>
      </c>
      <c r="BH6" s="14" t="s">
        <v>2997</v>
      </c>
      <c r="BI6" s="14" t="s">
        <v>2997</v>
      </c>
      <c r="BJ6" s="14" t="s">
        <v>2997</v>
      </c>
      <c r="BK6" s="14" t="s">
        <v>2997</v>
      </c>
      <c r="BL6" s="14" t="s">
        <v>2997</v>
      </c>
      <c r="BM6" s="14" t="s">
        <v>2997</v>
      </c>
      <c r="BN6" s="14" t="s">
        <v>2997</v>
      </c>
      <c r="BO6" s="21">
        <f>CHOOSE(CharGenMain!$B$202,G6,K6,O6,S6,W6,AA6,AE6,AI6,AM6,AQ6,AU6,AY6,BC6,BG6,BK6)</f>
        <v>6</v>
      </c>
      <c r="BP6" s="21">
        <f>CHOOSE(CharGenMain!$B$202,H6,L6,P6,T6,X6,AB6,AF6,AJ6,AN6,AR6,AV6,AZ6,BD6,BH6,BL6)</f>
        <v>2</v>
      </c>
      <c r="BQ6" s="21">
        <f>CHOOSE(CharGenMain!$B$202,I6,M6,Q6,U6,Y6,AC6,AG6,AK6,AO6,AS6,AW6,BA6,BE6,BI6,BM6)</f>
        <v>0</v>
      </c>
      <c r="BR6" s="28" t="str">
        <f>CHOOSE(CharGenMain!$B$202,J6,N6,R6,V6,Z6,AD6,AH6,AL6,AP6,AT6,AX6,BB6,BF6,BJ6,BN6)</f>
        <v>+2 to Conceal Object, Change armor appearance &amp; +3 Disguise Self for 1 strain</v>
      </c>
      <c r="BT6" s="20" t="s">
        <v>1360</v>
      </c>
      <c r="BU6" s="14" t="s">
        <v>1361</v>
      </c>
      <c r="BV6" s="14" t="s">
        <v>2279</v>
      </c>
      <c r="BW6" s="14">
        <v>3</v>
      </c>
      <c r="BX6" s="14">
        <v>9</v>
      </c>
      <c r="BY6" s="14">
        <v>14</v>
      </c>
      <c r="BZ6" s="168">
        <v>5</v>
      </c>
      <c r="CA6" s="168">
        <v>0</v>
      </c>
      <c r="CB6" s="168">
        <v>-2</v>
      </c>
      <c r="CC6" s="101" t="s">
        <v>1241</v>
      </c>
      <c r="CD6" s="168">
        <v>6</v>
      </c>
      <c r="CE6" s="168">
        <v>0</v>
      </c>
      <c r="CF6" s="168">
        <v>-2</v>
      </c>
      <c r="CG6" s="101" t="s">
        <v>1241</v>
      </c>
      <c r="CH6" s="168">
        <v>6</v>
      </c>
      <c r="CI6" s="168">
        <v>0</v>
      </c>
      <c r="CJ6" s="168">
        <v>-2</v>
      </c>
      <c r="CK6" s="101" t="s">
        <v>1242</v>
      </c>
      <c r="CL6" s="168">
        <v>6</v>
      </c>
      <c r="CM6" s="168">
        <v>1</v>
      </c>
      <c r="CN6" s="168">
        <v>-2</v>
      </c>
      <c r="CO6" s="101" t="s">
        <v>1242</v>
      </c>
      <c r="CP6" s="168">
        <v>6</v>
      </c>
      <c r="CQ6" s="168">
        <v>1</v>
      </c>
      <c r="CR6" s="168">
        <v>-2</v>
      </c>
      <c r="CS6" s="101" t="s">
        <v>1243</v>
      </c>
      <c r="CT6" s="168">
        <v>7</v>
      </c>
      <c r="CU6" s="168">
        <v>1</v>
      </c>
      <c r="CV6" s="168">
        <v>-1</v>
      </c>
      <c r="CW6" s="101" t="s">
        <v>1243</v>
      </c>
      <c r="CX6" s="168">
        <v>7</v>
      </c>
      <c r="CY6" s="168">
        <v>1</v>
      </c>
      <c r="CZ6" s="168">
        <v>-1</v>
      </c>
      <c r="DA6" s="101" t="s">
        <v>1126</v>
      </c>
      <c r="DB6" s="168">
        <v>7</v>
      </c>
      <c r="DC6" s="168">
        <v>1</v>
      </c>
      <c r="DD6" s="168">
        <v>-1</v>
      </c>
      <c r="DE6" s="101" t="s">
        <v>1127</v>
      </c>
      <c r="DF6" s="168">
        <v>7</v>
      </c>
      <c r="DG6" s="168">
        <v>1</v>
      </c>
      <c r="DH6" s="168">
        <v>-1</v>
      </c>
      <c r="DI6" s="101" t="s">
        <v>1128</v>
      </c>
      <c r="DJ6" s="14" t="s">
        <v>2997</v>
      </c>
      <c r="DK6" s="14" t="s">
        <v>2997</v>
      </c>
      <c r="DL6" s="14" t="s">
        <v>2997</v>
      </c>
      <c r="DM6" s="14" t="s">
        <v>2997</v>
      </c>
      <c r="DN6" s="14" t="s">
        <v>2997</v>
      </c>
      <c r="DO6" s="14" t="s">
        <v>2997</v>
      </c>
      <c r="DP6" s="14" t="s">
        <v>2997</v>
      </c>
      <c r="DQ6" s="14" t="s">
        <v>2997</v>
      </c>
      <c r="DR6" s="14" t="s">
        <v>2997</v>
      </c>
      <c r="DS6" s="14" t="s">
        <v>2997</v>
      </c>
      <c r="DT6" s="14" t="s">
        <v>2997</v>
      </c>
      <c r="DU6" s="14" t="s">
        <v>2997</v>
      </c>
      <c r="DV6" s="14" t="s">
        <v>2997</v>
      </c>
      <c r="DW6" s="14" t="s">
        <v>2997</v>
      </c>
      <c r="DX6" s="14" t="s">
        <v>2997</v>
      </c>
      <c r="DY6" s="14" t="s">
        <v>2997</v>
      </c>
      <c r="DZ6" s="14" t="s">
        <v>2997</v>
      </c>
      <c r="EA6" s="14" t="s">
        <v>2997</v>
      </c>
      <c r="EB6" s="14" t="s">
        <v>2997</v>
      </c>
      <c r="EC6" s="14" t="s">
        <v>2997</v>
      </c>
      <c r="ED6" s="14" t="s">
        <v>2997</v>
      </c>
      <c r="EE6" s="14" t="s">
        <v>2997</v>
      </c>
      <c r="EF6" s="14" t="s">
        <v>2997</v>
      </c>
      <c r="EG6" s="14" t="s">
        <v>2997</v>
      </c>
      <c r="EH6" s="21" t="e">
        <f>CHOOSE(CharGenMain!$B$204,BZ6,CD6,CH6,CL6,CP6,CT6,CX6,DB6,DF6,DJ6,DN6,DR6,DV6,DZ6,ED6)</f>
        <v>#VALUE!</v>
      </c>
      <c r="EI6" s="21" t="e">
        <f>CHOOSE(CharGenMain!$B$204,CA6,CE6,CI6,CM6,CQ6,CU6,CY6,DC6,DG6,DK6,DO6,DS6,DW6,EA6,EE6)</f>
        <v>#VALUE!</v>
      </c>
      <c r="EJ6" s="21" t="e">
        <f>CHOOSE(CharGenMain!$B$204,CB6,CF6,CJ6,CN6,CR6,CV6,CZ6,DD6,DH6,DL6,DP6,DT6,DX6,EB6,EF6)</f>
        <v>#VALUE!</v>
      </c>
      <c r="EK6" s="28" t="e">
        <f>CHOOSE(CharGenMain!$B$204,CC6,CG6,CK6,CO6,CS6,CW6,DA6,DE6,DI6,DM6,DQ6,DU6,DY6,EC6,EG6)</f>
        <v>#VALUE!</v>
      </c>
    </row>
    <row r="7" spans="1:141">
      <c r="A7" s="226" t="s">
        <v>1358</v>
      </c>
      <c r="B7" s="14" t="s">
        <v>1359</v>
      </c>
      <c r="C7" s="14" t="s">
        <v>2667</v>
      </c>
      <c r="D7" s="14">
        <v>3</v>
      </c>
      <c r="E7" s="14">
        <v>5</v>
      </c>
      <c r="F7" s="14">
        <v>19</v>
      </c>
      <c r="G7" s="14">
        <v>8</v>
      </c>
      <c r="H7" s="14">
        <v>8</v>
      </c>
      <c r="I7" s="14">
        <v>-5</v>
      </c>
      <c r="J7" s="14" t="s">
        <v>1215</v>
      </c>
      <c r="K7" s="14">
        <v>9</v>
      </c>
      <c r="L7" s="14">
        <v>9</v>
      </c>
      <c r="M7" s="14">
        <v>-5</v>
      </c>
      <c r="N7" s="14" t="s">
        <v>1215</v>
      </c>
      <c r="O7" s="14">
        <v>9</v>
      </c>
      <c r="P7" s="14">
        <v>9</v>
      </c>
      <c r="Q7" s="14">
        <v>-4</v>
      </c>
      <c r="R7" s="14" t="s">
        <v>1215</v>
      </c>
      <c r="S7" s="14">
        <v>9</v>
      </c>
      <c r="T7" s="14">
        <v>9</v>
      </c>
      <c r="U7" s="14">
        <v>-3</v>
      </c>
      <c r="V7" s="14" t="s">
        <v>1215</v>
      </c>
      <c r="W7" s="14">
        <v>10</v>
      </c>
      <c r="X7" s="14">
        <v>10</v>
      </c>
      <c r="Y7" s="14">
        <v>-3</v>
      </c>
      <c r="Z7" s="14" t="s">
        <v>1215</v>
      </c>
      <c r="AA7" s="14" t="s">
        <v>2997</v>
      </c>
      <c r="AB7" s="14" t="s">
        <v>2997</v>
      </c>
      <c r="AC7" s="14" t="s">
        <v>2997</v>
      </c>
      <c r="AD7" s="14" t="s">
        <v>2997</v>
      </c>
      <c r="AE7" s="14" t="s">
        <v>2997</v>
      </c>
      <c r="AF7" s="14" t="s">
        <v>2997</v>
      </c>
      <c r="AG7" s="14" t="s">
        <v>2997</v>
      </c>
      <c r="AH7" s="14" t="s">
        <v>2997</v>
      </c>
      <c r="AI7" s="14" t="s">
        <v>2997</v>
      </c>
      <c r="AJ7" s="14" t="s">
        <v>2997</v>
      </c>
      <c r="AK7" s="14" t="s">
        <v>2997</v>
      </c>
      <c r="AL7" s="14" t="s">
        <v>2997</v>
      </c>
      <c r="AM7" s="14" t="s">
        <v>2997</v>
      </c>
      <c r="AN7" s="14" t="s">
        <v>2997</v>
      </c>
      <c r="AO7" s="14" t="s">
        <v>2997</v>
      </c>
      <c r="AP7" s="14" t="s">
        <v>2997</v>
      </c>
      <c r="AQ7" s="14" t="s">
        <v>2997</v>
      </c>
      <c r="AR7" s="14" t="s">
        <v>2997</v>
      </c>
      <c r="AS7" s="14" t="s">
        <v>2997</v>
      </c>
      <c r="AT7" s="14" t="s">
        <v>2997</v>
      </c>
      <c r="AU7" s="14" t="s">
        <v>2997</v>
      </c>
      <c r="AV7" s="14" t="s">
        <v>2997</v>
      </c>
      <c r="AW7" s="14" t="s">
        <v>2997</v>
      </c>
      <c r="AX7" s="14" t="s">
        <v>2997</v>
      </c>
      <c r="AY7" s="14" t="s">
        <v>2997</v>
      </c>
      <c r="AZ7" s="14" t="s">
        <v>2997</v>
      </c>
      <c r="BA7" s="14" t="s">
        <v>2997</v>
      </c>
      <c r="BB7" s="14" t="s">
        <v>2997</v>
      </c>
      <c r="BC7" s="14" t="s">
        <v>2997</v>
      </c>
      <c r="BD7" s="14" t="s">
        <v>2997</v>
      </c>
      <c r="BE7" s="14" t="s">
        <v>2997</v>
      </c>
      <c r="BF7" s="14" t="s">
        <v>2997</v>
      </c>
      <c r="BG7" s="14" t="s">
        <v>2997</v>
      </c>
      <c r="BH7" s="14" t="s">
        <v>2997</v>
      </c>
      <c r="BI7" s="14" t="s">
        <v>2997</v>
      </c>
      <c r="BJ7" s="14" t="s">
        <v>2997</v>
      </c>
      <c r="BK7" s="14" t="s">
        <v>2997</v>
      </c>
      <c r="BL7" s="14" t="s">
        <v>2997</v>
      </c>
      <c r="BM7" s="14" t="s">
        <v>2997</v>
      </c>
      <c r="BN7" s="14" t="s">
        <v>2997</v>
      </c>
      <c r="BO7" s="21" t="str">
        <f>CHOOSE(CharGenMain!$B$202,G7,K7,O7,S7,W7,AA7,AE7,AI7,AM7,AQ7,AU7,AY7,BC7,BG7,BK7)</f>
        <v>Thread Max Exceeded</v>
      </c>
      <c r="BP7" s="21" t="str">
        <f>CHOOSE(CharGenMain!$B$202,H7,L7,P7,T7,X7,AB7,AF7,AJ7,AN7,AR7,AV7,AZ7,BD7,BH7,BL7)</f>
        <v>Thread Max Exceeded</v>
      </c>
      <c r="BQ7" s="21" t="str">
        <f>CHOOSE(CharGenMain!$B$202,I7,M7,Q7,U7,Y7,AC7,AG7,AK7,AO7,AS7,AW7,BA7,BE7,BI7,BM7)</f>
        <v>Thread Max Exceeded</v>
      </c>
      <c r="BR7" s="28" t="str">
        <f>CHOOSE(CharGenMain!$B$202,J7,N7,R7,V7,Z7,AD7,AH7,AL7,AP7,AT7,AX7,BB7,BF7,BJ7,BN7)</f>
        <v>Thread Max Exceeded</v>
      </c>
      <c r="BT7" s="20" t="s">
        <v>1130</v>
      </c>
      <c r="BU7" s="14" t="s">
        <v>1131</v>
      </c>
      <c r="BV7" s="14" t="s">
        <v>2279</v>
      </c>
      <c r="BW7" s="14">
        <v>3</v>
      </c>
      <c r="BX7" s="14">
        <v>9</v>
      </c>
      <c r="BY7" s="14">
        <v>14</v>
      </c>
      <c r="BZ7" s="168">
        <v>3</v>
      </c>
      <c r="CA7" s="168">
        <v>0</v>
      </c>
      <c r="CB7" s="168">
        <v>-1</v>
      </c>
      <c r="CC7" s="101" t="s">
        <v>1132</v>
      </c>
      <c r="CD7" s="168">
        <v>3</v>
      </c>
      <c r="CE7" s="168">
        <v>1</v>
      </c>
      <c r="CF7" s="168">
        <v>-1</v>
      </c>
      <c r="CG7" s="101" t="s">
        <v>1132</v>
      </c>
      <c r="CH7" s="168">
        <v>3</v>
      </c>
      <c r="CI7" s="168">
        <v>1</v>
      </c>
      <c r="CJ7" s="168">
        <v>-1</v>
      </c>
      <c r="CK7" s="101" t="s">
        <v>1375</v>
      </c>
      <c r="CL7" s="168">
        <v>3</v>
      </c>
      <c r="CM7" s="168">
        <v>2</v>
      </c>
      <c r="CN7" s="168">
        <v>-1</v>
      </c>
      <c r="CO7" s="101" t="s">
        <v>1375</v>
      </c>
      <c r="CP7" s="168">
        <v>3</v>
      </c>
      <c r="CQ7" s="168">
        <v>2</v>
      </c>
      <c r="CR7" s="168">
        <v>-1</v>
      </c>
      <c r="CS7" s="101" t="s">
        <v>1376</v>
      </c>
      <c r="CT7" s="168">
        <v>4</v>
      </c>
      <c r="CU7" s="168">
        <v>3</v>
      </c>
      <c r="CV7" s="168">
        <v>-1</v>
      </c>
      <c r="CW7" s="101" t="s">
        <v>1376</v>
      </c>
      <c r="CX7" s="168">
        <v>4</v>
      </c>
      <c r="CY7" s="168">
        <v>3</v>
      </c>
      <c r="CZ7" s="168">
        <v>-1</v>
      </c>
      <c r="DA7" s="101" t="s">
        <v>1377</v>
      </c>
      <c r="DB7" s="168">
        <v>4</v>
      </c>
      <c r="DC7" s="168">
        <v>3</v>
      </c>
      <c r="DD7" s="168">
        <v>-1</v>
      </c>
      <c r="DE7" s="101" t="s">
        <v>1261</v>
      </c>
      <c r="DF7" s="168">
        <v>4</v>
      </c>
      <c r="DG7" s="168">
        <v>3</v>
      </c>
      <c r="DH7" s="168">
        <v>-1</v>
      </c>
      <c r="DI7" s="101" t="s">
        <v>1261</v>
      </c>
      <c r="DJ7" s="14" t="s">
        <v>2997</v>
      </c>
      <c r="DK7" s="14" t="s">
        <v>2997</v>
      </c>
      <c r="DL7" s="14" t="s">
        <v>2997</v>
      </c>
      <c r="DM7" s="14" t="s">
        <v>2997</v>
      </c>
      <c r="DN7" s="14" t="s">
        <v>2997</v>
      </c>
      <c r="DO7" s="14" t="s">
        <v>2997</v>
      </c>
      <c r="DP7" s="14" t="s">
        <v>2997</v>
      </c>
      <c r="DQ7" s="14" t="s">
        <v>2997</v>
      </c>
      <c r="DR7" s="14" t="s">
        <v>2997</v>
      </c>
      <c r="DS7" s="14" t="s">
        <v>2997</v>
      </c>
      <c r="DT7" s="14" t="s">
        <v>2997</v>
      </c>
      <c r="DU7" s="14" t="s">
        <v>2997</v>
      </c>
      <c r="DV7" s="14" t="s">
        <v>2997</v>
      </c>
      <c r="DW7" s="14" t="s">
        <v>2997</v>
      </c>
      <c r="DX7" s="14" t="s">
        <v>2997</v>
      </c>
      <c r="DY7" s="14" t="s">
        <v>2997</v>
      </c>
      <c r="DZ7" s="14" t="s">
        <v>2997</v>
      </c>
      <c r="EA7" s="14" t="s">
        <v>2997</v>
      </c>
      <c r="EB7" s="14" t="s">
        <v>2997</v>
      </c>
      <c r="EC7" s="14" t="s">
        <v>2997</v>
      </c>
      <c r="ED7" s="14" t="s">
        <v>2997</v>
      </c>
      <c r="EE7" s="14" t="s">
        <v>2997</v>
      </c>
      <c r="EF7" s="14" t="s">
        <v>2997</v>
      </c>
      <c r="EG7" s="14" t="s">
        <v>2997</v>
      </c>
      <c r="EH7" s="21" t="e">
        <f>CHOOSE(CharGenMain!$B$204,BZ7,CD7,CH7,CL7,CP7,CT7,CX7,DB7,DF7,DJ7,DN7,DR7,DV7,DZ7,ED7)</f>
        <v>#VALUE!</v>
      </c>
      <c r="EI7" s="21" t="e">
        <f>CHOOSE(CharGenMain!$B$204,CA7,CE7,CI7,CM7,CQ7,CU7,CY7,DC7,DG7,DK7,DO7,DS7,DW7,EA7,EE7)</f>
        <v>#VALUE!</v>
      </c>
      <c r="EJ7" s="21" t="e">
        <f>CHOOSE(CharGenMain!$B$204,CB7,CF7,CJ7,CN7,CR7,CV7,CZ7,DD7,DH7,DL7,DP7,DT7,DX7,EB7,EF7)</f>
        <v>#VALUE!</v>
      </c>
      <c r="EK7" s="28" t="e">
        <f>CHOOSE(CharGenMain!$B$204,CC7,CG7,CK7,CO7,CS7,CW7,DA7,DE7,DI7,DM7,DQ7,DU7,DY7,EC7,EG7)</f>
        <v>#VALUE!</v>
      </c>
    </row>
    <row r="8" spans="1:141">
      <c r="A8" s="226" t="s">
        <v>1129</v>
      </c>
      <c r="B8" s="14" t="s">
        <v>1359</v>
      </c>
      <c r="C8" s="14" t="s">
        <v>2667</v>
      </c>
      <c r="D8" s="14">
        <v>3</v>
      </c>
      <c r="E8" s="14">
        <v>5</v>
      </c>
      <c r="F8" s="14">
        <v>19</v>
      </c>
      <c r="G8" s="14">
        <v>5</v>
      </c>
      <c r="H8" s="14">
        <v>5</v>
      </c>
      <c r="I8" s="14">
        <v>-2</v>
      </c>
      <c r="J8" s="14" t="s">
        <v>1215</v>
      </c>
      <c r="K8" s="14">
        <v>6</v>
      </c>
      <c r="L8" s="14">
        <v>6</v>
      </c>
      <c r="M8" s="14">
        <v>-2</v>
      </c>
      <c r="N8" s="14" t="s">
        <v>1215</v>
      </c>
      <c r="O8" s="14">
        <v>6</v>
      </c>
      <c r="P8" s="14">
        <v>6</v>
      </c>
      <c r="Q8" s="14">
        <v>-1</v>
      </c>
      <c r="R8" s="14" t="s">
        <v>1215</v>
      </c>
      <c r="S8" s="14">
        <v>6</v>
      </c>
      <c r="T8" s="14">
        <v>6</v>
      </c>
      <c r="U8" s="14">
        <v>0</v>
      </c>
      <c r="V8" s="14" t="s">
        <v>1215</v>
      </c>
      <c r="W8" s="14">
        <v>7</v>
      </c>
      <c r="X8" s="14">
        <v>7</v>
      </c>
      <c r="Y8" s="14">
        <v>0</v>
      </c>
      <c r="Z8" s="14" t="s">
        <v>1215</v>
      </c>
      <c r="AA8" s="14" t="s">
        <v>2997</v>
      </c>
      <c r="AB8" s="14" t="s">
        <v>2997</v>
      </c>
      <c r="AC8" s="14" t="s">
        <v>2997</v>
      </c>
      <c r="AD8" s="14" t="s">
        <v>2997</v>
      </c>
      <c r="AE8" s="14" t="s">
        <v>2997</v>
      </c>
      <c r="AF8" s="14" t="s">
        <v>2997</v>
      </c>
      <c r="AG8" s="14" t="s">
        <v>2997</v>
      </c>
      <c r="AH8" s="14" t="s">
        <v>2997</v>
      </c>
      <c r="AI8" s="14" t="s">
        <v>2997</v>
      </c>
      <c r="AJ8" s="14" t="s">
        <v>2997</v>
      </c>
      <c r="AK8" s="14" t="s">
        <v>2997</v>
      </c>
      <c r="AL8" s="14" t="s">
        <v>2997</v>
      </c>
      <c r="AM8" s="14" t="s">
        <v>2997</v>
      </c>
      <c r="AN8" s="14" t="s">
        <v>2997</v>
      </c>
      <c r="AO8" s="14" t="s">
        <v>2997</v>
      </c>
      <c r="AP8" s="14" t="s">
        <v>2997</v>
      </c>
      <c r="AQ8" s="14" t="s">
        <v>2997</v>
      </c>
      <c r="AR8" s="14" t="s">
        <v>2997</v>
      </c>
      <c r="AS8" s="14" t="s">
        <v>2997</v>
      </c>
      <c r="AT8" s="14" t="s">
        <v>2997</v>
      </c>
      <c r="AU8" s="14" t="s">
        <v>2997</v>
      </c>
      <c r="AV8" s="14" t="s">
        <v>2997</v>
      </c>
      <c r="AW8" s="14" t="s">
        <v>2997</v>
      </c>
      <c r="AX8" s="14" t="s">
        <v>2997</v>
      </c>
      <c r="AY8" s="14" t="s">
        <v>2997</v>
      </c>
      <c r="AZ8" s="14" t="s">
        <v>2997</v>
      </c>
      <c r="BA8" s="14" t="s">
        <v>2997</v>
      </c>
      <c r="BB8" s="14" t="s">
        <v>2997</v>
      </c>
      <c r="BC8" s="14" t="s">
        <v>2997</v>
      </c>
      <c r="BD8" s="14" t="s">
        <v>2997</v>
      </c>
      <c r="BE8" s="14" t="s">
        <v>2997</v>
      </c>
      <c r="BF8" s="14" t="s">
        <v>2997</v>
      </c>
      <c r="BG8" s="14" t="s">
        <v>2997</v>
      </c>
      <c r="BH8" s="14" t="s">
        <v>2997</v>
      </c>
      <c r="BI8" s="14" t="s">
        <v>2997</v>
      </c>
      <c r="BJ8" s="14" t="s">
        <v>2997</v>
      </c>
      <c r="BK8" s="14" t="s">
        <v>2997</v>
      </c>
      <c r="BL8" s="14" t="s">
        <v>2997</v>
      </c>
      <c r="BM8" s="14" t="s">
        <v>2997</v>
      </c>
      <c r="BN8" s="14" t="s">
        <v>2997</v>
      </c>
      <c r="BO8" s="21" t="str">
        <f>CHOOSE(CharGenMain!$B$202,G8,K8,O8,S8,W8,AA8,AE8,AI8,AM8,AQ8,AU8,AY8,BC8,BG8,BK8)</f>
        <v>Thread Max Exceeded</v>
      </c>
      <c r="BP8" s="21" t="str">
        <f>CHOOSE(CharGenMain!$B$202,H8,L8,P8,T8,X8,AB8,AF8,AJ8,AN8,AR8,AV8,AZ8,BD8,BH8,BL8)</f>
        <v>Thread Max Exceeded</v>
      </c>
      <c r="BQ8" s="21" t="str">
        <f>CHOOSE(CharGenMain!$B$202,I8,M8,Q8,U8,Y8,AC8,AG8,AK8,AO8,AS8,AW8,BA8,BE8,BI8,BM8)</f>
        <v>Thread Max Exceeded</v>
      </c>
      <c r="BR8" s="28" t="str">
        <f>CHOOSE(CharGenMain!$B$202,J8,N8,R8,V8,Z8,AD8,AH8,AL8,AP8,AT8,AX8,BB8,BF8,BJ8,BN8)</f>
        <v>Thread Max Exceeded</v>
      </c>
      <c r="BT8" s="20" t="s">
        <v>1141</v>
      </c>
      <c r="BU8" s="14" t="s">
        <v>1263</v>
      </c>
      <c r="BV8" s="14" t="s">
        <v>2279</v>
      </c>
      <c r="BW8" s="14">
        <v>3</v>
      </c>
      <c r="BX8" s="14">
        <v>9</v>
      </c>
      <c r="BY8" s="14">
        <v>14</v>
      </c>
      <c r="BZ8" s="168">
        <v>5</v>
      </c>
      <c r="CA8" s="168">
        <v>0</v>
      </c>
      <c r="CB8" s="168">
        <v>-2</v>
      </c>
      <c r="CC8" s="101" t="s">
        <v>1264</v>
      </c>
      <c r="CD8" s="168">
        <v>6</v>
      </c>
      <c r="CE8" s="168">
        <v>0</v>
      </c>
      <c r="CF8" s="168">
        <v>-2</v>
      </c>
      <c r="CG8" s="101" t="s">
        <v>1264</v>
      </c>
      <c r="CH8" s="168">
        <v>6</v>
      </c>
      <c r="CI8" s="168">
        <v>0</v>
      </c>
      <c r="CJ8" s="168">
        <v>-2</v>
      </c>
      <c r="CK8" s="101" t="s">
        <v>1264</v>
      </c>
      <c r="CL8" s="168">
        <v>6</v>
      </c>
      <c r="CM8" s="168">
        <v>1</v>
      </c>
      <c r="CN8" s="168">
        <v>-2</v>
      </c>
      <c r="CO8" s="101" t="s">
        <v>1264</v>
      </c>
      <c r="CP8" s="168">
        <v>6</v>
      </c>
      <c r="CQ8" s="168">
        <v>1</v>
      </c>
      <c r="CR8" s="168">
        <v>-2</v>
      </c>
      <c r="CS8" s="101" t="s">
        <v>1264</v>
      </c>
      <c r="CT8" s="168">
        <v>7</v>
      </c>
      <c r="CU8" s="168">
        <v>2</v>
      </c>
      <c r="CV8" s="168">
        <v>-2</v>
      </c>
      <c r="CW8" s="101" t="s">
        <v>1264</v>
      </c>
      <c r="CX8" s="168">
        <v>8</v>
      </c>
      <c r="CY8" s="168">
        <v>2</v>
      </c>
      <c r="CZ8" s="168">
        <v>-1</v>
      </c>
      <c r="DA8" s="101" t="s">
        <v>1264</v>
      </c>
      <c r="DB8" s="168">
        <v>8</v>
      </c>
      <c r="DC8" s="168">
        <v>2</v>
      </c>
      <c r="DD8" s="168">
        <v>-1</v>
      </c>
      <c r="DE8" s="101" t="s">
        <v>1265</v>
      </c>
      <c r="DF8" s="168">
        <v>8</v>
      </c>
      <c r="DG8" s="168">
        <v>2</v>
      </c>
      <c r="DH8" s="168">
        <v>-1</v>
      </c>
      <c r="DI8" s="101" t="s">
        <v>1023</v>
      </c>
      <c r="DJ8" s="14" t="s">
        <v>2997</v>
      </c>
      <c r="DK8" s="14" t="s">
        <v>2997</v>
      </c>
      <c r="DL8" s="14" t="s">
        <v>2997</v>
      </c>
      <c r="DM8" s="14" t="s">
        <v>2997</v>
      </c>
      <c r="DN8" s="14" t="s">
        <v>2997</v>
      </c>
      <c r="DO8" s="14" t="s">
        <v>2997</v>
      </c>
      <c r="DP8" s="14" t="s">
        <v>2997</v>
      </c>
      <c r="DQ8" s="14" t="s">
        <v>2997</v>
      </c>
      <c r="DR8" s="14" t="s">
        <v>2997</v>
      </c>
      <c r="DS8" s="14" t="s">
        <v>2997</v>
      </c>
      <c r="DT8" s="14" t="s">
        <v>2997</v>
      </c>
      <c r="DU8" s="14" t="s">
        <v>2997</v>
      </c>
      <c r="DV8" s="14" t="s">
        <v>2997</v>
      </c>
      <c r="DW8" s="14" t="s">
        <v>2997</v>
      </c>
      <c r="DX8" s="14" t="s">
        <v>2997</v>
      </c>
      <c r="DY8" s="14" t="s">
        <v>2997</v>
      </c>
      <c r="DZ8" s="14" t="s">
        <v>2997</v>
      </c>
      <c r="EA8" s="14" t="s">
        <v>2997</v>
      </c>
      <c r="EB8" s="14" t="s">
        <v>2997</v>
      </c>
      <c r="EC8" s="14" t="s">
        <v>2997</v>
      </c>
      <c r="ED8" s="14" t="s">
        <v>2997</v>
      </c>
      <c r="EE8" s="14" t="s">
        <v>2997</v>
      </c>
      <c r="EF8" s="14" t="s">
        <v>2997</v>
      </c>
      <c r="EG8" s="14" t="s">
        <v>2997</v>
      </c>
      <c r="EH8" s="21" t="e">
        <f>CHOOSE(CharGenMain!$B$204,BZ8,CD8,CH8,CL8,CP8,CT8,CX8,DB8,DF8,DJ8,DN8,DR8,DV8,DZ8,ED8)</f>
        <v>#VALUE!</v>
      </c>
      <c r="EI8" s="21" t="e">
        <f>CHOOSE(CharGenMain!$B$204,CA8,CE8,CI8,CM8,CQ8,CU8,CY8,DC8,DG8,DK8,DO8,DS8,DW8,EA8,EE8)</f>
        <v>#VALUE!</v>
      </c>
      <c r="EJ8" s="21" t="e">
        <f>CHOOSE(CharGenMain!$B$204,CB8,CF8,CJ8,CN8,CR8,CV8,CZ8,DD8,DH8,DL8,DP8,DT8,DX8,EB8,EF8)</f>
        <v>#VALUE!</v>
      </c>
      <c r="EK8" s="28" t="e">
        <f>CHOOSE(CharGenMain!$B$204,CC8,CG8,CK8,CO8,CS8,CW8,DA8,DE8,DI8,DM8,DQ8,DU8,DY8,EC8,EG8)</f>
        <v>#VALUE!</v>
      </c>
    </row>
    <row r="9" spans="1:141">
      <c r="A9" s="226" t="s">
        <v>1140</v>
      </c>
      <c r="B9" s="14" t="s">
        <v>1359</v>
      </c>
      <c r="C9" s="14" t="s">
        <v>2667</v>
      </c>
      <c r="D9" s="14">
        <v>3</v>
      </c>
      <c r="E9" s="14">
        <v>5</v>
      </c>
      <c r="F9" s="14">
        <v>19</v>
      </c>
      <c r="G9" s="14">
        <v>6</v>
      </c>
      <c r="H9" s="14">
        <v>6</v>
      </c>
      <c r="I9" s="14">
        <v>-3</v>
      </c>
      <c r="J9" s="14" t="s">
        <v>1215</v>
      </c>
      <c r="K9" s="14">
        <v>6</v>
      </c>
      <c r="L9" s="14">
        <v>6</v>
      </c>
      <c r="M9" s="14">
        <v>-2</v>
      </c>
      <c r="N9" s="14" t="s">
        <v>1215</v>
      </c>
      <c r="O9" s="14">
        <v>7</v>
      </c>
      <c r="P9" s="14">
        <v>7</v>
      </c>
      <c r="Q9" s="14">
        <v>-2</v>
      </c>
      <c r="R9" s="14" t="s">
        <v>1215</v>
      </c>
      <c r="S9" s="14">
        <v>7</v>
      </c>
      <c r="T9" s="14">
        <v>7</v>
      </c>
      <c r="U9" s="14">
        <v>-1</v>
      </c>
      <c r="V9" s="14" t="s">
        <v>1215</v>
      </c>
      <c r="W9" s="14">
        <v>8</v>
      </c>
      <c r="X9" s="14">
        <v>8</v>
      </c>
      <c r="Y9" s="14">
        <v>-1</v>
      </c>
      <c r="Z9" s="14" t="s">
        <v>1215</v>
      </c>
      <c r="AA9" s="14" t="s">
        <v>2997</v>
      </c>
      <c r="AB9" s="14" t="s">
        <v>2997</v>
      </c>
      <c r="AC9" s="14" t="s">
        <v>2997</v>
      </c>
      <c r="AD9" s="14" t="s">
        <v>2997</v>
      </c>
      <c r="AE9" s="14" t="s">
        <v>2997</v>
      </c>
      <c r="AF9" s="14" t="s">
        <v>2997</v>
      </c>
      <c r="AG9" s="14" t="s">
        <v>2997</v>
      </c>
      <c r="AH9" s="14" t="s">
        <v>2997</v>
      </c>
      <c r="AI9" s="14" t="s">
        <v>2997</v>
      </c>
      <c r="AJ9" s="14" t="s">
        <v>2997</v>
      </c>
      <c r="AK9" s="14" t="s">
        <v>2997</v>
      </c>
      <c r="AL9" s="14" t="s">
        <v>2997</v>
      </c>
      <c r="AM9" s="14" t="s">
        <v>2997</v>
      </c>
      <c r="AN9" s="14" t="s">
        <v>2997</v>
      </c>
      <c r="AO9" s="14" t="s">
        <v>2997</v>
      </c>
      <c r="AP9" s="14" t="s">
        <v>2997</v>
      </c>
      <c r="AQ9" s="14" t="s">
        <v>2997</v>
      </c>
      <c r="AR9" s="14" t="s">
        <v>2997</v>
      </c>
      <c r="AS9" s="14" t="s">
        <v>2997</v>
      </c>
      <c r="AT9" s="14" t="s">
        <v>2997</v>
      </c>
      <c r="AU9" s="14" t="s">
        <v>2997</v>
      </c>
      <c r="AV9" s="14" t="s">
        <v>2997</v>
      </c>
      <c r="AW9" s="14" t="s">
        <v>2997</v>
      </c>
      <c r="AX9" s="14" t="s">
        <v>2997</v>
      </c>
      <c r="AY9" s="14" t="s">
        <v>2997</v>
      </c>
      <c r="AZ9" s="14" t="s">
        <v>2997</v>
      </c>
      <c r="BA9" s="14" t="s">
        <v>2997</v>
      </c>
      <c r="BB9" s="14" t="s">
        <v>2997</v>
      </c>
      <c r="BC9" s="14" t="s">
        <v>2997</v>
      </c>
      <c r="BD9" s="14" t="s">
        <v>2997</v>
      </c>
      <c r="BE9" s="14" t="s">
        <v>2997</v>
      </c>
      <c r="BF9" s="14" t="s">
        <v>2997</v>
      </c>
      <c r="BG9" s="14" t="s">
        <v>2997</v>
      </c>
      <c r="BH9" s="14" t="s">
        <v>2997</v>
      </c>
      <c r="BI9" s="14" t="s">
        <v>2997</v>
      </c>
      <c r="BJ9" s="14" t="s">
        <v>2997</v>
      </c>
      <c r="BK9" s="14" t="s">
        <v>2997</v>
      </c>
      <c r="BL9" s="14" t="s">
        <v>2997</v>
      </c>
      <c r="BM9" s="14" t="s">
        <v>2997</v>
      </c>
      <c r="BN9" s="14" t="s">
        <v>2997</v>
      </c>
      <c r="BO9" s="21" t="str">
        <f>CHOOSE(CharGenMain!$B$202,G9,K9,O9,S9,W9,AA9,AE9,AI9,AM9,AQ9,AU9,AY9,BC9,BG9,BK9)</f>
        <v>Thread Max Exceeded</v>
      </c>
      <c r="BP9" s="21" t="str">
        <f>CHOOSE(CharGenMain!$B$202,H9,L9,P9,T9,X9,AB9,AF9,AJ9,AN9,AR9,AV9,AZ9,BD9,BH9,BL9)</f>
        <v>Thread Max Exceeded</v>
      </c>
      <c r="BQ9" s="21" t="str">
        <f>CHOOSE(CharGenMain!$B$202,I9,M9,Q9,U9,Y9,AC9,AG9,AK9,AO9,AS9,AW9,BA9,BE9,BI9,BM9)</f>
        <v>Thread Max Exceeded</v>
      </c>
      <c r="BR9" s="28" t="str">
        <f>CHOOSE(CharGenMain!$B$202,J9,N9,R9,V9,Z9,AD9,AH9,AL9,AP9,AT9,AX9,BB9,BF9,BJ9,BN9)</f>
        <v>Thread Max Exceeded</v>
      </c>
      <c r="BT9" s="20" t="s">
        <v>1272</v>
      </c>
      <c r="BU9" s="14" t="s">
        <v>1707</v>
      </c>
      <c r="BV9" s="14" t="s">
        <v>2279</v>
      </c>
      <c r="BW9" s="14">
        <v>2</v>
      </c>
      <c r="BX9" s="14">
        <v>4</v>
      </c>
      <c r="BY9" s="14">
        <v>15</v>
      </c>
      <c r="BZ9" s="21">
        <v>2</v>
      </c>
      <c r="CA9" s="21">
        <v>0</v>
      </c>
      <c r="CB9" s="21">
        <v>0</v>
      </c>
      <c r="CC9" s="105" t="s">
        <v>2238</v>
      </c>
      <c r="CD9" s="21">
        <v>3</v>
      </c>
      <c r="CE9" s="21">
        <v>1</v>
      </c>
      <c r="CF9" s="21">
        <v>0</v>
      </c>
      <c r="CG9" s="105" t="s">
        <v>2238</v>
      </c>
      <c r="CH9" s="21">
        <v>4</v>
      </c>
      <c r="CI9" s="21">
        <v>2</v>
      </c>
      <c r="CJ9" s="21">
        <v>0</v>
      </c>
      <c r="CK9" s="105" t="s">
        <v>2239</v>
      </c>
      <c r="CL9" s="21">
        <v>4</v>
      </c>
      <c r="CM9" s="21">
        <v>2</v>
      </c>
      <c r="CN9" s="21">
        <v>0</v>
      </c>
      <c r="CO9" s="211" t="s">
        <v>1273</v>
      </c>
      <c r="CP9" s="21">
        <v>4</v>
      </c>
      <c r="CQ9" s="21">
        <v>2</v>
      </c>
      <c r="CR9" s="21">
        <v>0</v>
      </c>
      <c r="CS9" s="211" t="s">
        <v>1273</v>
      </c>
      <c r="CT9" s="14" t="s">
        <v>2997</v>
      </c>
      <c r="CU9" s="14" t="s">
        <v>2997</v>
      </c>
      <c r="CV9" s="14" t="s">
        <v>2997</v>
      </c>
      <c r="CW9" s="14" t="s">
        <v>2997</v>
      </c>
      <c r="CX9" s="14" t="s">
        <v>2997</v>
      </c>
      <c r="CY9" s="14" t="s">
        <v>2997</v>
      </c>
      <c r="CZ9" s="14" t="s">
        <v>2997</v>
      </c>
      <c r="DA9" s="14" t="s">
        <v>2997</v>
      </c>
      <c r="DB9" s="14" t="s">
        <v>2997</v>
      </c>
      <c r="DC9" s="14" t="s">
        <v>2997</v>
      </c>
      <c r="DD9" s="14" t="s">
        <v>2997</v>
      </c>
      <c r="DE9" s="14" t="s">
        <v>2997</v>
      </c>
      <c r="DF9" s="14" t="s">
        <v>2997</v>
      </c>
      <c r="DG9" s="14" t="s">
        <v>2997</v>
      </c>
      <c r="DH9" s="14" t="s">
        <v>2997</v>
      </c>
      <c r="DI9" s="14" t="s">
        <v>2997</v>
      </c>
      <c r="DJ9" s="14" t="s">
        <v>2997</v>
      </c>
      <c r="DK9" s="14" t="s">
        <v>2997</v>
      </c>
      <c r="DL9" s="14" t="s">
        <v>2997</v>
      </c>
      <c r="DM9" s="14" t="s">
        <v>2997</v>
      </c>
      <c r="DN9" s="14" t="s">
        <v>2997</v>
      </c>
      <c r="DO9" s="14" t="s">
        <v>2997</v>
      </c>
      <c r="DP9" s="14" t="s">
        <v>2997</v>
      </c>
      <c r="DQ9" s="14" t="s">
        <v>2997</v>
      </c>
      <c r="DR9" s="14" t="s">
        <v>2997</v>
      </c>
      <c r="DS9" s="14" t="s">
        <v>2997</v>
      </c>
      <c r="DT9" s="14" t="s">
        <v>2997</v>
      </c>
      <c r="DU9" s="14" t="s">
        <v>2997</v>
      </c>
      <c r="DV9" s="14" t="s">
        <v>2997</v>
      </c>
      <c r="DW9" s="14" t="s">
        <v>2997</v>
      </c>
      <c r="DX9" s="14" t="s">
        <v>2997</v>
      </c>
      <c r="DY9" s="14" t="s">
        <v>2997</v>
      </c>
      <c r="DZ9" s="14" t="s">
        <v>2997</v>
      </c>
      <c r="EA9" s="14" t="s">
        <v>2997</v>
      </c>
      <c r="EB9" s="14" t="s">
        <v>2997</v>
      </c>
      <c r="EC9" s="14" t="s">
        <v>2997</v>
      </c>
      <c r="ED9" s="14" t="s">
        <v>2997</v>
      </c>
      <c r="EE9" s="14" t="s">
        <v>2997</v>
      </c>
      <c r="EF9" s="14" t="s">
        <v>2997</v>
      </c>
      <c r="EG9" s="14" t="s">
        <v>2997</v>
      </c>
      <c r="EH9" s="21" t="e">
        <f>CHOOSE(CharGenMain!$B$204,BZ9,CD9,CH9,CL9,CP9,CT9,CX9,DB9,DF9,DJ9,DN9,DR9,DV9,DZ9,ED9)</f>
        <v>#VALUE!</v>
      </c>
      <c r="EI9" s="21" t="e">
        <f>CHOOSE(CharGenMain!$B$204,CA9,CE9,CI9,CM9,CQ9,CU9,CY9,DC9,DG9,DK9,DO9,DS9,DW9,EA9,EE9)</f>
        <v>#VALUE!</v>
      </c>
      <c r="EJ9" s="21" t="e">
        <f>CHOOSE(CharGenMain!$B$204,CB9,CF9,CJ9,CN9,CR9,CV9,CZ9,DD9,DH9,DL9,DP9,DT9,DX9,EB9,EF9)</f>
        <v>#VALUE!</v>
      </c>
      <c r="EK9" s="28" t="e">
        <f>CHOOSE(CharGenMain!$B$204,CC9,CG9,CK9,CO9,CS9,CW9,DA9,DE9,DI9,DM9,DQ9,DU9,DY9,EC9,EG9)</f>
        <v>#VALUE!</v>
      </c>
    </row>
    <row r="10" spans="1:141">
      <c r="A10" s="20" t="s">
        <v>1147</v>
      </c>
      <c r="B10" s="14" t="s">
        <v>1148</v>
      </c>
      <c r="C10" s="14" t="s">
        <v>2279</v>
      </c>
      <c r="D10" s="14">
        <v>3</v>
      </c>
      <c r="E10" s="14">
        <v>9</v>
      </c>
      <c r="F10" s="14">
        <v>17</v>
      </c>
      <c r="G10" s="14">
        <v>8</v>
      </c>
      <c r="H10" s="14">
        <v>0</v>
      </c>
      <c r="I10" s="14">
        <v>-2</v>
      </c>
      <c r="J10" s="14" t="s">
        <v>1215</v>
      </c>
      <c r="K10" s="14">
        <v>8</v>
      </c>
      <c r="L10" s="14">
        <v>0</v>
      </c>
      <c r="M10" s="14">
        <v>0</v>
      </c>
      <c r="N10" s="106" t="s">
        <v>1149</v>
      </c>
      <c r="O10" s="14">
        <v>8</v>
      </c>
      <c r="P10" s="14">
        <v>0</v>
      </c>
      <c r="Q10" s="14">
        <v>0</v>
      </c>
      <c r="R10" s="106" t="s">
        <v>1267</v>
      </c>
      <c r="S10" s="14">
        <v>9</v>
      </c>
      <c r="T10" s="14">
        <v>2</v>
      </c>
      <c r="U10" s="14">
        <v>0</v>
      </c>
      <c r="V10" s="106" t="s">
        <v>1268</v>
      </c>
      <c r="W10" s="14">
        <v>10</v>
      </c>
      <c r="X10" s="14">
        <v>3</v>
      </c>
      <c r="Y10" s="14">
        <v>1</v>
      </c>
      <c r="Z10" s="106" t="s">
        <v>1268</v>
      </c>
      <c r="AA10" s="14">
        <v>10</v>
      </c>
      <c r="AB10" s="14">
        <v>4</v>
      </c>
      <c r="AC10" s="14">
        <v>1</v>
      </c>
      <c r="AD10" s="106" t="s">
        <v>1269</v>
      </c>
      <c r="AE10" s="14">
        <v>10</v>
      </c>
      <c r="AF10" s="14">
        <v>4</v>
      </c>
      <c r="AG10" s="14">
        <v>1</v>
      </c>
      <c r="AH10" s="106" t="s">
        <v>1270</v>
      </c>
      <c r="AI10" s="14">
        <v>10</v>
      </c>
      <c r="AJ10" s="14">
        <v>4</v>
      </c>
      <c r="AK10" s="14">
        <v>1</v>
      </c>
      <c r="AL10" s="106" t="s">
        <v>1270</v>
      </c>
      <c r="AM10" s="14">
        <v>10</v>
      </c>
      <c r="AN10" s="14">
        <v>5</v>
      </c>
      <c r="AO10" s="14">
        <v>1</v>
      </c>
      <c r="AP10" s="106" t="s">
        <v>1271</v>
      </c>
      <c r="AQ10" s="14" t="s">
        <v>2997</v>
      </c>
      <c r="AR10" s="14" t="s">
        <v>2997</v>
      </c>
      <c r="AS10" s="14" t="s">
        <v>2997</v>
      </c>
      <c r="AT10" s="14" t="s">
        <v>2997</v>
      </c>
      <c r="AU10" s="14" t="s">
        <v>2997</v>
      </c>
      <c r="AV10" s="14" t="s">
        <v>2997</v>
      </c>
      <c r="AW10" s="14" t="s">
        <v>2997</v>
      </c>
      <c r="AX10" s="14" t="s">
        <v>2997</v>
      </c>
      <c r="AY10" s="14" t="s">
        <v>2997</v>
      </c>
      <c r="AZ10" s="14" t="s">
        <v>2997</v>
      </c>
      <c r="BA10" s="14" t="s">
        <v>2997</v>
      </c>
      <c r="BB10" s="14" t="s">
        <v>2997</v>
      </c>
      <c r="BC10" s="14" t="s">
        <v>2997</v>
      </c>
      <c r="BD10" s="14" t="s">
        <v>2997</v>
      </c>
      <c r="BE10" s="14" t="s">
        <v>2997</v>
      </c>
      <c r="BF10" s="14" t="s">
        <v>2997</v>
      </c>
      <c r="BG10" s="14" t="s">
        <v>2997</v>
      </c>
      <c r="BH10" s="14" t="s">
        <v>2997</v>
      </c>
      <c r="BI10" s="14" t="s">
        <v>2997</v>
      </c>
      <c r="BJ10" s="14" t="s">
        <v>2997</v>
      </c>
      <c r="BK10" s="14" t="s">
        <v>2997</v>
      </c>
      <c r="BL10" s="14" t="s">
        <v>2997</v>
      </c>
      <c r="BM10" s="14" t="s">
        <v>2997</v>
      </c>
      <c r="BN10" s="14" t="s">
        <v>2997</v>
      </c>
      <c r="BO10" s="21">
        <f>CHOOSE(CharGenMain!$B$202,G10,K10,O10,S10,W10,AA10,AE10,AI10,AM10,AQ10,AU10,AY10,BC10,BG10,BK10)</f>
        <v>10</v>
      </c>
      <c r="BP10" s="21">
        <f>CHOOSE(CharGenMain!$B$202,H10,L10,P10,T10,X10,AB10,AF10,AJ10,AN10,AR10,AV10,AZ10,BD10,BH10,BL10)</f>
        <v>4</v>
      </c>
      <c r="BQ10" s="21">
        <f>CHOOSE(CharGenMain!$B$202,I10,M10,Q10,U10,Y10,AC10,AG10,AK10,AO10,AS10,AW10,BA10,BE10,BI10,BM10)</f>
        <v>1</v>
      </c>
      <c r="BR10" s="28" t="str">
        <f>CHOOSE(CharGenMain!$B$202,J10,N10,R10,V10,Z10,AD10,AH10,AL10,AP10,AT10,AX10,BB10,BF10,BJ10,BN10)</f>
        <v>+10 mystic vs dragons/drakes, immune to dragon venom</v>
      </c>
      <c r="BT10" s="226" t="s">
        <v>1275</v>
      </c>
      <c r="BU10" s="14" t="s">
        <v>1276</v>
      </c>
      <c r="BV10" s="14" t="s">
        <v>2667</v>
      </c>
      <c r="BW10" s="14">
        <v>4</v>
      </c>
      <c r="BX10" s="14">
        <v>5</v>
      </c>
      <c r="BY10" s="14">
        <v>24</v>
      </c>
      <c r="BZ10" s="21">
        <v>5</v>
      </c>
      <c r="CA10" s="21">
        <v>5</v>
      </c>
      <c r="CB10" s="21">
        <v>-2</v>
      </c>
      <c r="CC10" s="21" t="s">
        <v>1215</v>
      </c>
      <c r="CD10" s="21">
        <v>6</v>
      </c>
      <c r="CE10" s="21">
        <v>6</v>
      </c>
      <c r="CF10" s="21">
        <v>-1</v>
      </c>
      <c r="CG10" s="21" t="s">
        <v>1215</v>
      </c>
      <c r="CH10" s="21">
        <v>6</v>
      </c>
      <c r="CI10" s="21">
        <v>6</v>
      </c>
      <c r="CJ10" s="21">
        <v>0</v>
      </c>
      <c r="CK10" s="105" t="s">
        <v>2438</v>
      </c>
      <c r="CL10" s="21">
        <v>7</v>
      </c>
      <c r="CM10" s="21">
        <v>7</v>
      </c>
      <c r="CN10" s="21">
        <v>0</v>
      </c>
      <c r="CO10" s="105" t="s">
        <v>1277</v>
      </c>
      <c r="CP10" s="21">
        <v>8</v>
      </c>
      <c r="CQ10" s="21">
        <v>8</v>
      </c>
      <c r="CR10" s="21">
        <v>0</v>
      </c>
      <c r="CS10" s="105" t="s">
        <v>1277</v>
      </c>
      <c r="CT10" s="14" t="s">
        <v>2997</v>
      </c>
      <c r="CU10" s="14" t="s">
        <v>2997</v>
      </c>
      <c r="CV10" s="14" t="s">
        <v>2997</v>
      </c>
      <c r="CW10" s="14" t="s">
        <v>2997</v>
      </c>
      <c r="CX10" s="14" t="s">
        <v>2997</v>
      </c>
      <c r="CY10" s="14" t="s">
        <v>2997</v>
      </c>
      <c r="CZ10" s="14" t="s">
        <v>2997</v>
      </c>
      <c r="DA10" s="14" t="s">
        <v>2997</v>
      </c>
      <c r="DB10" s="14" t="s">
        <v>2997</v>
      </c>
      <c r="DC10" s="14" t="s">
        <v>2997</v>
      </c>
      <c r="DD10" s="14" t="s">
        <v>2997</v>
      </c>
      <c r="DE10" s="14" t="s">
        <v>2997</v>
      </c>
      <c r="DF10" s="14" t="s">
        <v>2997</v>
      </c>
      <c r="DG10" s="14" t="s">
        <v>2997</v>
      </c>
      <c r="DH10" s="14" t="s">
        <v>2997</v>
      </c>
      <c r="DI10" s="14" t="s">
        <v>2997</v>
      </c>
      <c r="DJ10" s="14" t="s">
        <v>2997</v>
      </c>
      <c r="DK10" s="14" t="s">
        <v>2997</v>
      </c>
      <c r="DL10" s="14" t="s">
        <v>2997</v>
      </c>
      <c r="DM10" s="14" t="s">
        <v>2997</v>
      </c>
      <c r="DN10" s="14" t="s">
        <v>2997</v>
      </c>
      <c r="DO10" s="14" t="s">
        <v>2997</v>
      </c>
      <c r="DP10" s="14" t="s">
        <v>2997</v>
      </c>
      <c r="DQ10" s="14" t="s">
        <v>2997</v>
      </c>
      <c r="DR10" s="14" t="s">
        <v>2997</v>
      </c>
      <c r="DS10" s="14" t="s">
        <v>2997</v>
      </c>
      <c r="DT10" s="14" t="s">
        <v>2997</v>
      </c>
      <c r="DU10" s="14" t="s">
        <v>2997</v>
      </c>
      <c r="DV10" s="14" t="s">
        <v>2997</v>
      </c>
      <c r="DW10" s="14" t="s">
        <v>2997</v>
      </c>
      <c r="DX10" s="14" t="s">
        <v>2997</v>
      </c>
      <c r="DY10" s="14" t="s">
        <v>2997</v>
      </c>
      <c r="DZ10" s="14" t="s">
        <v>2997</v>
      </c>
      <c r="EA10" s="14" t="s">
        <v>2997</v>
      </c>
      <c r="EB10" s="14" t="s">
        <v>2997</v>
      </c>
      <c r="EC10" s="14" t="s">
        <v>2997</v>
      </c>
      <c r="ED10" s="14" t="s">
        <v>2997</v>
      </c>
      <c r="EE10" s="14" t="s">
        <v>2997</v>
      </c>
      <c r="EF10" s="14" t="s">
        <v>2997</v>
      </c>
      <c r="EG10" s="14" t="s">
        <v>2997</v>
      </c>
      <c r="EH10" s="21" t="e">
        <f>CHOOSE(CharGenMain!$B$204,BZ10,CD10,CH10,CL10,CP10,CT10,CX10,DB10,DF10,DJ10,DN10,DR10,DV10,DZ10,ED10)</f>
        <v>#VALUE!</v>
      </c>
      <c r="EI10" s="21" t="e">
        <f>CHOOSE(CharGenMain!$B$204,CA10,CE10,CI10,CM10,CQ10,CU10,CY10,DC10,DG10,DK10,DO10,DS10,DW10,EA10,EE10)</f>
        <v>#VALUE!</v>
      </c>
      <c r="EJ10" s="21" t="e">
        <f>CHOOSE(CharGenMain!$B$204,CB10,CF10,CJ10,CN10,CR10,CV10,CZ10,DD10,DH10,DL10,DP10,DT10,DX10,EB10,EF10)</f>
        <v>#VALUE!</v>
      </c>
      <c r="EK10" s="28" t="e">
        <f>CHOOSE(CharGenMain!$B$204,CC10,CG10,CK10,CO10,CS10,CW10,DA10,DE10,DI10,DM10,DQ10,DU10,DY10,EC10,EG10)</f>
        <v>#VALUE!</v>
      </c>
    </row>
    <row r="11" spans="1:141">
      <c r="A11" s="226" t="s">
        <v>5114</v>
      </c>
      <c r="B11" s="14" t="s">
        <v>1801</v>
      </c>
      <c r="C11" s="14" t="s">
        <v>2223</v>
      </c>
      <c r="D11" s="14">
        <v>2</v>
      </c>
      <c r="E11" s="14">
        <v>6</v>
      </c>
      <c r="F11" s="14">
        <v>13</v>
      </c>
      <c r="G11" s="14">
        <v>8</v>
      </c>
      <c r="H11" s="14">
        <v>0</v>
      </c>
      <c r="I11" s="14">
        <v>-3</v>
      </c>
      <c r="J11" s="14" t="s">
        <v>1215</v>
      </c>
      <c r="K11" s="14">
        <v>8</v>
      </c>
      <c r="L11" s="14">
        <v>0</v>
      </c>
      <c r="M11" s="14">
        <v>0</v>
      </c>
      <c r="N11" s="14" t="s">
        <v>1215</v>
      </c>
      <c r="O11" s="14">
        <v>8</v>
      </c>
      <c r="P11" s="14">
        <v>0</v>
      </c>
      <c r="Q11" s="14">
        <v>0</v>
      </c>
      <c r="R11" s="14" t="s">
        <v>1274</v>
      </c>
      <c r="S11" s="14">
        <v>9</v>
      </c>
      <c r="T11" s="14">
        <v>1</v>
      </c>
      <c r="U11" s="14">
        <v>0</v>
      </c>
      <c r="V11" s="14" t="s">
        <v>1274</v>
      </c>
      <c r="W11" s="14">
        <v>10</v>
      </c>
      <c r="X11" s="14">
        <v>1</v>
      </c>
      <c r="Y11" s="14">
        <v>1</v>
      </c>
      <c r="Z11" s="14" t="s">
        <v>1274</v>
      </c>
      <c r="AA11" s="14">
        <v>10</v>
      </c>
      <c r="AB11" s="14">
        <v>3</v>
      </c>
      <c r="AC11" s="14">
        <v>1</v>
      </c>
      <c r="AD11" s="14" t="s">
        <v>1274</v>
      </c>
      <c r="AE11" s="14" t="s">
        <v>2997</v>
      </c>
      <c r="AF11" s="14" t="s">
        <v>2997</v>
      </c>
      <c r="AG11" s="14" t="s">
        <v>2997</v>
      </c>
      <c r="AH11" s="14" t="s">
        <v>2997</v>
      </c>
      <c r="AI11" s="14" t="s">
        <v>2997</v>
      </c>
      <c r="AJ11" s="14" t="s">
        <v>2997</v>
      </c>
      <c r="AK11" s="14" t="s">
        <v>2997</v>
      </c>
      <c r="AL11" s="14" t="s">
        <v>2997</v>
      </c>
      <c r="AM11" s="14" t="s">
        <v>2997</v>
      </c>
      <c r="AN11" s="14" t="s">
        <v>2997</v>
      </c>
      <c r="AO11" s="14" t="s">
        <v>2997</v>
      </c>
      <c r="AP11" s="14" t="s">
        <v>2997</v>
      </c>
      <c r="AQ11" s="14" t="s">
        <v>2997</v>
      </c>
      <c r="AR11" s="14" t="s">
        <v>2997</v>
      </c>
      <c r="AS11" s="14" t="s">
        <v>2997</v>
      </c>
      <c r="AT11" s="14" t="s">
        <v>2997</v>
      </c>
      <c r="AU11" s="14" t="s">
        <v>2997</v>
      </c>
      <c r="AV11" s="14" t="s">
        <v>2997</v>
      </c>
      <c r="AW11" s="14" t="s">
        <v>2997</v>
      </c>
      <c r="AX11" s="14" t="s">
        <v>2997</v>
      </c>
      <c r="AY11" s="14" t="s">
        <v>2997</v>
      </c>
      <c r="AZ11" s="14" t="s">
        <v>2997</v>
      </c>
      <c r="BA11" s="14" t="s">
        <v>2997</v>
      </c>
      <c r="BB11" s="14" t="s">
        <v>2997</v>
      </c>
      <c r="BC11" s="14" t="s">
        <v>2997</v>
      </c>
      <c r="BD11" s="14" t="s">
        <v>2997</v>
      </c>
      <c r="BE11" s="14" t="s">
        <v>2997</v>
      </c>
      <c r="BF11" s="14" t="s">
        <v>2997</v>
      </c>
      <c r="BG11" s="14" t="s">
        <v>2997</v>
      </c>
      <c r="BH11" s="14" t="s">
        <v>2997</v>
      </c>
      <c r="BI11" s="14" t="s">
        <v>2997</v>
      </c>
      <c r="BJ11" s="14" t="s">
        <v>2997</v>
      </c>
      <c r="BK11" s="14" t="s">
        <v>2997</v>
      </c>
      <c r="BL11" s="14" t="s">
        <v>2997</v>
      </c>
      <c r="BM11" s="14" t="s">
        <v>2997</v>
      </c>
      <c r="BN11" s="14" t="s">
        <v>2997</v>
      </c>
      <c r="BO11" s="21">
        <f>CHOOSE(CharGenMain!$B$202,G11,K11,O11,S11,W11,AA11,AE11,AI11,AM11,AQ11,AU11,AY11,BC11,BG11,BK11)</f>
        <v>10</v>
      </c>
      <c r="BP11" s="21">
        <f>CHOOSE(CharGenMain!$B$202,H11,L11,P11,T11,X11,AB11,AF11,AJ11,AN11,AR11,AV11,AZ11,BD11,BH11,BL11)</f>
        <v>3</v>
      </c>
      <c r="BQ11" s="21">
        <f>CHOOSE(CharGenMain!$B$202,I11,M11,Q11,U11,Y11,AC11,AG11,AK11,AO11,AS11,AW11,BA11,BE11,BI11,BM11)</f>
        <v>1</v>
      </c>
      <c r="BR11" s="28" t="str">
        <f>CHOOSE(CharGenMain!$B$202,J11,N11,R11,V11,Z11,AD11,AH11,AL11,AP11,AT11,AX11,BB11,BF11,BJ11,BN11)</f>
        <v>Extraordinary hit to defeat armor</v>
      </c>
      <c r="BT11" s="226" t="s">
        <v>1279</v>
      </c>
      <c r="BU11" s="14" t="s">
        <v>1280</v>
      </c>
      <c r="BV11" s="14" t="s">
        <v>2667</v>
      </c>
      <c r="BW11" s="14">
        <v>3</v>
      </c>
      <c r="BX11" s="14">
        <v>3</v>
      </c>
      <c r="BY11" s="14">
        <v>18</v>
      </c>
      <c r="BZ11" s="168">
        <v>5</v>
      </c>
      <c r="CA11" s="168">
        <v>0</v>
      </c>
      <c r="CB11" s="168">
        <v>-1</v>
      </c>
      <c r="CC11" s="211" t="s">
        <v>1281</v>
      </c>
      <c r="CD11" s="168">
        <v>5</v>
      </c>
      <c r="CE11" s="168">
        <v>0</v>
      </c>
      <c r="CF11" s="168">
        <v>-1</v>
      </c>
      <c r="CG11" s="211" t="s">
        <v>1282</v>
      </c>
      <c r="CH11" s="168">
        <v>6</v>
      </c>
      <c r="CI11" s="168">
        <v>0</v>
      </c>
      <c r="CJ11" s="168">
        <v>0</v>
      </c>
      <c r="CK11" s="211" t="s">
        <v>1282</v>
      </c>
      <c r="CL11" s="5" t="s">
        <v>2997</v>
      </c>
      <c r="CM11" s="5" t="s">
        <v>2997</v>
      </c>
      <c r="CN11" s="5" t="s">
        <v>2997</v>
      </c>
      <c r="CO11" s="5" t="s">
        <v>2997</v>
      </c>
      <c r="CP11" s="5" t="s">
        <v>2997</v>
      </c>
      <c r="CQ11" s="5" t="s">
        <v>2997</v>
      </c>
      <c r="CR11" s="5" t="s">
        <v>2997</v>
      </c>
      <c r="CS11" s="5" t="s">
        <v>2997</v>
      </c>
      <c r="CT11" s="5" t="s">
        <v>2997</v>
      </c>
      <c r="CU11" s="5" t="s">
        <v>2997</v>
      </c>
      <c r="CV11" s="5" t="s">
        <v>2997</v>
      </c>
      <c r="CW11" s="5" t="s">
        <v>2997</v>
      </c>
      <c r="CX11" s="5" t="s">
        <v>2997</v>
      </c>
      <c r="CY11" s="5" t="s">
        <v>2997</v>
      </c>
      <c r="CZ11" s="5" t="s">
        <v>2997</v>
      </c>
      <c r="DA11" s="5" t="s">
        <v>2997</v>
      </c>
      <c r="DB11" s="5" t="s">
        <v>2997</v>
      </c>
      <c r="DC11" s="5" t="s">
        <v>2997</v>
      </c>
      <c r="DD11" s="5" t="s">
        <v>2997</v>
      </c>
      <c r="DE11" s="5" t="s">
        <v>2997</v>
      </c>
      <c r="DF11" s="5" t="s">
        <v>2997</v>
      </c>
      <c r="DG11" s="5" t="s">
        <v>2997</v>
      </c>
      <c r="DH11" s="5" t="s">
        <v>2997</v>
      </c>
      <c r="DI11" s="5" t="s">
        <v>2997</v>
      </c>
      <c r="DJ11" s="5" t="s">
        <v>2997</v>
      </c>
      <c r="DK11" s="5" t="s">
        <v>2997</v>
      </c>
      <c r="DL11" s="5" t="s">
        <v>2997</v>
      </c>
      <c r="DM11" s="5" t="s">
        <v>2997</v>
      </c>
      <c r="DN11" s="5" t="s">
        <v>2997</v>
      </c>
      <c r="DO11" s="5" t="s">
        <v>2997</v>
      </c>
      <c r="DP11" s="5" t="s">
        <v>2997</v>
      </c>
      <c r="DQ11" s="5" t="s">
        <v>2997</v>
      </c>
      <c r="DR11" s="5" t="s">
        <v>2997</v>
      </c>
      <c r="DS11" s="5" t="s">
        <v>2997</v>
      </c>
      <c r="DT11" s="5" t="s">
        <v>2997</v>
      </c>
      <c r="DU11" s="5" t="s">
        <v>2997</v>
      </c>
      <c r="DV11" s="5" t="s">
        <v>2997</v>
      </c>
      <c r="DW11" s="5" t="s">
        <v>2997</v>
      </c>
      <c r="DX11" s="5" t="s">
        <v>2997</v>
      </c>
      <c r="DY11" s="5" t="s">
        <v>2997</v>
      </c>
      <c r="DZ11" s="5" t="s">
        <v>2997</v>
      </c>
      <c r="EA11" s="5" t="s">
        <v>2997</v>
      </c>
      <c r="EB11" s="5" t="s">
        <v>2997</v>
      </c>
      <c r="EC11" s="5" t="s">
        <v>2997</v>
      </c>
      <c r="ED11" s="5" t="s">
        <v>2997</v>
      </c>
      <c r="EE11" s="5" t="s">
        <v>2997</v>
      </c>
      <c r="EF11" s="5" t="s">
        <v>2997</v>
      </c>
      <c r="EG11" s="5" t="s">
        <v>2997</v>
      </c>
      <c r="EH11" s="21" t="e">
        <f>CHOOSE(CharGenMain!$B$204,BZ11,CD11,CH11,CL11,CP11,CT11,CX11,DB11,DF11,DJ11,DN11,DR11,DV11,DZ11,ED11)</f>
        <v>#VALUE!</v>
      </c>
      <c r="EI11" s="21" t="e">
        <f>CHOOSE(CharGenMain!$B$204,CA11,CE11,CI11,CM11,CQ11,CU11,CY11,DC11,DG11,DK11,DO11,DS11,DW11,EA11,EE11)</f>
        <v>#VALUE!</v>
      </c>
      <c r="EJ11" s="21" t="e">
        <f>CHOOSE(CharGenMain!$B$204,CB11,CF11,CJ11,CN11,CR11,CV11,CZ11,DD11,DH11,DL11,DP11,DT11,DX11,EB11,EF11)</f>
        <v>#VALUE!</v>
      </c>
      <c r="EK11" s="28" t="e">
        <f>CHOOSE(CharGenMain!$B$204,CC11,CG11,CK11,CO11,CS11,CW11,DA11,DE11,DI11,DM11,DQ11,DU11,DY11,EC11,EG11)</f>
        <v>#VALUE!</v>
      </c>
    </row>
    <row r="12" spans="1:141">
      <c r="A12" s="226" t="s">
        <v>425</v>
      </c>
      <c r="B12" s="14" t="s">
        <v>1278</v>
      </c>
      <c r="C12" s="14" t="s">
        <v>2667</v>
      </c>
      <c r="D12" s="14">
        <v>1</v>
      </c>
      <c r="E12" s="14">
        <v>4</v>
      </c>
      <c r="F12" s="14">
        <v>14</v>
      </c>
      <c r="G12" s="14">
        <v>6</v>
      </c>
      <c r="H12" s="14">
        <v>0</v>
      </c>
      <c r="I12" s="14">
        <v>-1</v>
      </c>
      <c r="J12" s="14" t="s">
        <v>1215</v>
      </c>
      <c r="K12" s="14">
        <v>6</v>
      </c>
      <c r="L12" s="14">
        <v>1</v>
      </c>
      <c r="M12" s="14">
        <v>-1</v>
      </c>
      <c r="N12" s="14" t="s">
        <v>1215</v>
      </c>
      <c r="O12" s="14">
        <v>7</v>
      </c>
      <c r="P12" s="14">
        <v>2</v>
      </c>
      <c r="Q12" s="14">
        <v>-1</v>
      </c>
      <c r="R12" s="14" t="s">
        <v>1215</v>
      </c>
      <c r="S12" s="14">
        <v>8</v>
      </c>
      <c r="T12" s="14">
        <v>2</v>
      </c>
      <c r="U12" s="14">
        <v>-1</v>
      </c>
      <c r="V12" s="14" t="s">
        <v>1215</v>
      </c>
      <c r="W12" s="14" t="s">
        <v>2997</v>
      </c>
      <c r="X12" s="14" t="s">
        <v>2997</v>
      </c>
      <c r="Y12" s="14" t="s">
        <v>2997</v>
      </c>
      <c r="Z12" s="14" t="s">
        <v>2997</v>
      </c>
      <c r="AA12" s="14" t="s">
        <v>2997</v>
      </c>
      <c r="AB12" s="14" t="s">
        <v>2997</v>
      </c>
      <c r="AC12" s="14" t="s">
        <v>2997</v>
      </c>
      <c r="AD12" s="14" t="s">
        <v>2997</v>
      </c>
      <c r="AE12" s="14" t="s">
        <v>2997</v>
      </c>
      <c r="AF12" s="14" t="s">
        <v>2997</v>
      </c>
      <c r="AG12" s="14" t="s">
        <v>2997</v>
      </c>
      <c r="AH12" s="14" t="s">
        <v>2997</v>
      </c>
      <c r="AI12" s="14" t="s">
        <v>2997</v>
      </c>
      <c r="AJ12" s="14" t="s">
        <v>2997</v>
      </c>
      <c r="AK12" s="14" t="s">
        <v>2997</v>
      </c>
      <c r="AL12" s="14" t="s">
        <v>2997</v>
      </c>
      <c r="AM12" s="14" t="s">
        <v>2997</v>
      </c>
      <c r="AN12" s="14" t="s">
        <v>2997</v>
      </c>
      <c r="AO12" s="14" t="s">
        <v>2997</v>
      </c>
      <c r="AP12" s="14" t="s">
        <v>2997</v>
      </c>
      <c r="AQ12" s="14" t="s">
        <v>2997</v>
      </c>
      <c r="AR12" s="14" t="s">
        <v>2997</v>
      </c>
      <c r="AS12" s="14" t="s">
        <v>2997</v>
      </c>
      <c r="AT12" s="14" t="s">
        <v>2997</v>
      </c>
      <c r="AU12" s="14" t="s">
        <v>2997</v>
      </c>
      <c r="AV12" s="14" t="s">
        <v>2997</v>
      </c>
      <c r="AW12" s="14" t="s">
        <v>2997</v>
      </c>
      <c r="AX12" s="14" t="s">
        <v>2997</v>
      </c>
      <c r="AY12" s="14" t="s">
        <v>2997</v>
      </c>
      <c r="AZ12" s="14" t="s">
        <v>2997</v>
      </c>
      <c r="BA12" s="14" t="s">
        <v>2997</v>
      </c>
      <c r="BB12" s="14" t="s">
        <v>2997</v>
      </c>
      <c r="BC12" s="14" t="s">
        <v>2997</v>
      </c>
      <c r="BD12" s="14" t="s">
        <v>2997</v>
      </c>
      <c r="BE12" s="14" t="s">
        <v>2997</v>
      </c>
      <c r="BF12" s="14" t="s">
        <v>2997</v>
      </c>
      <c r="BG12" s="14" t="s">
        <v>2997</v>
      </c>
      <c r="BH12" s="14" t="s">
        <v>2997</v>
      </c>
      <c r="BI12" s="14" t="s">
        <v>2997</v>
      </c>
      <c r="BJ12" s="14" t="s">
        <v>2997</v>
      </c>
      <c r="BK12" s="14" t="s">
        <v>2997</v>
      </c>
      <c r="BL12" s="14" t="s">
        <v>2997</v>
      </c>
      <c r="BM12" s="14" t="s">
        <v>2997</v>
      </c>
      <c r="BN12" s="14" t="s">
        <v>2997</v>
      </c>
      <c r="BO12" s="21" t="str">
        <f>CHOOSE(CharGenMain!$B$202,G12,K12,O12,S12,W12,AA12,AE12,AI12,AM12,AQ12,AU12,AY12,BC12,BG12,BK12)</f>
        <v>Thread Max Exceeded</v>
      </c>
      <c r="BP12" s="21" t="str">
        <f>CHOOSE(CharGenMain!$B$202,H12,L12,P12,T12,X12,AB12,AF12,AJ12,AN12,AR12,AV12,AZ12,BD12,BH12,BL12)</f>
        <v>Thread Max Exceeded</v>
      </c>
      <c r="BQ12" s="21" t="str">
        <f>CHOOSE(CharGenMain!$B$202,I12,M12,Q12,U12,Y12,AC12,AG12,AK12,AO12,AS12,AW12,BA12,BE12,BI12,BM12)</f>
        <v>Thread Max Exceeded</v>
      </c>
      <c r="BR12" s="28" t="str">
        <f>CHOOSE(CharGenMain!$B$202,J12,N12,R12,V12,Z12,AD12,AH12,AL12,AP12,AT12,AX12,BB12,BF12,BJ12,BN12)</f>
        <v>Thread Max Exceeded</v>
      </c>
      <c r="BT12" s="226" t="s">
        <v>1399</v>
      </c>
      <c r="BU12" s="14" t="s">
        <v>1400</v>
      </c>
      <c r="BV12" s="14" t="s">
        <v>2223</v>
      </c>
      <c r="BW12" s="14">
        <v>2</v>
      </c>
      <c r="BX12" s="14">
        <v>7</v>
      </c>
      <c r="BY12" s="14">
        <v>13</v>
      </c>
      <c r="BZ12" s="21">
        <v>5</v>
      </c>
      <c r="CA12" s="21">
        <v>2</v>
      </c>
      <c r="CB12" s="21">
        <v>-1</v>
      </c>
      <c r="CC12" s="21" t="s">
        <v>1215</v>
      </c>
      <c r="CD12" s="21">
        <v>6</v>
      </c>
      <c r="CE12" s="21">
        <v>2</v>
      </c>
      <c r="CF12" s="21">
        <v>-1</v>
      </c>
      <c r="CG12" s="21" t="s">
        <v>1215</v>
      </c>
      <c r="CH12" s="21">
        <v>6</v>
      </c>
      <c r="CI12" s="21">
        <v>3</v>
      </c>
      <c r="CJ12" s="21">
        <v>-1</v>
      </c>
      <c r="CK12" s="21" t="s">
        <v>1401</v>
      </c>
      <c r="CL12" s="21">
        <v>6</v>
      </c>
      <c r="CM12" s="21">
        <v>3</v>
      </c>
      <c r="CN12" s="21">
        <v>0</v>
      </c>
      <c r="CO12" s="21" t="s">
        <v>1401</v>
      </c>
      <c r="CP12" s="21">
        <v>6</v>
      </c>
      <c r="CQ12" s="21">
        <v>3</v>
      </c>
      <c r="CR12" s="21">
        <v>0</v>
      </c>
      <c r="CS12" s="21" t="s">
        <v>1401</v>
      </c>
      <c r="CT12" s="21">
        <v>7</v>
      </c>
      <c r="CU12" s="21">
        <v>4</v>
      </c>
      <c r="CV12" s="21">
        <v>0</v>
      </c>
      <c r="CW12" s="21" t="s">
        <v>1401</v>
      </c>
      <c r="CX12" s="21">
        <v>7</v>
      </c>
      <c r="CY12" s="21">
        <v>4</v>
      </c>
      <c r="CZ12" s="21">
        <v>0</v>
      </c>
      <c r="DA12" s="21" t="s">
        <v>1401</v>
      </c>
      <c r="DB12" s="14" t="s">
        <v>2997</v>
      </c>
      <c r="DC12" s="14" t="s">
        <v>2997</v>
      </c>
      <c r="DD12" s="14" t="s">
        <v>2997</v>
      </c>
      <c r="DE12" s="14" t="s">
        <v>2997</v>
      </c>
      <c r="DF12" s="14" t="s">
        <v>2997</v>
      </c>
      <c r="DG12" s="14" t="s">
        <v>2997</v>
      </c>
      <c r="DH12" s="14" t="s">
        <v>2997</v>
      </c>
      <c r="DI12" s="14" t="s">
        <v>2997</v>
      </c>
      <c r="DJ12" s="14" t="s">
        <v>2997</v>
      </c>
      <c r="DK12" s="14" t="s">
        <v>2997</v>
      </c>
      <c r="DL12" s="14" t="s">
        <v>2997</v>
      </c>
      <c r="DM12" s="14" t="s">
        <v>2997</v>
      </c>
      <c r="DN12" s="14" t="s">
        <v>2997</v>
      </c>
      <c r="DO12" s="14" t="s">
        <v>2997</v>
      </c>
      <c r="DP12" s="14" t="s">
        <v>2997</v>
      </c>
      <c r="DQ12" s="14" t="s">
        <v>2997</v>
      </c>
      <c r="DR12" s="14" t="s">
        <v>2997</v>
      </c>
      <c r="DS12" s="14" t="s">
        <v>2997</v>
      </c>
      <c r="DT12" s="14" t="s">
        <v>2997</v>
      </c>
      <c r="DU12" s="14" t="s">
        <v>2997</v>
      </c>
      <c r="DV12" s="14" t="s">
        <v>2997</v>
      </c>
      <c r="DW12" s="14" t="s">
        <v>2997</v>
      </c>
      <c r="DX12" s="14" t="s">
        <v>2997</v>
      </c>
      <c r="DY12" s="14" t="s">
        <v>2997</v>
      </c>
      <c r="DZ12" s="14" t="s">
        <v>2997</v>
      </c>
      <c r="EA12" s="14" t="s">
        <v>2997</v>
      </c>
      <c r="EB12" s="14" t="s">
        <v>2997</v>
      </c>
      <c r="EC12" s="14" t="s">
        <v>2997</v>
      </c>
      <c r="ED12" s="14" t="s">
        <v>2997</v>
      </c>
      <c r="EE12" s="14" t="s">
        <v>2997</v>
      </c>
      <c r="EF12" s="14" t="s">
        <v>2997</v>
      </c>
      <c r="EG12" s="14" t="s">
        <v>2997</v>
      </c>
      <c r="EH12" s="21" t="e">
        <f>CHOOSE(CharGenMain!$B$204,BZ12,CD12,CH12,CL12,CP12,CT12,CX12,DB12,DF12,DJ12,DN12,DR12,DV12,DZ12,ED12)</f>
        <v>#VALUE!</v>
      </c>
      <c r="EI12" s="21" t="e">
        <f>CHOOSE(CharGenMain!$B$204,CA12,CE12,CI12,CM12,CQ12,CU12,CY12,DC12,DG12,DK12,DO12,DS12,DW12,EA12,EE12)</f>
        <v>#VALUE!</v>
      </c>
      <c r="EJ12" s="21" t="e">
        <f>CHOOSE(CharGenMain!$B$204,CB12,CF12,CJ12,CN12,CR12,CV12,CZ12,DD12,DH12,DL12,DP12,DT12,DX12,EB12,EF12)</f>
        <v>#VALUE!</v>
      </c>
      <c r="EK12" s="28" t="e">
        <f>CHOOSE(CharGenMain!$B$204,CC12,CG12,CK12,CO12,CS12,CW12,DA12,DE12,DI12,DM12,DQ12,DU12,DY12,EC12,EG12)</f>
        <v>#VALUE!</v>
      </c>
    </row>
    <row r="13" spans="1:141">
      <c r="A13" s="226" t="s">
        <v>1287</v>
      </c>
      <c r="B13" s="14" t="s">
        <v>1156</v>
      </c>
      <c r="C13" s="14" t="s">
        <v>2667</v>
      </c>
      <c r="D13" s="14">
        <v>3</v>
      </c>
      <c r="E13" s="14">
        <v>4</v>
      </c>
      <c r="F13" s="14">
        <v>14</v>
      </c>
      <c r="G13" s="14">
        <v>8</v>
      </c>
      <c r="H13" s="14">
        <v>0</v>
      </c>
      <c r="I13" s="14">
        <v>-3</v>
      </c>
      <c r="J13" s="14" t="s">
        <v>1396</v>
      </c>
      <c r="K13" s="14">
        <v>9</v>
      </c>
      <c r="L13" s="14">
        <v>1</v>
      </c>
      <c r="M13" s="14">
        <v>-2</v>
      </c>
      <c r="N13" s="14" t="s">
        <v>1397</v>
      </c>
      <c r="O13" s="14">
        <v>10</v>
      </c>
      <c r="P13" s="14">
        <v>0</v>
      </c>
      <c r="Q13" s="14">
        <v>-1</v>
      </c>
      <c r="R13" s="14" t="s">
        <v>1398</v>
      </c>
      <c r="S13" s="14">
        <v>10</v>
      </c>
      <c r="T13" s="14">
        <v>1</v>
      </c>
      <c r="U13" s="14">
        <v>0</v>
      </c>
      <c r="V13" s="14" t="s">
        <v>1397</v>
      </c>
      <c r="W13" s="14" t="s">
        <v>2997</v>
      </c>
      <c r="X13" s="14" t="s">
        <v>2997</v>
      </c>
      <c r="Y13" s="14" t="s">
        <v>2997</v>
      </c>
      <c r="Z13" s="14" t="s">
        <v>2997</v>
      </c>
      <c r="AA13" s="14" t="s">
        <v>2997</v>
      </c>
      <c r="AB13" s="14" t="s">
        <v>2997</v>
      </c>
      <c r="AC13" s="14" t="s">
        <v>2997</v>
      </c>
      <c r="AD13" s="14" t="s">
        <v>2997</v>
      </c>
      <c r="AE13" s="14" t="s">
        <v>2997</v>
      </c>
      <c r="AF13" s="14" t="s">
        <v>2997</v>
      </c>
      <c r="AG13" s="14" t="s">
        <v>2997</v>
      </c>
      <c r="AH13" s="14" t="s">
        <v>2997</v>
      </c>
      <c r="AI13" s="14" t="s">
        <v>2997</v>
      </c>
      <c r="AJ13" s="14" t="s">
        <v>2997</v>
      </c>
      <c r="AK13" s="14" t="s">
        <v>2997</v>
      </c>
      <c r="AL13" s="14" t="s">
        <v>2997</v>
      </c>
      <c r="AM13" s="14" t="s">
        <v>2997</v>
      </c>
      <c r="AN13" s="14" t="s">
        <v>2997</v>
      </c>
      <c r="AO13" s="14" t="s">
        <v>2997</v>
      </c>
      <c r="AP13" s="14" t="s">
        <v>2997</v>
      </c>
      <c r="AQ13" s="14" t="s">
        <v>2997</v>
      </c>
      <c r="AR13" s="14" t="s">
        <v>2997</v>
      </c>
      <c r="AS13" s="14" t="s">
        <v>2997</v>
      </c>
      <c r="AT13" s="14" t="s">
        <v>2997</v>
      </c>
      <c r="AU13" s="14" t="s">
        <v>2997</v>
      </c>
      <c r="AV13" s="14" t="s">
        <v>2997</v>
      </c>
      <c r="AW13" s="14" t="s">
        <v>2997</v>
      </c>
      <c r="AX13" s="14" t="s">
        <v>2997</v>
      </c>
      <c r="AY13" s="14" t="s">
        <v>2997</v>
      </c>
      <c r="AZ13" s="14" t="s">
        <v>2997</v>
      </c>
      <c r="BA13" s="14" t="s">
        <v>2997</v>
      </c>
      <c r="BB13" s="14" t="s">
        <v>2997</v>
      </c>
      <c r="BC13" s="14" t="s">
        <v>2997</v>
      </c>
      <c r="BD13" s="14" t="s">
        <v>2997</v>
      </c>
      <c r="BE13" s="14" t="s">
        <v>2997</v>
      </c>
      <c r="BF13" s="14" t="s">
        <v>2997</v>
      </c>
      <c r="BG13" s="14" t="s">
        <v>2997</v>
      </c>
      <c r="BH13" s="14" t="s">
        <v>2997</v>
      </c>
      <c r="BI13" s="14" t="s">
        <v>2997</v>
      </c>
      <c r="BJ13" s="14" t="s">
        <v>2997</v>
      </c>
      <c r="BK13" s="14" t="s">
        <v>2997</v>
      </c>
      <c r="BL13" s="14" t="s">
        <v>2997</v>
      </c>
      <c r="BM13" s="14" t="s">
        <v>2997</v>
      </c>
      <c r="BN13" s="14" t="s">
        <v>2997</v>
      </c>
      <c r="BO13" s="21" t="str">
        <f>CHOOSE(CharGenMain!$B$202,G13,K13,O13,S13,W13,AA13,AE13,AI13,AM13,AQ13,AU13,AY13,BC13,BG13,BK13)</f>
        <v>Thread Max Exceeded</v>
      </c>
      <c r="BP13" s="21" t="str">
        <f>CHOOSE(CharGenMain!$B$202,H13,L13,P13,T13,X13,AB13,AF13,AJ13,AN13,AR13,AV13,AZ13,BD13,BH13,BL13)</f>
        <v>Thread Max Exceeded</v>
      </c>
      <c r="BQ13" s="21" t="str">
        <f>CHOOSE(CharGenMain!$B$202,I13,M13,Q13,U13,Y13,AC13,AG13,AK13,AO13,AS13,AW13,BA13,BE13,BI13,BM13)</f>
        <v>Thread Max Exceeded</v>
      </c>
      <c r="BR13" s="28" t="str">
        <f>CHOOSE(CharGenMain!$B$202,J13,N13,R13,V13,Z13,AD13,AH13,AL13,AP13,AT13,AX13,BB13,BF13,BJ13,BN13)</f>
        <v>Thread Max Exceeded</v>
      </c>
      <c r="BT13" s="226" t="s">
        <v>1290</v>
      </c>
      <c r="BU13" s="14" t="s">
        <v>1400</v>
      </c>
      <c r="BV13" s="14" t="s">
        <v>2223</v>
      </c>
      <c r="BW13" s="14">
        <v>2</v>
      </c>
      <c r="BX13" s="14">
        <v>7</v>
      </c>
      <c r="BY13" s="14">
        <v>13</v>
      </c>
      <c r="BZ13" s="21">
        <v>7</v>
      </c>
      <c r="CA13" s="21">
        <v>2</v>
      </c>
      <c r="CB13" s="21">
        <v>-1</v>
      </c>
      <c r="CC13" s="21" t="s">
        <v>1215</v>
      </c>
      <c r="CD13" s="21">
        <v>8</v>
      </c>
      <c r="CE13" s="21">
        <v>2</v>
      </c>
      <c r="CF13" s="21">
        <v>-1</v>
      </c>
      <c r="CG13" s="21" t="s">
        <v>1215</v>
      </c>
      <c r="CH13" s="21">
        <v>8</v>
      </c>
      <c r="CI13" s="21">
        <v>3</v>
      </c>
      <c r="CJ13" s="21">
        <v>-1</v>
      </c>
      <c r="CK13" s="21" t="s">
        <v>1401</v>
      </c>
      <c r="CL13" s="21">
        <v>8</v>
      </c>
      <c r="CM13" s="21">
        <v>3</v>
      </c>
      <c r="CN13" s="21">
        <v>0</v>
      </c>
      <c r="CO13" s="101" t="s">
        <v>1401</v>
      </c>
      <c r="CP13" s="21">
        <v>8</v>
      </c>
      <c r="CQ13" s="21">
        <v>3</v>
      </c>
      <c r="CR13" s="21">
        <v>0</v>
      </c>
      <c r="CS13" s="21" t="s">
        <v>1401</v>
      </c>
      <c r="CT13" s="21">
        <v>8</v>
      </c>
      <c r="CU13" s="21">
        <v>3</v>
      </c>
      <c r="CV13" s="21">
        <v>0</v>
      </c>
      <c r="CW13" s="21" t="s">
        <v>1291</v>
      </c>
      <c r="CX13" s="21">
        <v>9</v>
      </c>
      <c r="CY13" s="21">
        <v>4</v>
      </c>
      <c r="CZ13" s="21">
        <v>0</v>
      </c>
      <c r="DA13" s="21" t="s">
        <v>1291</v>
      </c>
      <c r="DB13" s="21">
        <v>9</v>
      </c>
      <c r="DC13" s="21">
        <v>4</v>
      </c>
      <c r="DD13" s="21">
        <v>0</v>
      </c>
      <c r="DE13" s="21" t="s">
        <v>1292</v>
      </c>
      <c r="DF13" s="14" t="s">
        <v>2997</v>
      </c>
      <c r="DG13" s="14" t="s">
        <v>2997</v>
      </c>
      <c r="DH13" s="14" t="s">
        <v>2997</v>
      </c>
      <c r="DI13" s="14" t="s">
        <v>2997</v>
      </c>
      <c r="DJ13" s="14" t="s">
        <v>2997</v>
      </c>
      <c r="DK13" s="14" t="s">
        <v>2997</v>
      </c>
      <c r="DL13" s="14" t="s">
        <v>2997</v>
      </c>
      <c r="DM13" s="14" t="s">
        <v>2997</v>
      </c>
      <c r="DN13" s="14" t="s">
        <v>2997</v>
      </c>
      <c r="DO13" s="14" t="s">
        <v>2997</v>
      </c>
      <c r="DP13" s="14" t="s">
        <v>2997</v>
      </c>
      <c r="DQ13" s="14" t="s">
        <v>2997</v>
      </c>
      <c r="DR13" s="14" t="s">
        <v>2997</v>
      </c>
      <c r="DS13" s="14" t="s">
        <v>2997</v>
      </c>
      <c r="DT13" s="14" t="s">
        <v>2997</v>
      </c>
      <c r="DU13" s="14" t="s">
        <v>2997</v>
      </c>
      <c r="DV13" s="14" t="s">
        <v>2997</v>
      </c>
      <c r="DW13" s="14" t="s">
        <v>2997</v>
      </c>
      <c r="DX13" s="14" t="s">
        <v>2997</v>
      </c>
      <c r="DY13" s="14" t="s">
        <v>2997</v>
      </c>
      <c r="DZ13" s="14" t="s">
        <v>2997</v>
      </c>
      <c r="EA13" s="14" t="s">
        <v>2997</v>
      </c>
      <c r="EB13" s="14" t="s">
        <v>2997</v>
      </c>
      <c r="EC13" s="14" t="s">
        <v>2997</v>
      </c>
      <c r="ED13" s="14" t="s">
        <v>2997</v>
      </c>
      <c r="EE13" s="14" t="s">
        <v>2997</v>
      </c>
      <c r="EF13" s="14" t="s">
        <v>2997</v>
      </c>
      <c r="EG13" s="14" t="s">
        <v>2997</v>
      </c>
      <c r="EH13" s="21" t="e">
        <f>CHOOSE(CharGenMain!$B$204,BZ13,CD13,CH13,CL13,CP13,CT13,CX13,DB13,DF13,DJ13,DN13,DR13,DV13,DZ13,ED13)</f>
        <v>#VALUE!</v>
      </c>
      <c r="EI13" s="21" t="e">
        <f>CHOOSE(CharGenMain!$B$204,CA13,CE13,CI13,CM13,CQ13,CU13,CY13,DC13,DG13,DK13,DO13,DS13,DW13,EA13,EE13)</f>
        <v>#VALUE!</v>
      </c>
      <c r="EJ13" s="21" t="e">
        <f>CHOOSE(CharGenMain!$B$204,CB13,CF13,CJ13,CN13,CR13,CV13,CZ13,DD13,DH13,DL13,DP13,DT13,DX13,EB13,EF13)</f>
        <v>#VALUE!</v>
      </c>
      <c r="EK13" s="28" t="e">
        <f>CHOOSE(CharGenMain!$B$204,CC13,CG13,CK13,CO13,CS13,CW13,DA13,DE13,DI13,DM13,DQ13,DU13,DY13,EC13,EG13)</f>
        <v>#VALUE!</v>
      </c>
    </row>
    <row r="14" spans="1:141">
      <c r="A14" s="20" t="s">
        <v>1288</v>
      </c>
      <c r="B14" s="14" t="s">
        <v>1289</v>
      </c>
      <c r="C14" s="14" t="s">
        <v>2279</v>
      </c>
      <c r="D14" s="14">
        <v>3</v>
      </c>
      <c r="E14" s="14">
        <v>7</v>
      </c>
      <c r="F14" s="14">
        <v>18</v>
      </c>
      <c r="G14" s="14">
        <v>4</v>
      </c>
      <c r="H14" s="14">
        <v>4</v>
      </c>
      <c r="I14" s="14">
        <v>0</v>
      </c>
      <c r="J14" s="14" t="s">
        <v>1215</v>
      </c>
      <c r="K14" s="14">
        <v>5</v>
      </c>
      <c r="L14" s="14">
        <v>5</v>
      </c>
      <c r="M14" s="14">
        <v>0</v>
      </c>
      <c r="N14" s="14" t="s">
        <v>1215</v>
      </c>
      <c r="O14" s="14">
        <v>5</v>
      </c>
      <c r="P14" s="14">
        <v>5</v>
      </c>
      <c r="Q14" s="14">
        <v>0</v>
      </c>
      <c r="R14" s="14" t="s">
        <v>2578</v>
      </c>
      <c r="S14" s="14">
        <v>6</v>
      </c>
      <c r="T14" s="14">
        <v>6</v>
      </c>
      <c r="U14" s="14">
        <v>0</v>
      </c>
      <c r="V14" s="14" t="s">
        <v>2578</v>
      </c>
      <c r="W14" s="14">
        <v>6</v>
      </c>
      <c r="X14" s="14">
        <v>6</v>
      </c>
      <c r="Y14" s="14">
        <v>0</v>
      </c>
      <c r="Z14" s="14" t="s">
        <v>2578</v>
      </c>
      <c r="AA14" s="14">
        <v>7</v>
      </c>
      <c r="AB14" s="14">
        <v>7</v>
      </c>
      <c r="AC14" s="14">
        <v>0</v>
      </c>
      <c r="AD14" s="14" t="s">
        <v>2578</v>
      </c>
      <c r="AE14" s="14">
        <v>7</v>
      </c>
      <c r="AF14" s="14">
        <v>7</v>
      </c>
      <c r="AG14" s="14">
        <v>0</v>
      </c>
      <c r="AH14" s="14" t="s">
        <v>2578</v>
      </c>
      <c r="AI14" s="14" t="s">
        <v>2997</v>
      </c>
      <c r="AJ14" s="14" t="s">
        <v>2997</v>
      </c>
      <c r="AK14" s="14" t="s">
        <v>2997</v>
      </c>
      <c r="AL14" s="14" t="s">
        <v>2997</v>
      </c>
      <c r="AM14" s="14" t="s">
        <v>2997</v>
      </c>
      <c r="AN14" s="14" t="s">
        <v>2997</v>
      </c>
      <c r="AO14" s="14" t="s">
        <v>2997</v>
      </c>
      <c r="AP14" s="14" t="s">
        <v>2997</v>
      </c>
      <c r="AQ14" s="14" t="s">
        <v>2997</v>
      </c>
      <c r="AR14" s="14" t="s">
        <v>2997</v>
      </c>
      <c r="AS14" s="14" t="s">
        <v>2997</v>
      </c>
      <c r="AT14" s="14" t="s">
        <v>2997</v>
      </c>
      <c r="AU14" s="14" t="s">
        <v>2997</v>
      </c>
      <c r="AV14" s="14" t="s">
        <v>2997</v>
      </c>
      <c r="AW14" s="14" t="s">
        <v>2997</v>
      </c>
      <c r="AX14" s="14" t="s">
        <v>2997</v>
      </c>
      <c r="AY14" s="14" t="s">
        <v>2997</v>
      </c>
      <c r="AZ14" s="14" t="s">
        <v>2997</v>
      </c>
      <c r="BA14" s="14" t="s">
        <v>2997</v>
      </c>
      <c r="BB14" s="14" t="s">
        <v>2997</v>
      </c>
      <c r="BC14" s="14" t="s">
        <v>2997</v>
      </c>
      <c r="BD14" s="14" t="s">
        <v>2997</v>
      </c>
      <c r="BE14" s="14" t="s">
        <v>2997</v>
      </c>
      <c r="BF14" s="14" t="s">
        <v>2997</v>
      </c>
      <c r="BG14" s="14" t="s">
        <v>2997</v>
      </c>
      <c r="BH14" s="14" t="s">
        <v>2997</v>
      </c>
      <c r="BI14" s="14" t="s">
        <v>2997</v>
      </c>
      <c r="BJ14" s="14" t="s">
        <v>2997</v>
      </c>
      <c r="BK14" s="14" t="s">
        <v>2997</v>
      </c>
      <c r="BL14" s="14" t="s">
        <v>2997</v>
      </c>
      <c r="BM14" s="14" t="s">
        <v>2997</v>
      </c>
      <c r="BN14" s="14" t="s">
        <v>2997</v>
      </c>
      <c r="BO14" s="21">
        <f>CHOOSE(CharGenMain!$B$202,G14,K14,O14,S14,W14,AA14,AE14,AI14,AM14,AQ14,AU14,AY14,BC14,BG14,BK14)</f>
        <v>7</v>
      </c>
      <c r="BP14" s="21">
        <f>CHOOSE(CharGenMain!$B$202,H14,L14,P14,T14,X14,AB14,AF14,AJ14,AN14,AR14,AV14,AZ14,BD14,BH14,BL14)</f>
        <v>7</v>
      </c>
      <c r="BQ14" s="21">
        <f>CHOOSE(CharGenMain!$B$202,I14,M14,Q14,U14,Y14,AC14,AG14,AK14,AO14,AS14,AW14,BA14,BE14,BI14,BM14)</f>
        <v>0</v>
      </c>
      <c r="BR14" s="28" t="str">
        <f>CHOOSE(CharGenMain!$B$202,J14,N14,R14,V14,Z14,AD14,AH14,AL14,AP14,AT14,AX14,BB14,BF14,BJ14,BN14)</f>
        <v>see text</v>
      </c>
      <c r="BT14" s="226" t="s">
        <v>1294</v>
      </c>
      <c r="BU14" s="14" t="s">
        <v>1400</v>
      </c>
      <c r="BV14" s="14" t="s">
        <v>2223</v>
      </c>
      <c r="BW14" s="14">
        <v>2</v>
      </c>
      <c r="BX14" s="14">
        <v>7</v>
      </c>
      <c r="BY14" s="14">
        <v>13</v>
      </c>
      <c r="BZ14" s="21">
        <v>3</v>
      </c>
      <c r="CA14" s="21">
        <v>2</v>
      </c>
      <c r="CB14" s="21">
        <v>0</v>
      </c>
      <c r="CC14" s="21" t="s">
        <v>1215</v>
      </c>
      <c r="CD14" s="21">
        <v>4</v>
      </c>
      <c r="CE14" s="21">
        <v>2</v>
      </c>
      <c r="CF14" s="21">
        <v>0</v>
      </c>
      <c r="CG14" s="21" t="s">
        <v>1215</v>
      </c>
      <c r="CH14" s="21">
        <v>4</v>
      </c>
      <c r="CI14" s="21">
        <v>3</v>
      </c>
      <c r="CJ14" s="21">
        <v>0</v>
      </c>
      <c r="CK14" s="21" t="s">
        <v>1401</v>
      </c>
      <c r="CL14" s="21">
        <v>4</v>
      </c>
      <c r="CM14" s="21">
        <v>3</v>
      </c>
      <c r="CN14" s="21">
        <v>0</v>
      </c>
      <c r="CO14" s="101" t="s">
        <v>1401</v>
      </c>
      <c r="CP14" s="21">
        <v>4</v>
      </c>
      <c r="CQ14" s="21">
        <v>3</v>
      </c>
      <c r="CR14" s="21">
        <v>0</v>
      </c>
      <c r="CS14" s="21" t="s">
        <v>1401</v>
      </c>
      <c r="CT14" s="21">
        <v>4</v>
      </c>
      <c r="CU14" s="21">
        <v>3</v>
      </c>
      <c r="CV14" s="21">
        <v>0</v>
      </c>
      <c r="CW14" s="21" t="s">
        <v>1291</v>
      </c>
      <c r="CX14" s="21">
        <v>5</v>
      </c>
      <c r="CY14" s="21">
        <v>4</v>
      </c>
      <c r="CZ14" s="21">
        <v>0</v>
      </c>
      <c r="DA14" s="21" t="s">
        <v>1291</v>
      </c>
      <c r="DB14" s="21">
        <v>5</v>
      </c>
      <c r="DC14" s="21">
        <v>4</v>
      </c>
      <c r="DD14" s="21">
        <v>0</v>
      </c>
      <c r="DE14" s="21" t="s">
        <v>1292</v>
      </c>
      <c r="DF14" s="14" t="s">
        <v>2997</v>
      </c>
      <c r="DG14" s="14" t="s">
        <v>2997</v>
      </c>
      <c r="DH14" s="14" t="s">
        <v>2997</v>
      </c>
      <c r="DI14" s="14" t="s">
        <v>2997</v>
      </c>
      <c r="DJ14" s="14" t="s">
        <v>2997</v>
      </c>
      <c r="DK14" s="14" t="s">
        <v>2997</v>
      </c>
      <c r="DL14" s="14" t="s">
        <v>2997</v>
      </c>
      <c r="DM14" s="14" t="s">
        <v>2997</v>
      </c>
      <c r="DN14" s="14" t="s">
        <v>2997</v>
      </c>
      <c r="DO14" s="14" t="s">
        <v>2997</v>
      </c>
      <c r="DP14" s="14" t="s">
        <v>2997</v>
      </c>
      <c r="DQ14" s="14" t="s">
        <v>2997</v>
      </c>
      <c r="DR14" s="14" t="s">
        <v>2997</v>
      </c>
      <c r="DS14" s="14" t="s">
        <v>2997</v>
      </c>
      <c r="DT14" s="14" t="s">
        <v>2997</v>
      </c>
      <c r="DU14" s="14" t="s">
        <v>2997</v>
      </c>
      <c r="DV14" s="14" t="s">
        <v>2997</v>
      </c>
      <c r="DW14" s="14" t="s">
        <v>2997</v>
      </c>
      <c r="DX14" s="14" t="s">
        <v>2997</v>
      </c>
      <c r="DY14" s="14" t="s">
        <v>2997</v>
      </c>
      <c r="DZ14" s="14" t="s">
        <v>2997</v>
      </c>
      <c r="EA14" s="14" t="s">
        <v>2997</v>
      </c>
      <c r="EB14" s="14" t="s">
        <v>2997</v>
      </c>
      <c r="EC14" s="14" t="s">
        <v>2997</v>
      </c>
      <c r="ED14" s="14" t="s">
        <v>2997</v>
      </c>
      <c r="EE14" s="14" t="s">
        <v>2997</v>
      </c>
      <c r="EF14" s="14" t="s">
        <v>2997</v>
      </c>
      <c r="EG14" s="14" t="s">
        <v>2997</v>
      </c>
      <c r="EH14" s="21" t="e">
        <f>CHOOSE(CharGenMain!$B$204,BZ14,CD14,CH14,CL14,CP14,CT14,CX14,DB14,DF14,DJ14,DN14,DR14,DV14,DZ14,ED14)</f>
        <v>#VALUE!</v>
      </c>
      <c r="EI14" s="21" t="e">
        <f>CHOOSE(CharGenMain!$B$204,CA14,CE14,CI14,CM14,CQ14,CU14,CY14,DC14,DG14,DK14,DO14,DS14,DW14,EA14,EE14)</f>
        <v>#VALUE!</v>
      </c>
      <c r="EJ14" s="21" t="e">
        <f>CHOOSE(CharGenMain!$B$204,CB14,CF14,CJ14,CN14,CR14,CV14,CZ14,DD14,DH14,DL14,DP14,DT14,DX14,EB14,EF14)</f>
        <v>#VALUE!</v>
      </c>
      <c r="EK14" s="28" t="e">
        <f>CHOOSE(CharGenMain!$B$204,CC14,CG14,CK14,CO14,CS14,CW14,DA14,DE14,DI14,DM14,DQ14,DU14,DY14,EC14,EG14)</f>
        <v>#VALUE!</v>
      </c>
    </row>
    <row r="15" spans="1:141">
      <c r="A15" s="226" t="s">
        <v>1293</v>
      </c>
      <c r="B15" s="14" t="s">
        <v>1278</v>
      </c>
      <c r="C15" s="14" t="s">
        <v>2667</v>
      </c>
      <c r="D15" s="14">
        <v>2</v>
      </c>
      <c r="E15" s="14">
        <v>4</v>
      </c>
      <c r="F15" s="14">
        <v>9</v>
      </c>
      <c r="G15" s="14">
        <v>4</v>
      </c>
      <c r="H15" s="14">
        <v>0</v>
      </c>
      <c r="I15" s="14">
        <v>0</v>
      </c>
      <c r="J15" s="14" t="s">
        <v>1215</v>
      </c>
      <c r="K15" s="14">
        <v>4</v>
      </c>
      <c r="L15" s="14">
        <v>1</v>
      </c>
      <c r="M15" s="14">
        <v>0</v>
      </c>
      <c r="N15" s="14" t="s">
        <v>1215</v>
      </c>
      <c r="O15" s="14">
        <v>5</v>
      </c>
      <c r="P15" s="14">
        <v>2</v>
      </c>
      <c r="Q15" s="14">
        <v>0</v>
      </c>
      <c r="R15" s="14" t="s">
        <v>1215</v>
      </c>
      <c r="S15" s="14">
        <v>5</v>
      </c>
      <c r="T15" s="14">
        <v>3</v>
      </c>
      <c r="U15" s="14">
        <v>0</v>
      </c>
      <c r="V15" s="14" t="s">
        <v>1215</v>
      </c>
      <c r="W15" s="14" t="s">
        <v>2997</v>
      </c>
      <c r="X15" s="14" t="s">
        <v>2997</v>
      </c>
      <c r="Y15" s="14" t="s">
        <v>2997</v>
      </c>
      <c r="Z15" s="14" t="s">
        <v>2997</v>
      </c>
      <c r="AA15" s="14" t="s">
        <v>2997</v>
      </c>
      <c r="AB15" s="14" t="s">
        <v>2997</v>
      </c>
      <c r="AC15" s="14" t="s">
        <v>2997</v>
      </c>
      <c r="AD15" s="14" t="s">
        <v>2997</v>
      </c>
      <c r="AE15" s="14" t="s">
        <v>2997</v>
      </c>
      <c r="AF15" s="14" t="s">
        <v>2997</v>
      </c>
      <c r="AG15" s="14" t="s">
        <v>2997</v>
      </c>
      <c r="AH15" s="14" t="s">
        <v>2997</v>
      </c>
      <c r="AI15" s="14" t="s">
        <v>2997</v>
      </c>
      <c r="AJ15" s="14" t="s">
        <v>2997</v>
      </c>
      <c r="AK15" s="14" t="s">
        <v>2997</v>
      </c>
      <c r="AL15" s="14" t="s">
        <v>2997</v>
      </c>
      <c r="AM15" s="14" t="s">
        <v>2997</v>
      </c>
      <c r="AN15" s="14" t="s">
        <v>2997</v>
      </c>
      <c r="AO15" s="14" t="s">
        <v>2997</v>
      </c>
      <c r="AP15" s="14" t="s">
        <v>2997</v>
      </c>
      <c r="AQ15" s="14" t="s">
        <v>2997</v>
      </c>
      <c r="AR15" s="14" t="s">
        <v>2997</v>
      </c>
      <c r="AS15" s="14" t="s">
        <v>2997</v>
      </c>
      <c r="AT15" s="14" t="s">
        <v>2997</v>
      </c>
      <c r="AU15" s="14" t="s">
        <v>2997</v>
      </c>
      <c r="AV15" s="14" t="s">
        <v>2997</v>
      </c>
      <c r="AW15" s="14" t="s">
        <v>2997</v>
      </c>
      <c r="AX15" s="14" t="s">
        <v>2997</v>
      </c>
      <c r="AY15" s="14" t="s">
        <v>2997</v>
      </c>
      <c r="AZ15" s="14" t="s">
        <v>2997</v>
      </c>
      <c r="BA15" s="14" t="s">
        <v>2997</v>
      </c>
      <c r="BB15" s="14" t="s">
        <v>2997</v>
      </c>
      <c r="BC15" s="14" t="s">
        <v>2997</v>
      </c>
      <c r="BD15" s="14" t="s">
        <v>2997</v>
      </c>
      <c r="BE15" s="14" t="s">
        <v>2997</v>
      </c>
      <c r="BF15" s="14" t="s">
        <v>2997</v>
      </c>
      <c r="BG15" s="14" t="s">
        <v>2997</v>
      </c>
      <c r="BH15" s="14" t="s">
        <v>2997</v>
      </c>
      <c r="BI15" s="14" t="s">
        <v>2997</v>
      </c>
      <c r="BJ15" s="14" t="s">
        <v>2997</v>
      </c>
      <c r="BK15" s="14" t="s">
        <v>2997</v>
      </c>
      <c r="BL15" s="14" t="s">
        <v>2997</v>
      </c>
      <c r="BM15" s="14" t="s">
        <v>2997</v>
      </c>
      <c r="BN15" s="14" t="s">
        <v>2997</v>
      </c>
      <c r="BO15" s="21" t="str">
        <f>CHOOSE(CharGenMain!$B$202,G15,K15,O15,S15,W15,AA15,AE15,AI15,AM15,AQ15,AU15,AY15,BC15,BG15,BK15)</f>
        <v>Thread Max Exceeded</v>
      </c>
      <c r="BP15" s="21" t="str">
        <f>CHOOSE(CharGenMain!$B$202,H15,L15,P15,T15,X15,AB15,AF15,AJ15,AN15,AR15,AV15,AZ15,BD15,BH15,BL15)</f>
        <v>Thread Max Exceeded</v>
      </c>
      <c r="BQ15" s="21" t="str">
        <f>CHOOSE(CharGenMain!$B$202,I15,M15,Q15,U15,Y15,AC15,AG15,AK15,AO15,AS15,AW15,BA15,BE15,BI15,BM15)</f>
        <v>Thread Max Exceeded</v>
      </c>
      <c r="BR15" s="28" t="str">
        <f>CHOOSE(CharGenMain!$B$202,J15,N15,R15,V15,Z15,AD15,AH15,AL15,AP15,AT15,AX15,BB15,BF15,BJ15,BN15)</f>
        <v>Thread Max Exceeded</v>
      </c>
      <c r="BT15" s="226" t="s">
        <v>1297</v>
      </c>
      <c r="BU15" s="14" t="s">
        <v>1400</v>
      </c>
      <c r="BV15" s="14" t="s">
        <v>2223</v>
      </c>
      <c r="BW15" s="14">
        <v>2</v>
      </c>
      <c r="BX15" s="14">
        <v>7</v>
      </c>
      <c r="BY15" s="14">
        <v>13</v>
      </c>
      <c r="BZ15" s="21">
        <v>5</v>
      </c>
      <c r="CA15" s="21">
        <v>2</v>
      </c>
      <c r="CB15" s="21">
        <v>0</v>
      </c>
      <c r="CC15" s="21" t="s">
        <v>1215</v>
      </c>
      <c r="CD15" s="21">
        <v>6</v>
      </c>
      <c r="CE15" s="21">
        <v>2</v>
      </c>
      <c r="CF15" s="21">
        <v>0</v>
      </c>
      <c r="CG15" s="21" t="s">
        <v>1215</v>
      </c>
      <c r="CH15" s="21">
        <v>6</v>
      </c>
      <c r="CI15" s="21">
        <v>3</v>
      </c>
      <c r="CJ15" s="21">
        <v>0</v>
      </c>
      <c r="CK15" s="21" t="s">
        <v>1401</v>
      </c>
      <c r="CL15" s="21">
        <v>6</v>
      </c>
      <c r="CM15" s="21">
        <v>3</v>
      </c>
      <c r="CN15" s="21">
        <v>0</v>
      </c>
      <c r="CO15" s="101" t="s">
        <v>1401</v>
      </c>
      <c r="CP15" s="21">
        <v>6</v>
      </c>
      <c r="CQ15" s="21">
        <v>3</v>
      </c>
      <c r="CR15" s="21">
        <v>0</v>
      </c>
      <c r="CS15" s="21" t="s">
        <v>1401</v>
      </c>
      <c r="CT15" s="21">
        <v>6</v>
      </c>
      <c r="CU15" s="21">
        <v>3</v>
      </c>
      <c r="CV15" s="21">
        <v>0</v>
      </c>
      <c r="CW15" s="21" t="s">
        <v>1291</v>
      </c>
      <c r="CX15" s="21">
        <v>7</v>
      </c>
      <c r="CY15" s="21">
        <v>4</v>
      </c>
      <c r="CZ15" s="21">
        <v>0</v>
      </c>
      <c r="DA15" s="21" t="s">
        <v>1291</v>
      </c>
      <c r="DB15" s="21">
        <v>7</v>
      </c>
      <c r="DC15" s="21">
        <v>4</v>
      </c>
      <c r="DD15" s="21">
        <v>0</v>
      </c>
      <c r="DE15" s="21" t="s">
        <v>1292</v>
      </c>
      <c r="DF15" s="14" t="s">
        <v>2997</v>
      </c>
      <c r="DG15" s="14" t="s">
        <v>2997</v>
      </c>
      <c r="DH15" s="14" t="s">
        <v>2997</v>
      </c>
      <c r="DI15" s="14" t="s">
        <v>2997</v>
      </c>
      <c r="DJ15" s="14" t="s">
        <v>2997</v>
      </c>
      <c r="DK15" s="14" t="s">
        <v>2997</v>
      </c>
      <c r="DL15" s="14" t="s">
        <v>2997</v>
      </c>
      <c r="DM15" s="14" t="s">
        <v>2997</v>
      </c>
      <c r="DN15" s="14" t="s">
        <v>2997</v>
      </c>
      <c r="DO15" s="14" t="s">
        <v>2997</v>
      </c>
      <c r="DP15" s="14" t="s">
        <v>2997</v>
      </c>
      <c r="DQ15" s="14" t="s">
        <v>2997</v>
      </c>
      <c r="DR15" s="14" t="s">
        <v>2997</v>
      </c>
      <c r="DS15" s="14" t="s">
        <v>2997</v>
      </c>
      <c r="DT15" s="14" t="s">
        <v>2997</v>
      </c>
      <c r="DU15" s="14" t="s">
        <v>2997</v>
      </c>
      <c r="DV15" s="14" t="s">
        <v>2997</v>
      </c>
      <c r="DW15" s="14" t="s">
        <v>2997</v>
      </c>
      <c r="DX15" s="14" t="s">
        <v>2997</v>
      </c>
      <c r="DY15" s="14" t="s">
        <v>2997</v>
      </c>
      <c r="DZ15" s="14" t="s">
        <v>2997</v>
      </c>
      <c r="EA15" s="14" t="s">
        <v>2997</v>
      </c>
      <c r="EB15" s="14" t="s">
        <v>2997</v>
      </c>
      <c r="EC15" s="14" t="s">
        <v>2997</v>
      </c>
      <c r="ED15" s="14" t="s">
        <v>2997</v>
      </c>
      <c r="EE15" s="14" t="s">
        <v>2997</v>
      </c>
      <c r="EF15" s="14" t="s">
        <v>2997</v>
      </c>
      <c r="EG15" s="14" t="s">
        <v>2997</v>
      </c>
      <c r="EH15" s="21" t="e">
        <f>CHOOSE(CharGenMain!$B$204,BZ15,CD15,CH15,CL15,CP15,CT15,CX15,DB15,DF15,DJ15,DN15,DR15,DV15,DZ15,ED15)</f>
        <v>#VALUE!</v>
      </c>
      <c r="EI15" s="21" t="e">
        <f>CHOOSE(CharGenMain!$B$204,CA15,CE15,CI15,CM15,CQ15,CU15,CY15,DC15,DG15,DK15,DO15,DS15,DW15,EA15,EE15)</f>
        <v>#VALUE!</v>
      </c>
      <c r="EJ15" s="21" t="e">
        <f>CHOOSE(CharGenMain!$B$204,CB15,CF15,CJ15,CN15,CR15,CV15,CZ15,DD15,DH15,DL15,DP15,DT15,DX15,EB15,EF15)</f>
        <v>#VALUE!</v>
      </c>
      <c r="EK15" s="28" t="e">
        <f>CHOOSE(CharGenMain!$B$204,CC15,CG15,CK15,CO15,CS15,CW15,DA15,DE15,DI15,DM15,DQ15,DU15,DY15,EC15,EG15)</f>
        <v>#VALUE!</v>
      </c>
    </row>
    <row r="16" spans="1:141">
      <c r="A16" s="20" t="s">
        <v>1295</v>
      </c>
      <c r="B16" s="14" t="s">
        <v>1296</v>
      </c>
      <c r="C16" s="14" t="s">
        <v>2279</v>
      </c>
      <c r="D16" s="14">
        <v>1</v>
      </c>
      <c r="E16" s="14">
        <v>6</v>
      </c>
      <c r="F16" s="14">
        <v>14</v>
      </c>
      <c r="G16" s="14">
        <v>6</v>
      </c>
      <c r="H16" s="14">
        <v>0</v>
      </c>
      <c r="I16" s="14">
        <v>-1</v>
      </c>
      <c r="J16" s="14" t="s">
        <v>1215</v>
      </c>
      <c r="K16" s="14">
        <v>6</v>
      </c>
      <c r="L16" s="14">
        <v>1</v>
      </c>
      <c r="M16" s="14">
        <v>-1</v>
      </c>
      <c r="N16" s="14" t="s">
        <v>1215</v>
      </c>
      <c r="O16" s="14">
        <v>7</v>
      </c>
      <c r="P16" s="14">
        <v>2</v>
      </c>
      <c r="Q16" s="14">
        <v>-1</v>
      </c>
      <c r="R16" s="14" t="s">
        <v>1215</v>
      </c>
      <c r="S16" s="14">
        <v>8</v>
      </c>
      <c r="T16" s="14">
        <v>2</v>
      </c>
      <c r="U16" s="14">
        <v>-1</v>
      </c>
      <c r="V16" s="14" t="s">
        <v>1215</v>
      </c>
      <c r="W16" s="14">
        <v>8</v>
      </c>
      <c r="X16" s="14">
        <v>3</v>
      </c>
      <c r="Y16" s="14">
        <v>-1</v>
      </c>
      <c r="Z16" s="14" t="s">
        <v>1215</v>
      </c>
      <c r="AA16" s="14">
        <v>8</v>
      </c>
      <c r="AB16" s="14">
        <v>4</v>
      </c>
      <c r="AC16" s="14">
        <v>0</v>
      </c>
      <c r="AD16" s="14" t="s">
        <v>1215</v>
      </c>
      <c r="AE16" s="14" t="s">
        <v>2997</v>
      </c>
      <c r="AF16" s="14" t="s">
        <v>2997</v>
      </c>
      <c r="AG16" s="14" t="s">
        <v>2997</v>
      </c>
      <c r="AH16" s="14" t="s">
        <v>2997</v>
      </c>
      <c r="AI16" s="14" t="s">
        <v>2997</v>
      </c>
      <c r="AJ16" s="14" t="s">
        <v>2997</v>
      </c>
      <c r="AK16" s="14" t="s">
        <v>2997</v>
      </c>
      <c r="AL16" s="14" t="s">
        <v>2997</v>
      </c>
      <c r="AM16" s="14" t="s">
        <v>2997</v>
      </c>
      <c r="AN16" s="14" t="s">
        <v>2997</v>
      </c>
      <c r="AO16" s="14" t="s">
        <v>2997</v>
      </c>
      <c r="AP16" s="14" t="s">
        <v>2997</v>
      </c>
      <c r="AQ16" s="14" t="s">
        <v>2997</v>
      </c>
      <c r="AR16" s="14" t="s">
        <v>2997</v>
      </c>
      <c r="AS16" s="14" t="s">
        <v>2997</v>
      </c>
      <c r="AT16" s="14" t="s">
        <v>2997</v>
      </c>
      <c r="AU16" s="14" t="s">
        <v>2997</v>
      </c>
      <c r="AV16" s="14" t="s">
        <v>2997</v>
      </c>
      <c r="AW16" s="14" t="s">
        <v>2997</v>
      </c>
      <c r="AX16" s="14" t="s">
        <v>2997</v>
      </c>
      <c r="AY16" s="14" t="s">
        <v>2997</v>
      </c>
      <c r="AZ16" s="14" t="s">
        <v>2997</v>
      </c>
      <c r="BA16" s="14" t="s">
        <v>2997</v>
      </c>
      <c r="BB16" s="14" t="s">
        <v>2997</v>
      </c>
      <c r="BC16" s="14" t="s">
        <v>2997</v>
      </c>
      <c r="BD16" s="14" t="s">
        <v>2997</v>
      </c>
      <c r="BE16" s="14" t="s">
        <v>2997</v>
      </c>
      <c r="BF16" s="14" t="s">
        <v>2997</v>
      </c>
      <c r="BG16" s="14" t="s">
        <v>2997</v>
      </c>
      <c r="BH16" s="14" t="s">
        <v>2997</v>
      </c>
      <c r="BI16" s="14" t="s">
        <v>2997</v>
      </c>
      <c r="BJ16" s="14" t="s">
        <v>2997</v>
      </c>
      <c r="BK16" s="14" t="s">
        <v>2997</v>
      </c>
      <c r="BL16" s="14" t="s">
        <v>2997</v>
      </c>
      <c r="BM16" s="14" t="s">
        <v>2997</v>
      </c>
      <c r="BN16" s="14" t="s">
        <v>2997</v>
      </c>
      <c r="BO16" s="21">
        <f>CHOOSE(CharGenMain!$B$202,G16,K16,O16,S16,W16,AA16,AE16,AI16,AM16,AQ16,AU16,AY16,BC16,BG16,BK16)</f>
        <v>8</v>
      </c>
      <c r="BP16" s="21">
        <f>CHOOSE(CharGenMain!$B$202,H16,L16,P16,T16,X16,AB16,AF16,AJ16,AN16,AR16,AV16,AZ16,BD16,BH16,BL16)</f>
        <v>4</v>
      </c>
      <c r="BQ16" s="21">
        <f>CHOOSE(CharGenMain!$B$202,I16,M16,Q16,U16,Y16,AC16,AG16,AK16,AO16,AS16,AW16,BA16,BE16,BI16,BM16)</f>
        <v>0</v>
      </c>
      <c r="BR16" s="28" t="str">
        <f>CHOOSE(CharGenMain!$B$202,J16,N16,R16,V16,Z16,AD16,AH16,AL16,AP16,AT16,AX16,BB16,BF16,BJ16,BN16)</f>
        <v>none</v>
      </c>
      <c r="BT16" s="226" t="s">
        <v>1167</v>
      </c>
      <c r="BU16" s="14" t="s">
        <v>1400</v>
      </c>
      <c r="BV16" s="14" t="s">
        <v>2223</v>
      </c>
      <c r="BW16" s="14">
        <v>2</v>
      </c>
      <c r="BX16" s="14">
        <v>7</v>
      </c>
      <c r="BY16" s="14">
        <v>13</v>
      </c>
      <c r="BZ16" s="21">
        <v>5</v>
      </c>
      <c r="CA16" s="21">
        <v>2</v>
      </c>
      <c r="CB16" s="21">
        <v>0</v>
      </c>
      <c r="CC16" s="21" t="s">
        <v>1215</v>
      </c>
      <c r="CD16" s="21">
        <v>6</v>
      </c>
      <c r="CE16" s="21">
        <v>2</v>
      </c>
      <c r="CF16" s="21">
        <v>0</v>
      </c>
      <c r="CG16" s="21" t="s">
        <v>1215</v>
      </c>
      <c r="CH16" s="21">
        <v>6</v>
      </c>
      <c r="CI16" s="21">
        <v>3</v>
      </c>
      <c r="CJ16" s="21">
        <v>0</v>
      </c>
      <c r="CK16" s="21" t="s">
        <v>1401</v>
      </c>
      <c r="CL16" s="21">
        <v>6</v>
      </c>
      <c r="CM16" s="21">
        <v>3</v>
      </c>
      <c r="CN16" s="21">
        <v>0</v>
      </c>
      <c r="CO16" s="101" t="s">
        <v>1401</v>
      </c>
      <c r="CP16" s="21">
        <v>6</v>
      </c>
      <c r="CQ16" s="21">
        <v>3</v>
      </c>
      <c r="CR16" s="21">
        <v>0</v>
      </c>
      <c r="CS16" s="21" t="s">
        <v>1401</v>
      </c>
      <c r="CT16" s="21">
        <v>6</v>
      </c>
      <c r="CU16" s="21">
        <v>3</v>
      </c>
      <c r="CV16" s="21">
        <v>0</v>
      </c>
      <c r="CW16" s="21" t="s">
        <v>1291</v>
      </c>
      <c r="CX16" s="21">
        <v>7</v>
      </c>
      <c r="CY16" s="21">
        <v>4</v>
      </c>
      <c r="CZ16" s="21">
        <v>0</v>
      </c>
      <c r="DA16" s="21" t="s">
        <v>1291</v>
      </c>
      <c r="DB16" s="21">
        <v>7</v>
      </c>
      <c r="DC16" s="21">
        <v>4</v>
      </c>
      <c r="DD16" s="21">
        <v>0</v>
      </c>
      <c r="DE16" s="21" t="s">
        <v>1292</v>
      </c>
      <c r="DF16" s="14" t="s">
        <v>2997</v>
      </c>
      <c r="DG16" s="14" t="s">
        <v>2997</v>
      </c>
      <c r="DH16" s="14" t="s">
        <v>2997</v>
      </c>
      <c r="DI16" s="14" t="s">
        <v>2997</v>
      </c>
      <c r="DJ16" s="14" t="s">
        <v>2997</v>
      </c>
      <c r="DK16" s="14" t="s">
        <v>2997</v>
      </c>
      <c r="DL16" s="14" t="s">
        <v>2997</v>
      </c>
      <c r="DM16" s="14" t="s">
        <v>2997</v>
      </c>
      <c r="DN16" s="14" t="s">
        <v>2997</v>
      </c>
      <c r="DO16" s="14" t="s">
        <v>2997</v>
      </c>
      <c r="DP16" s="14" t="s">
        <v>2997</v>
      </c>
      <c r="DQ16" s="14" t="s">
        <v>2997</v>
      </c>
      <c r="DR16" s="14" t="s">
        <v>2997</v>
      </c>
      <c r="DS16" s="14" t="s">
        <v>2997</v>
      </c>
      <c r="DT16" s="14" t="s">
        <v>2997</v>
      </c>
      <c r="DU16" s="14" t="s">
        <v>2997</v>
      </c>
      <c r="DV16" s="14" t="s">
        <v>2997</v>
      </c>
      <c r="DW16" s="14" t="s">
        <v>2997</v>
      </c>
      <c r="DX16" s="14" t="s">
        <v>2997</v>
      </c>
      <c r="DY16" s="14" t="s">
        <v>2997</v>
      </c>
      <c r="DZ16" s="14" t="s">
        <v>2997</v>
      </c>
      <c r="EA16" s="14" t="s">
        <v>2997</v>
      </c>
      <c r="EB16" s="14" t="s">
        <v>2997</v>
      </c>
      <c r="EC16" s="14" t="s">
        <v>2997</v>
      </c>
      <c r="ED16" s="14" t="s">
        <v>2997</v>
      </c>
      <c r="EE16" s="14" t="s">
        <v>2997</v>
      </c>
      <c r="EF16" s="14" t="s">
        <v>2997</v>
      </c>
      <c r="EG16" s="14" t="s">
        <v>2997</v>
      </c>
      <c r="EH16" s="21" t="e">
        <f>CHOOSE(CharGenMain!$B$204,BZ16,CD16,CH16,CL16,CP16,CT16,CX16,DB16,DF16,DJ16,DN16,DR16,DV16,DZ16,ED16)</f>
        <v>#VALUE!</v>
      </c>
      <c r="EI16" s="21" t="e">
        <f>CHOOSE(CharGenMain!$B$204,CA16,CE16,CI16,CM16,CQ16,CU16,CY16,DC16,DG16,DK16,DO16,DS16,DW16,EA16,EE16)</f>
        <v>#VALUE!</v>
      </c>
      <c r="EJ16" s="21" t="e">
        <f>CHOOSE(CharGenMain!$B$204,CB16,CF16,CJ16,CN16,CR16,CV16,CZ16,DD16,DH16,DL16,DP16,DT16,DX16,EB16,EF16)</f>
        <v>#VALUE!</v>
      </c>
      <c r="EK16" s="28" t="e">
        <f>CHOOSE(CharGenMain!$B$204,CC16,CG16,CK16,CO16,CS16,CW16,DA16,DE16,DI16,DM16,DQ16,DU16,DY16,EC16,EG16)</f>
        <v>#VALUE!</v>
      </c>
    </row>
    <row r="17" spans="1:141">
      <c r="A17" s="226" t="s">
        <v>1166</v>
      </c>
      <c r="B17" s="14" t="s">
        <v>1618</v>
      </c>
      <c r="C17" s="14" t="s">
        <v>2667</v>
      </c>
      <c r="D17" s="14">
        <v>3</v>
      </c>
      <c r="E17" s="14">
        <v>4</v>
      </c>
      <c r="F17" s="14">
        <v>18</v>
      </c>
      <c r="G17" s="14">
        <v>4</v>
      </c>
      <c r="H17" s="14">
        <v>2</v>
      </c>
      <c r="I17" s="14">
        <v>0</v>
      </c>
      <c r="J17" s="14" t="s">
        <v>1215</v>
      </c>
      <c r="K17" s="14">
        <v>5</v>
      </c>
      <c r="L17" s="14">
        <v>3</v>
      </c>
      <c r="M17" s="14">
        <v>0</v>
      </c>
      <c r="N17" s="14" t="s">
        <v>1215</v>
      </c>
      <c r="O17" s="14">
        <v>6</v>
      </c>
      <c r="P17" s="14">
        <v>4</v>
      </c>
      <c r="Q17" s="14">
        <v>0</v>
      </c>
      <c r="R17" s="14" t="s">
        <v>1215</v>
      </c>
      <c r="S17" s="14">
        <v>6</v>
      </c>
      <c r="T17" s="14">
        <v>5</v>
      </c>
      <c r="U17" s="14">
        <v>0</v>
      </c>
      <c r="V17" s="14" t="s">
        <v>1215</v>
      </c>
      <c r="W17" s="14" t="s">
        <v>2997</v>
      </c>
      <c r="X17" s="14" t="s">
        <v>2997</v>
      </c>
      <c r="Y17" s="14" t="s">
        <v>2997</v>
      </c>
      <c r="Z17" s="14" t="s">
        <v>2997</v>
      </c>
      <c r="AA17" s="14" t="s">
        <v>2997</v>
      </c>
      <c r="AB17" s="14" t="s">
        <v>2997</v>
      </c>
      <c r="AC17" s="14" t="s">
        <v>2997</v>
      </c>
      <c r="AD17" s="14" t="s">
        <v>2997</v>
      </c>
      <c r="AE17" s="14" t="s">
        <v>2997</v>
      </c>
      <c r="AF17" s="14" t="s">
        <v>2997</v>
      </c>
      <c r="AG17" s="14" t="s">
        <v>2997</v>
      </c>
      <c r="AH17" s="14" t="s">
        <v>2997</v>
      </c>
      <c r="AI17" s="14" t="s">
        <v>2997</v>
      </c>
      <c r="AJ17" s="14" t="s">
        <v>2997</v>
      </c>
      <c r="AK17" s="14" t="s">
        <v>2997</v>
      </c>
      <c r="AL17" s="14" t="s">
        <v>2997</v>
      </c>
      <c r="AM17" s="14" t="s">
        <v>2997</v>
      </c>
      <c r="AN17" s="14" t="s">
        <v>2997</v>
      </c>
      <c r="AO17" s="14" t="s">
        <v>2997</v>
      </c>
      <c r="AP17" s="14" t="s">
        <v>2997</v>
      </c>
      <c r="AQ17" s="14" t="s">
        <v>2997</v>
      </c>
      <c r="AR17" s="14" t="s">
        <v>2997</v>
      </c>
      <c r="AS17" s="14" t="s">
        <v>2997</v>
      </c>
      <c r="AT17" s="14" t="s">
        <v>2997</v>
      </c>
      <c r="AU17" s="14" t="s">
        <v>2997</v>
      </c>
      <c r="AV17" s="14" t="s">
        <v>2997</v>
      </c>
      <c r="AW17" s="14" t="s">
        <v>2997</v>
      </c>
      <c r="AX17" s="14" t="s">
        <v>2997</v>
      </c>
      <c r="AY17" s="14" t="s">
        <v>2997</v>
      </c>
      <c r="AZ17" s="14" t="s">
        <v>2997</v>
      </c>
      <c r="BA17" s="14" t="s">
        <v>2997</v>
      </c>
      <c r="BB17" s="14" t="s">
        <v>2997</v>
      </c>
      <c r="BC17" s="14" t="s">
        <v>2997</v>
      </c>
      <c r="BD17" s="14" t="s">
        <v>2997</v>
      </c>
      <c r="BE17" s="14" t="s">
        <v>2997</v>
      </c>
      <c r="BF17" s="14" t="s">
        <v>2997</v>
      </c>
      <c r="BG17" s="14" t="s">
        <v>2997</v>
      </c>
      <c r="BH17" s="14" t="s">
        <v>2997</v>
      </c>
      <c r="BI17" s="14" t="s">
        <v>2997</v>
      </c>
      <c r="BJ17" s="14" t="s">
        <v>2997</v>
      </c>
      <c r="BK17" s="14" t="s">
        <v>2997</v>
      </c>
      <c r="BL17" s="14" t="s">
        <v>2997</v>
      </c>
      <c r="BM17" s="14" t="s">
        <v>2997</v>
      </c>
      <c r="BN17" s="14" t="s">
        <v>2997</v>
      </c>
      <c r="BO17" s="21" t="str">
        <f>CHOOSE(CharGenMain!$B$202,G17,K17,O17,S17,W17,AA17,AE17,AI17,AM17,AQ17,AU17,AY17,BC17,BG17,BK17)</f>
        <v>Thread Max Exceeded</v>
      </c>
      <c r="BP17" s="21" t="str">
        <f>CHOOSE(CharGenMain!$B$202,H17,L17,P17,T17,X17,AB17,AF17,AJ17,AN17,AR17,AV17,AZ17,BD17,BH17,BL17)</f>
        <v>Thread Max Exceeded</v>
      </c>
      <c r="BQ17" s="21" t="str">
        <f>CHOOSE(CharGenMain!$B$202,I17,M17,Q17,U17,Y17,AC17,AG17,AK17,AO17,AS17,AW17,BA17,BE17,BI17,BM17)</f>
        <v>Thread Max Exceeded</v>
      </c>
      <c r="BR17" s="28" t="str">
        <f>CHOOSE(CharGenMain!$B$202,J17,N17,R17,V17,Z17,AD17,AH17,AL17,AP17,AT17,AX17,BB17,BF17,BJ17,BN17)</f>
        <v>Thread Max Exceeded</v>
      </c>
      <c r="BT17" s="20" t="s">
        <v>1169</v>
      </c>
      <c r="BU17" s="14" t="s">
        <v>1170</v>
      </c>
      <c r="BV17" s="14" t="s">
        <v>2279</v>
      </c>
      <c r="BW17" s="14">
        <v>3</v>
      </c>
      <c r="BX17" s="14">
        <v>9</v>
      </c>
      <c r="BY17" s="14">
        <v>14</v>
      </c>
      <c r="BZ17" s="168">
        <v>1</v>
      </c>
      <c r="CA17" s="168">
        <v>1</v>
      </c>
      <c r="CB17" s="168">
        <v>0</v>
      </c>
      <c r="CC17" s="101" t="s">
        <v>1171</v>
      </c>
      <c r="CD17" s="168">
        <v>2</v>
      </c>
      <c r="CE17" s="168">
        <v>2</v>
      </c>
      <c r="CF17" s="168">
        <v>0</v>
      </c>
      <c r="CG17" s="101" t="s">
        <v>1171</v>
      </c>
      <c r="CH17" s="168">
        <v>2</v>
      </c>
      <c r="CI17" s="168">
        <v>2</v>
      </c>
      <c r="CJ17" s="168">
        <v>0</v>
      </c>
      <c r="CK17" s="101" t="s">
        <v>1076</v>
      </c>
      <c r="CL17" s="168">
        <v>3</v>
      </c>
      <c r="CM17" s="168">
        <v>3</v>
      </c>
      <c r="CN17" s="168">
        <v>0</v>
      </c>
      <c r="CO17" s="101" t="s">
        <v>1076</v>
      </c>
      <c r="CP17" s="168">
        <v>3</v>
      </c>
      <c r="CQ17" s="168">
        <v>3</v>
      </c>
      <c r="CR17" s="168">
        <v>0</v>
      </c>
      <c r="CS17" s="101" t="s">
        <v>1076</v>
      </c>
      <c r="CT17" s="168">
        <v>4</v>
      </c>
      <c r="CU17" s="168">
        <v>4</v>
      </c>
      <c r="CV17" s="168">
        <v>0</v>
      </c>
      <c r="CW17" s="101" t="s">
        <v>1076</v>
      </c>
      <c r="CX17" s="168">
        <v>4</v>
      </c>
      <c r="CY17" s="168">
        <v>4</v>
      </c>
      <c r="CZ17" s="168">
        <v>0</v>
      </c>
      <c r="DA17" s="101" t="s">
        <v>1077</v>
      </c>
      <c r="DB17" s="168">
        <v>4</v>
      </c>
      <c r="DC17" s="168">
        <v>4</v>
      </c>
      <c r="DD17" s="168">
        <v>0</v>
      </c>
      <c r="DE17" s="101" t="s">
        <v>1078</v>
      </c>
      <c r="DF17" s="168">
        <v>4</v>
      </c>
      <c r="DG17" s="168">
        <v>4</v>
      </c>
      <c r="DH17" s="168">
        <v>0</v>
      </c>
      <c r="DI17" s="101" t="s">
        <v>1324</v>
      </c>
      <c r="DJ17" s="14" t="s">
        <v>2997</v>
      </c>
      <c r="DK17" s="14" t="s">
        <v>2997</v>
      </c>
      <c r="DL17" s="14" t="s">
        <v>2997</v>
      </c>
      <c r="DM17" s="14" t="s">
        <v>2997</v>
      </c>
      <c r="DN17" s="14" t="s">
        <v>2997</v>
      </c>
      <c r="DO17" s="14" t="s">
        <v>2997</v>
      </c>
      <c r="DP17" s="14" t="s">
        <v>2997</v>
      </c>
      <c r="DQ17" s="14" t="s">
        <v>2997</v>
      </c>
      <c r="DR17" s="14" t="s">
        <v>2997</v>
      </c>
      <c r="DS17" s="14" t="s">
        <v>2997</v>
      </c>
      <c r="DT17" s="14" t="s">
        <v>2997</v>
      </c>
      <c r="DU17" s="14" t="s">
        <v>2997</v>
      </c>
      <c r="DV17" s="14" t="s">
        <v>2997</v>
      </c>
      <c r="DW17" s="14" t="s">
        <v>2997</v>
      </c>
      <c r="DX17" s="14" t="s">
        <v>2997</v>
      </c>
      <c r="DY17" s="14" t="s">
        <v>2997</v>
      </c>
      <c r="DZ17" s="14" t="s">
        <v>2997</v>
      </c>
      <c r="EA17" s="14" t="s">
        <v>2997</v>
      </c>
      <c r="EB17" s="14" t="s">
        <v>2997</v>
      </c>
      <c r="EC17" s="14" t="s">
        <v>2997</v>
      </c>
      <c r="ED17" s="14" t="s">
        <v>2997</v>
      </c>
      <c r="EE17" s="14" t="s">
        <v>2997</v>
      </c>
      <c r="EF17" s="14" t="s">
        <v>2997</v>
      </c>
      <c r="EG17" s="14" t="s">
        <v>2997</v>
      </c>
      <c r="EH17" s="21" t="e">
        <f>CHOOSE(CharGenMain!$B$204,BZ17,CD17,CH17,CL17,CP17,CT17,CX17,DB17,DF17,DJ17,DN17,DR17,DV17,DZ17,ED17)</f>
        <v>#VALUE!</v>
      </c>
      <c r="EI17" s="21" t="e">
        <f>CHOOSE(CharGenMain!$B$204,CA17,CE17,CI17,CM17,CQ17,CU17,CY17,DC17,DG17,DK17,DO17,DS17,DW17,EA17,EE17)</f>
        <v>#VALUE!</v>
      </c>
      <c r="EJ17" s="21" t="e">
        <f>CHOOSE(CharGenMain!$B$204,CB17,CF17,CJ17,CN17,CR17,CV17,CZ17,DD17,DH17,DL17,DP17,DT17,DX17,EB17,EF17)</f>
        <v>#VALUE!</v>
      </c>
      <c r="EK17" s="28" t="e">
        <f>CHOOSE(CharGenMain!$B$204,CC17,CG17,CK17,CO17,CS17,CW17,DA17,DE17,DI17,DM17,DQ17,DU17,DY17,EC17,EG17)</f>
        <v>#VALUE!</v>
      </c>
    </row>
    <row r="18" spans="1:141">
      <c r="A18" s="226" t="s">
        <v>1168</v>
      </c>
      <c r="B18" s="14" t="s">
        <v>1278</v>
      </c>
      <c r="C18" s="14" t="s">
        <v>2667</v>
      </c>
      <c r="D18" s="14">
        <v>4</v>
      </c>
      <c r="E18" s="14">
        <v>4</v>
      </c>
      <c r="F18" s="14">
        <v>25</v>
      </c>
      <c r="G18" s="14">
        <v>10</v>
      </c>
      <c r="H18" s="14">
        <v>1</v>
      </c>
      <c r="I18" s="14">
        <v>-4</v>
      </c>
      <c r="J18" s="14" t="s">
        <v>1215</v>
      </c>
      <c r="K18" s="14">
        <v>10</v>
      </c>
      <c r="L18" s="14">
        <v>1</v>
      </c>
      <c r="M18" s="14">
        <v>-3</v>
      </c>
      <c r="N18" s="14" t="s">
        <v>1215</v>
      </c>
      <c r="O18" s="14">
        <v>11</v>
      </c>
      <c r="P18" s="14">
        <v>1</v>
      </c>
      <c r="Q18" s="14">
        <v>2</v>
      </c>
      <c r="R18" s="14" t="s">
        <v>1215</v>
      </c>
      <c r="S18" s="14">
        <v>11</v>
      </c>
      <c r="T18" s="14">
        <v>2</v>
      </c>
      <c r="U18" s="14">
        <v>-1</v>
      </c>
      <c r="V18" s="14" t="s">
        <v>1215</v>
      </c>
      <c r="W18" s="14" t="s">
        <v>2997</v>
      </c>
      <c r="X18" s="14" t="s">
        <v>2997</v>
      </c>
      <c r="Y18" s="14" t="s">
        <v>2997</v>
      </c>
      <c r="Z18" s="14" t="s">
        <v>2997</v>
      </c>
      <c r="AA18" s="14" t="s">
        <v>2997</v>
      </c>
      <c r="AB18" s="14" t="s">
        <v>2997</v>
      </c>
      <c r="AC18" s="14" t="s">
        <v>2997</v>
      </c>
      <c r="AD18" s="14" t="s">
        <v>2997</v>
      </c>
      <c r="AE18" s="14" t="s">
        <v>2997</v>
      </c>
      <c r="AF18" s="14" t="s">
        <v>2997</v>
      </c>
      <c r="AG18" s="14" t="s">
        <v>2997</v>
      </c>
      <c r="AH18" s="14" t="s">
        <v>2997</v>
      </c>
      <c r="AI18" s="14" t="s">
        <v>2997</v>
      </c>
      <c r="AJ18" s="14" t="s">
        <v>2997</v>
      </c>
      <c r="AK18" s="14" t="s">
        <v>2997</v>
      </c>
      <c r="AL18" s="14" t="s">
        <v>2997</v>
      </c>
      <c r="AM18" s="14" t="s">
        <v>2997</v>
      </c>
      <c r="AN18" s="14" t="s">
        <v>2997</v>
      </c>
      <c r="AO18" s="14" t="s">
        <v>2997</v>
      </c>
      <c r="AP18" s="14" t="s">
        <v>2997</v>
      </c>
      <c r="AQ18" s="14" t="s">
        <v>2997</v>
      </c>
      <c r="AR18" s="14" t="s">
        <v>2997</v>
      </c>
      <c r="AS18" s="14" t="s">
        <v>2997</v>
      </c>
      <c r="AT18" s="14" t="s">
        <v>2997</v>
      </c>
      <c r="AU18" s="14" t="s">
        <v>2997</v>
      </c>
      <c r="AV18" s="14" t="s">
        <v>2997</v>
      </c>
      <c r="AW18" s="14" t="s">
        <v>2997</v>
      </c>
      <c r="AX18" s="14" t="s">
        <v>2997</v>
      </c>
      <c r="AY18" s="14" t="s">
        <v>2997</v>
      </c>
      <c r="AZ18" s="14" t="s">
        <v>2997</v>
      </c>
      <c r="BA18" s="14" t="s">
        <v>2997</v>
      </c>
      <c r="BB18" s="14" t="s">
        <v>2997</v>
      </c>
      <c r="BC18" s="14" t="s">
        <v>2997</v>
      </c>
      <c r="BD18" s="14" t="s">
        <v>2997</v>
      </c>
      <c r="BE18" s="14" t="s">
        <v>2997</v>
      </c>
      <c r="BF18" s="14" t="s">
        <v>2997</v>
      </c>
      <c r="BG18" s="14" t="s">
        <v>2997</v>
      </c>
      <c r="BH18" s="14" t="s">
        <v>2997</v>
      </c>
      <c r="BI18" s="14" t="s">
        <v>2997</v>
      </c>
      <c r="BJ18" s="14" t="s">
        <v>2997</v>
      </c>
      <c r="BK18" s="14" t="s">
        <v>2997</v>
      </c>
      <c r="BL18" s="14" t="s">
        <v>2997</v>
      </c>
      <c r="BM18" s="14" t="s">
        <v>2997</v>
      </c>
      <c r="BN18" s="14" t="s">
        <v>2997</v>
      </c>
      <c r="BO18" s="21" t="str">
        <f>CHOOSE(CharGenMain!$B$202,G18,K18,O18,S18,W18,AA18,AE18,AI18,AM18,AQ18,AU18,AY18,BC18,BG18,BK18)</f>
        <v>Thread Max Exceeded</v>
      </c>
      <c r="BP18" s="21" t="str">
        <f>CHOOSE(CharGenMain!$B$202,H18,L18,P18,T18,X18,AB18,AF18,AJ18,AN18,AR18,AV18,AZ18,BD18,BH18,BL18)</f>
        <v>Thread Max Exceeded</v>
      </c>
      <c r="BQ18" s="21" t="str">
        <f>CHOOSE(CharGenMain!$B$202,I18,M18,Q18,U18,Y18,AC18,AG18,AK18,AO18,AS18,AW18,BA18,BE18,BI18,BM18)</f>
        <v>Thread Max Exceeded</v>
      </c>
      <c r="BR18" s="28" t="str">
        <f>CHOOSE(CharGenMain!$B$202,J18,N18,R18,V18,Z18,AD18,AH18,AL18,AP18,AT18,AX18,BB18,BF18,BJ18,BN18)</f>
        <v>Thread Max Exceeded</v>
      </c>
      <c r="BT18" s="22" t="s">
        <v>1326</v>
      </c>
      <c r="BU18" s="23" t="s">
        <v>1327</v>
      </c>
      <c r="BV18" s="23" t="s">
        <v>2279</v>
      </c>
      <c r="BW18" s="23">
        <v>4</v>
      </c>
      <c r="BX18" s="23">
        <v>6</v>
      </c>
      <c r="BY18" s="23">
        <v>19</v>
      </c>
      <c r="BZ18" s="29">
        <v>3</v>
      </c>
      <c r="CA18" s="29">
        <v>1</v>
      </c>
      <c r="CB18" s="29">
        <v>0</v>
      </c>
      <c r="CC18" s="29" t="s">
        <v>1215</v>
      </c>
      <c r="CD18" s="29">
        <v>4</v>
      </c>
      <c r="CE18" s="29">
        <v>2</v>
      </c>
      <c r="CF18" s="29">
        <v>0</v>
      </c>
      <c r="CG18" s="29" t="s">
        <v>1215</v>
      </c>
      <c r="CH18" s="29">
        <v>4</v>
      </c>
      <c r="CI18" s="29">
        <v>2</v>
      </c>
      <c r="CJ18" s="29">
        <v>0</v>
      </c>
      <c r="CK18" s="229" t="s">
        <v>1207</v>
      </c>
      <c r="CL18" s="29">
        <v>5</v>
      </c>
      <c r="CM18" s="29">
        <v>3</v>
      </c>
      <c r="CN18" s="29">
        <v>0</v>
      </c>
      <c r="CO18" s="229" t="s">
        <v>1207</v>
      </c>
      <c r="CP18" s="29">
        <v>5</v>
      </c>
      <c r="CQ18" s="29">
        <v>3</v>
      </c>
      <c r="CR18" s="29">
        <v>0</v>
      </c>
      <c r="CS18" s="229" t="s">
        <v>1212</v>
      </c>
      <c r="CT18" s="29">
        <v>6</v>
      </c>
      <c r="CU18" s="29">
        <v>4</v>
      </c>
      <c r="CV18" s="29">
        <v>0</v>
      </c>
      <c r="CW18" s="229" t="s">
        <v>1213</v>
      </c>
      <c r="CX18" s="23" t="s">
        <v>2997</v>
      </c>
      <c r="CY18" s="23" t="s">
        <v>2997</v>
      </c>
      <c r="CZ18" s="23" t="s">
        <v>2997</v>
      </c>
      <c r="DA18" s="23" t="s">
        <v>2997</v>
      </c>
      <c r="DB18" s="23" t="s">
        <v>2997</v>
      </c>
      <c r="DC18" s="23" t="s">
        <v>2997</v>
      </c>
      <c r="DD18" s="23" t="s">
        <v>2997</v>
      </c>
      <c r="DE18" s="23" t="s">
        <v>2997</v>
      </c>
      <c r="DF18" s="23" t="s">
        <v>2997</v>
      </c>
      <c r="DG18" s="23" t="s">
        <v>2997</v>
      </c>
      <c r="DH18" s="23" t="s">
        <v>2997</v>
      </c>
      <c r="DI18" s="23" t="s">
        <v>2997</v>
      </c>
      <c r="DJ18" s="23" t="s">
        <v>2997</v>
      </c>
      <c r="DK18" s="23" t="s">
        <v>2997</v>
      </c>
      <c r="DL18" s="23" t="s">
        <v>2997</v>
      </c>
      <c r="DM18" s="23" t="s">
        <v>2997</v>
      </c>
      <c r="DN18" s="23" t="s">
        <v>2997</v>
      </c>
      <c r="DO18" s="23" t="s">
        <v>2997</v>
      </c>
      <c r="DP18" s="23" t="s">
        <v>2997</v>
      </c>
      <c r="DQ18" s="23" t="s">
        <v>2997</v>
      </c>
      <c r="DR18" s="23" t="s">
        <v>2997</v>
      </c>
      <c r="DS18" s="23" t="s">
        <v>2997</v>
      </c>
      <c r="DT18" s="23" t="s">
        <v>2997</v>
      </c>
      <c r="DU18" s="23" t="s">
        <v>2997</v>
      </c>
      <c r="DV18" s="23" t="s">
        <v>2997</v>
      </c>
      <c r="DW18" s="23" t="s">
        <v>2997</v>
      </c>
      <c r="DX18" s="23" t="s">
        <v>2997</v>
      </c>
      <c r="DY18" s="23" t="s">
        <v>2997</v>
      </c>
      <c r="DZ18" s="23" t="s">
        <v>2997</v>
      </c>
      <c r="EA18" s="23" t="s">
        <v>2997</v>
      </c>
      <c r="EB18" s="23" t="s">
        <v>2997</v>
      </c>
      <c r="EC18" s="23" t="s">
        <v>2997</v>
      </c>
      <c r="ED18" s="23" t="s">
        <v>2997</v>
      </c>
      <c r="EE18" s="23" t="s">
        <v>2997</v>
      </c>
      <c r="EF18" s="23" t="s">
        <v>2997</v>
      </c>
      <c r="EG18" s="23" t="s">
        <v>2997</v>
      </c>
      <c r="EH18" s="29" t="e">
        <f>CHOOSE(CharGenMain!$B$204,BZ18,CD18,CH18,CL18,CP18,CT18,CX18,DB18,DF18,DJ18,DN18,DR18,DV18,DZ18,ED18)</f>
        <v>#VALUE!</v>
      </c>
      <c r="EI18" s="29" t="e">
        <f>CHOOSE(CharGenMain!$B$204,CA18,CE18,CI18,CM18,CQ18,CU18,CY18,DC18,DG18,DK18,DO18,DS18,DW18,EA18,EE18)</f>
        <v>#VALUE!</v>
      </c>
      <c r="EJ18" s="29" t="e">
        <f>CHOOSE(CharGenMain!$B$204,CB18,CF18,CJ18,CN18,CR18,CV18,CZ18,DD18,DH18,DL18,DP18,DT18,DX18,EB18,EF18)</f>
        <v>#VALUE!</v>
      </c>
      <c r="EK18" s="61" t="e">
        <f>CHOOSE(CharGenMain!$B$204,CC18,CG18,CK18,CO18,CS18,CW18,DA18,DE18,DI18,DM18,DQ18,DU18,DY18,EC18,EG18)</f>
        <v>#VALUE!</v>
      </c>
    </row>
    <row r="19" spans="1:141">
      <c r="A19" s="205" t="s">
        <v>5740</v>
      </c>
      <c r="B19" s="14" t="s">
        <v>532</v>
      </c>
      <c r="C19" s="14" t="s">
        <v>2279</v>
      </c>
      <c r="D19" s="14">
        <v>3</v>
      </c>
      <c r="E19" s="14">
        <v>8</v>
      </c>
      <c r="F19" s="14">
        <v>14</v>
      </c>
      <c r="G19" s="14">
        <v>3</v>
      </c>
      <c r="H19" s="14">
        <v>3</v>
      </c>
      <c r="I19" s="14">
        <v>0</v>
      </c>
      <c r="J19" s="14" t="s">
        <v>1215</v>
      </c>
      <c r="K19" s="14">
        <v>3</v>
      </c>
      <c r="L19" s="14">
        <v>4</v>
      </c>
      <c r="M19" s="14">
        <v>0</v>
      </c>
      <c r="N19" s="14" t="s">
        <v>1215</v>
      </c>
      <c r="O19" s="14">
        <v>4</v>
      </c>
      <c r="P19" s="14">
        <v>4</v>
      </c>
      <c r="Q19" s="14">
        <v>0</v>
      </c>
      <c r="R19" s="14" t="s">
        <v>1215</v>
      </c>
      <c r="S19" s="14">
        <v>4</v>
      </c>
      <c r="T19" s="14">
        <v>4</v>
      </c>
      <c r="U19" s="14">
        <v>0</v>
      </c>
      <c r="V19" s="106" t="s">
        <v>5741</v>
      </c>
      <c r="W19" s="14">
        <v>4</v>
      </c>
      <c r="X19" s="14">
        <v>4</v>
      </c>
      <c r="Y19" s="14">
        <v>0</v>
      </c>
      <c r="Z19" s="106" t="s">
        <v>5742</v>
      </c>
      <c r="AA19" s="14">
        <v>4</v>
      </c>
      <c r="AB19" s="14">
        <v>4</v>
      </c>
      <c r="AC19" s="14">
        <v>0</v>
      </c>
      <c r="AD19" s="106" t="s">
        <v>5581</v>
      </c>
      <c r="AE19" s="14">
        <v>5</v>
      </c>
      <c r="AF19" s="14">
        <v>5</v>
      </c>
      <c r="AG19" s="14">
        <v>0</v>
      </c>
      <c r="AH19" s="106" t="s">
        <v>5581</v>
      </c>
      <c r="AI19" s="14">
        <v>5</v>
      </c>
      <c r="AJ19" s="14">
        <v>5</v>
      </c>
      <c r="AK19" s="14">
        <v>0</v>
      </c>
      <c r="AL19" s="106" t="s">
        <v>5581</v>
      </c>
      <c r="AM19" s="14" t="s">
        <v>2997</v>
      </c>
      <c r="AN19" s="14" t="s">
        <v>2997</v>
      </c>
      <c r="AO19" s="14" t="s">
        <v>2997</v>
      </c>
      <c r="AP19" s="14" t="s">
        <v>2997</v>
      </c>
      <c r="AQ19" s="14" t="s">
        <v>2997</v>
      </c>
      <c r="AR19" s="14" t="s">
        <v>2997</v>
      </c>
      <c r="AS19" s="14" t="s">
        <v>2997</v>
      </c>
      <c r="AT19" s="14" t="s">
        <v>2997</v>
      </c>
      <c r="AU19" s="14" t="s">
        <v>2997</v>
      </c>
      <c r="AV19" s="14" t="s">
        <v>2997</v>
      </c>
      <c r="AW19" s="14" t="s">
        <v>2997</v>
      </c>
      <c r="AX19" s="14" t="s">
        <v>2997</v>
      </c>
      <c r="AY19" s="14" t="s">
        <v>2997</v>
      </c>
      <c r="AZ19" s="14" t="s">
        <v>2997</v>
      </c>
      <c r="BA19" s="14" t="s">
        <v>2997</v>
      </c>
      <c r="BB19" s="14" t="s">
        <v>2997</v>
      </c>
      <c r="BC19" s="14" t="s">
        <v>2997</v>
      </c>
      <c r="BD19" s="14" t="s">
        <v>2997</v>
      </c>
      <c r="BE19" s="14" t="s">
        <v>2997</v>
      </c>
      <c r="BF19" s="14" t="s">
        <v>2997</v>
      </c>
      <c r="BG19" s="14" t="s">
        <v>2997</v>
      </c>
      <c r="BH19" s="14" t="s">
        <v>2997</v>
      </c>
      <c r="BI19" s="14" t="s">
        <v>2997</v>
      </c>
      <c r="BJ19" s="14" t="s">
        <v>2997</v>
      </c>
      <c r="BK19" s="14" t="s">
        <v>2997</v>
      </c>
      <c r="BL19" s="14" t="s">
        <v>2997</v>
      </c>
      <c r="BM19" s="14" t="s">
        <v>2997</v>
      </c>
      <c r="BN19" s="14" t="s">
        <v>2997</v>
      </c>
      <c r="BO19" s="21">
        <f>CHOOSE(CharGenMain!$B$202,G19,K19,O19,S19,W19,AA19,AE19,AI19,AM19,AQ19,AU19,AY19,BC19,BG19,BK19)</f>
        <v>4</v>
      </c>
      <c r="BP19" s="21">
        <f>CHOOSE(CharGenMain!$B$202,H19,L19,P19,T19,X19,AB19,AF19,AJ19,AN19,AR19,AV19,AZ19,BD19,BH19,BL19)</f>
        <v>4</v>
      </c>
      <c r="BQ19" s="21">
        <f>CHOOSE(CharGenMain!$B$202,I19,M19,Q19,U19,Y19,AC19,AG19,AK19,AO19,AS19,AW19,BA19,BE19,BI19,BM19)</f>
        <v>0</v>
      </c>
      <c r="BR19" s="28" t="str">
        <f>CHOOSE(CharGenMain!$B$202,J19,N19,R19,V19,Z19,AD19,AH19,AL19,AP19,AT19,AX19,BB19,BF19,BJ19,BN19)</f>
        <v>+1 Stealth, Camo for 1 strain = +3 Stealth 10 minutes, see text</v>
      </c>
    </row>
    <row r="20" spans="1:141">
      <c r="A20" s="226" t="s">
        <v>1325</v>
      </c>
      <c r="B20" s="14" t="s">
        <v>2268</v>
      </c>
      <c r="C20" s="14" t="s">
        <v>2667</v>
      </c>
      <c r="D20" s="14">
        <v>2</v>
      </c>
      <c r="E20" s="14">
        <v>4</v>
      </c>
      <c r="F20" s="14">
        <v>14</v>
      </c>
      <c r="G20" s="14">
        <v>7</v>
      </c>
      <c r="H20" s="14">
        <v>0</v>
      </c>
      <c r="I20" s="14">
        <v>-2</v>
      </c>
      <c r="J20" s="14" t="s">
        <v>1215</v>
      </c>
      <c r="K20" s="14">
        <v>8</v>
      </c>
      <c r="L20" s="14">
        <v>0</v>
      </c>
      <c r="M20" s="14">
        <v>-2</v>
      </c>
      <c r="N20" s="14" t="s">
        <v>1215</v>
      </c>
      <c r="O20" s="14">
        <v>9</v>
      </c>
      <c r="P20" s="14">
        <v>1</v>
      </c>
      <c r="Q20" s="14">
        <v>-2</v>
      </c>
      <c r="R20" s="14" t="s">
        <v>1215</v>
      </c>
      <c r="S20" s="14">
        <v>9</v>
      </c>
      <c r="T20" s="14">
        <v>2</v>
      </c>
      <c r="U20" s="14">
        <v>-2</v>
      </c>
      <c r="V20" s="14" t="s">
        <v>1215</v>
      </c>
      <c r="W20" s="14" t="s">
        <v>2997</v>
      </c>
      <c r="X20" s="14" t="s">
        <v>2997</v>
      </c>
      <c r="Y20" s="14" t="s">
        <v>2997</v>
      </c>
      <c r="Z20" s="14" t="s">
        <v>2997</v>
      </c>
      <c r="AA20" s="14" t="s">
        <v>2997</v>
      </c>
      <c r="AB20" s="14" t="s">
        <v>2997</v>
      </c>
      <c r="AC20" s="14" t="s">
        <v>2997</v>
      </c>
      <c r="AD20" s="14" t="s">
        <v>2997</v>
      </c>
      <c r="AE20" s="14" t="s">
        <v>2997</v>
      </c>
      <c r="AF20" s="14" t="s">
        <v>2997</v>
      </c>
      <c r="AG20" s="14" t="s">
        <v>2997</v>
      </c>
      <c r="AH20" s="14" t="s">
        <v>2997</v>
      </c>
      <c r="AI20" s="14" t="s">
        <v>2997</v>
      </c>
      <c r="AJ20" s="14" t="s">
        <v>2997</v>
      </c>
      <c r="AK20" s="14" t="s">
        <v>2997</v>
      </c>
      <c r="AL20" s="14" t="s">
        <v>2997</v>
      </c>
      <c r="AM20" s="14" t="s">
        <v>2997</v>
      </c>
      <c r="AN20" s="14" t="s">
        <v>2997</v>
      </c>
      <c r="AO20" s="14" t="s">
        <v>2997</v>
      </c>
      <c r="AP20" s="14" t="s">
        <v>2997</v>
      </c>
      <c r="AQ20" s="14" t="s">
        <v>2997</v>
      </c>
      <c r="AR20" s="14" t="s">
        <v>2997</v>
      </c>
      <c r="AS20" s="14" t="s">
        <v>2997</v>
      </c>
      <c r="AT20" s="14" t="s">
        <v>2997</v>
      </c>
      <c r="AU20" s="14" t="s">
        <v>2997</v>
      </c>
      <c r="AV20" s="14" t="s">
        <v>2997</v>
      </c>
      <c r="AW20" s="14" t="s">
        <v>2997</v>
      </c>
      <c r="AX20" s="14" t="s">
        <v>2997</v>
      </c>
      <c r="AY20" s="14" t="s">
        <v>2997</v>
      </c>
      <c r="AZ20" s="14" t="s">
        <v>2997</v>
      </c>
      <c r="BA20" s="14" t="s">
        <v>2997</v>
      </c>
      <c r="BB20" s="14" t="s">
        <v>2997</v>
      </c>
      <c r="BC20" s="14" t="s">
        <v>2997</v>
      </c>
      <c r="BD20" s="14" t="s">
        <v>2997</v>
      </c>
      <c r="BE20" s="14" t="s">
        <v>2997</v>
      </c>
      <c r="BF20" s="14" t="s">
        <v>2997</v>
      </c>
      <c r="BG20" s="14" t="s">
        <v>2997</v>
      </c>
      <c r="BH20" s="14" t="s">
        <v>2997</v>
      </c>
      <c r="BI20" s="14" t="s">
        <v>2997</v>
      </c>
      <c r="BJ20" s="14" t="s">
        <v>2997</v>
      </c>
      <c r="BK20" s="14" t="s">
        <v>2997</v>
      </c>
      <c r="BL20" s="14" t="s">
        <v>2997</v>
      </c>
      <c r="BM20" s="14" t="s">
        <v>2997</v>
      </c>
      <c r="BN20" s="14" t="s">
        <v>2997</v>
      </c>
      <c r="BO20" s="21" t="str">
        <f>CHOOSE(CharGenMain!$B$202,G20,K20,O20,S20,W20,AA20,AE20,AI20,AM20,AQ20,AU20,AY20,BC20,BG20,BK20)</f>
        <v>Thread Max Exceeded</v>
      </c>
      <c r="BP20" s="21" t="str">
        <f>CHOOSE(CharGenMain!$B$202,H20,L20,P20,T20,X20,AB20,AF20,AJ20,AN20,AR20,AV20,AZ20,BD20,BH20,BL20)</f>
        <v>Thread Max Exceeded</v>
      </c>
      <c r="BQ20" s="21" t="str">
        <f>CHOOSE(CharGenMain!$B$202,I20,M20,Q20,U20,Y20,AC20,AG20,AK20,AO20,AS20,AW20,BA20,BE20,BI20,BM20)</f>
        <v>Thread Max Exceeded</v>
      </c>
      <c r="BR20" s="28" t="str">
        <f>CHOOSE(CharGenMain!$B$202,J20,N20,R20,V20,Z20,AD20,AH20,AL20,AP20,AT20,AX20,BB20,BF20,BJ20,BN20)</f>
        <v>Thread Max Exceeded</v>
      </c>
    </row>
    <row r="21" spans="1:141">
      <c r="A21" s="226" t="s">
        <v>1219</v>
      </c>
      <c r="B21" s="167" t="s">
        <v>1220</v>
      </c>
      <c r="C21" s="14" t="s">
        <v>2667</v>
      </c>
      <c r="D21" s="14">
        <v>3</v>
      </c>
      <c r="E21" s="14">
        <v>7</v>
      </c>
      <c r="F21" s="14">
        <v>16</v>
      </c>
      <c r="G21" s="14">
        <v>8</v>
      </c>
      <c r="H21" s="14">
        <v>2</v>
      </c>
      <c r="I21" s="14">
        <v>-1</v>
      </c>
      <c r="J21" s="14" t="s">
        <v>1215</v>
      </c>
      <c r="K21" s="14">
        <v>8</v>
      </c>
      <c r="L21" s="14">
        <v>2</v>
      </c>
      <c r="M21" s="14">
        <v>0</v>
      </c>
      <c r="N21" s="14" t="s">
        <v>1221</v>
      </c>
      <c r="O21" s="14">
        <v>8</v>
      </c>
      <c r="P21" s="14">
        <v>2</v>
      </c>
      <c r="Q21" s="14">
        <v>0</v>
      </c>
      <c r="R21" s="14" t="s">
        <v>1222</v>
      </c>
      <c r="S21" s="14">
        <v>9</v>
      </c>
      <c r="T21" s="14">
        <v>3</v>
      </c>
      <c r="U21" s="14">
        <v>0</v>
      </c>
      <c r="V21" s="14" t="s">
        <v>1222</v>
      </c>
      <c r="W21" s="14">
        <v>9</v>
      </c>
      <c r="X21" s="14">
        <v>3</v>
      </c>
      <c r="Y21" s="14">
        <v>0</v>
      </c>
      <c r="Z21" s="14" t="s">
        <v>1223</v>
      </c>
      <c r="AA21" s="14">
        <v>10</v>
      </c>
      <c r="AB21" s="14">
        <v>4</v>
      </c>
      <c r="AC21" s="14">
        <v>0</v>
      </c>
      <c r="AD21" s="14" t="s">
        <v>1223</v>
      </c>
      <c r="AE21" s="14">
        <v>10</v>
      </c>
      <c r="AF21" s="14">
        <v>4</v>
      </c>
      <c r="AG21" s="14">
        <v>0</v>
      </c>
      <c r="AH21" s="14" t="s">
        <v>1223</v>
      </c>
      <c r="AI21" s="14" t="s">
        <v>2997</v>
      </c>
      <c r="AJ21" s="14" t="s">
        <v>2997</v>
      </c>
      <c r="AK21" s="14" t="s">
        <v>2997</v>
      </c>
      <c r="AL21" s="14" t="s">
        <v>2997</v>
      </c>
      <c r="AM21" s="14" t="s">
        <v>2997</v>
      </c>
      <c r="AN21" s="14" t="s">
        <v>2997</v>
      </c>
      <c r="AO21" s="14" t="s">
        <v>2997</v>
      </c>
      <c r="AP21" s="14" t="s">
        <v>2997</v>
      </c>
      <c r="AQ21" s="14" t="s">
        <v>2997</v>
      </c>
      <c r="AR21" s="14" t="s">
        <v>2997</v>
      </c>
      <c r="AS21" s="14" t="s">
        <v>2997</v>
      </c>
      <c r="AT21" s="14" t="s">
        <v>2997</v>
      </c>
      <c r="AU21" s="14" t="s">
        <v>2997</v>
      </c>
      <c r="AV21" s="14" t="s">
        <v>2997</v>
      </c>
      <c r="AW21" s="14" t="s">
        <v>2997</v>
      </c>
      <c r="AX21" s="14" t="s">
        <v>2997</v>
      </c>
      <c r="AY21" s="14" t="s">
        <v>2997</v>
      </c>
      <c r="AZ21" s="14" t="s">
        <v>2997</v>
      </c>
      <c r="BA21" s="14" t="s">
        <v>2997</v>
      </c>
      <c r="BB21" s="14" t="s">
        <v>2997</v>
      </c>
      <c r="BC21" s="14" t="s">
        <v>2997</v>
      </c>
      <c r="BD21" s="14" t="s">
        <v>2997</v>
      </c>
      <c r="BE21" s="14" t="s">
        <v>2997</v>
      </c>
      <c r="BF21" s="14" t="s">
        <v>2997</v>
      </c>
      <c r="BG21" s="14" t="s">
        <v>2997</v>
      </c>
      <c r="BH21" s="14" t="s">
        <v>2997</v>
      </c>
      <c r="BI21" s="14" t="s">
        <v>2997</v>
      </c>
      <c r="BJ21" s="14" t="s">
        <v>2997</v>
      </c>
      <c r="BK21" s="14" t="s">
        <v>2997</v>
      </c>
      <c r="BL21" s="14" t="s">
        <v>2997</v>
      </c>
      <c r="BM21" s="14" t="s">
        <v>2997</v>
      </c>
      <c r="BN21" s="14" t="s">
        <v>2997</v>
      </c>
      <c r="BO21" s="21">
        <f>CHOOSE(CharGenMain!$B$202,G21,K21,O21,S21,W21,AA21,AE21,AI21,AM21,AQ21,AU21,AY21,BC21,BG21,BK21)</f>
        <v>10</v>
      </c>
      <c r="BP21" s="21">
        <f>CHOOSE(CharGenMain!$B$202,H21,L21,P21,T21,X21,AB21,AF21,AJ21,AN21,AR21,AV21,AZ21,BD21,BH21,BL21)</f>
        <v>4</v>
      </c>
      <c r="BQ21" s="21">
        <f>CHOOSE(CharGenMain!$B$202,I21,M21,Q21,U21,Y21,AC21,AG21,AK21,AO21,AS21,AW21,BA21,BE21,BI21,BM21)</f>
        <v>0</v>
      </c>
      <c r="BR21" s="28" t="str">
        <f>CHOOSE(CharGenMain!$B$202,J21,N21,R21,V21,Z21,AD21,AH21,AL21,AP21,AT21,AX21,BB21,BF21,BJ21,BN21)</f>
        <v>Helmet deflection bonus is +3 with no perception penalty; claws can be used in unarmed combat damage step 3; various</v>
      </c>
    </row>
    <row r="22" spans="1:141">
      <c r="A22" s="20" t="s">
        <v>1224</v>
      </c>
      <c r="B22" s="14" t="s">
        <v>1225</v>
      </c>
      <c r="C22" s="14" t="s">
        <v>2279</v>
      </c>
      <c r="D22" s="14">
        <v>2</v>
      </c>
      <c r="E22" s="14">
        <v>5</v>
      </c>
      <c r="F22" s="14">
        <v>15</v>
      </c>
      <c r="G22" s="14">
        <v>9</v>
      </c>
      <c r="H22" s="14">
        <v>0</v>
      </c>
      <c r="I22" s="14">
        <v>-2</v>
      </c>
      <c r="J22" s="14" t="s">
        <v>1215</v>
      </c>
      <c r="K22" s="14">
        <v>9</v>
      </c>
      <c r="L22" s="14">
        <v>0</v>
      </c>
      <c r="M22" s="14">
        <v>0</v>
      </c>
      <c r="N22" s="14" t="s">
        <v>1215</v>
      </c>
      <c r="O22" s="14">
        <v>9</v>
      </c>
      <c r="P22" s="14">
        <v>0</v>
      </c>
      <c r="Q22" s="14">
        <v>0</v>
      </c>
      <c r="R22" s="14" t="s">
        <v>1226</v>
      </c>
      <c r="S22" s="14">
        <v>12</v>
      </c>
      <c r="T22" s="14">
        <v>0</v>
      </c>
      <c r="U22" s="14">
        <v>0</v>
      </c>
      <c r="V22" s="14" t="s">
        <v>1226</v>
      </c>
      <c r="W22" s="14">
        <v>12</v>
      </c>
      <c r="X22" s="14">
        <v>0</v>
      </c>
      <c r="Y22" s="14">
        <v>0</v>
      </c>
      <c r="Z22" s="14" t="s">
        <v>1227</v>
      </c>
      <c r="AA22" s="14" t="s">
        <v>2997</v>
      </c>
      <c r="AB22" s="14" t="s">
        <v>2997</v>
      </c>
      <c r="AC22" s="14" t="s">
        <v>2997</v>
      </c>
      <c r="AD22" s="14" t="s">
        <v>2997</v>
      </c>
      <c r="AE22" s="14" t="s">
        <v>2997</v>
      </c>
      <c r="AF22" s="14" t="s">
        <v>2997</v>
      </c>
      <c r="AG22" s="14" t="s">
        <v>2997</v>
      </c>
      <c r="AH22" s="14" t="s">
        <v>2997</v>
      </c>
      <c r="AI22" s="14" t="s">
        <v>2997</v>
      </c>
      <c r="AJ22" s="14" t="s">
        <v>2997</v>
      </c>
      <c r="AK22" s="14" t="s">
        <v>2997</v>
      </c>
      <c r="AL22" s="14" t="s">
        <v>2997</v>
      </c>
      <c r="AM22" s="14" t="s">
        <v>2997</v>
      </c>
      <c r="AN22" s="14" t="s">
        <v>2997</v>
      </c>
      <c r="AO22" s="14" t="s">
        <v>2997</v>
      </c>
      <c r="AP22" s="14" t="s">
        <v>2997</v>
      </c>
      <c r="AQ22" s="14" t="s">
        <v>2997</v>
      </c>
      <c r="AR22" s="14" t="s">
        <v>2997</v>
      </c>
      <c r="AS22" s="14" t="s">
        <v>2997</v>
      </c>
      <c r="AT22" s="14" t="s">
        <v>2997</v>
      </c>
      <c r="AU22" s="14" t="s">
        <v>2997</v>
      </c>
      <c r="AV22" s="14" t="s">
        <v>2997</v>
      </c>
      <c r="AW22" s="14" t="s">
        <v>2997</v>
      </c>
      <c r="AX22" s="14" t="s">
        <v>2997</v>
      </c>
      <c r="AY22" s="14" t="s">
        <v>2997</v>
      </c>
      <c r="AZ22" s="14" t="s">
        <v>2997</v>
      </c>
      <c r="BA22" s="14" t="s">
        <v>2997</v>
      </c>
      <c r="BB22" s="14" t="s">
        <v>2997</v>
      </c>
      <c r="BC22" s="14" t="s">
        <v>2997</v>
      </c>
      <c r="BD22" s="14" t="s">
        <v>2997</v>
      </c>
      <c r="BE22" s="14" t="s">
        <v>2997</v>
      </c>
      <c r="BF22" s="14" t="s">
        <v>2997</v>
      </c>
      <c r="BG22" s="14" t="s">
        <v>2997</v>
      </c>
      <c r="BH22" s="14" t="s">
        <v>2997</v>
      </c>
      <c r="BI22" s="14" t="s">
        <v>2997</v>
      </c>
      <c r="BJ22" s="14" t="s">
        <v>2997</v>
      </c>
      <c r="BK22" s="14" t="s">
        <v>2997</v>
      </c>
      <c r="BL22" s="14" t="s">
        <v>2997</v>
      </c>
      <c r="BM22" s="14" t="s">
        <v>2997</v>
      </c>
      <c r="BN22" s="14" t="s">
        <v>2997</v>
      </c>
      <c r="BO22" s="21" t="str">
        <f>CHOOSE(CharGenMain!$B$202,G22,K22,O22,S22,W22,AA22,AE22,AI22,AM22,AQ22,AU22,AY22,BC22,BG22,BK22)</f>
        <v>Thread Max Exceeded</v>
      </c>
      <c r="BP22" s="21" t="str">
        <f>CHOOSE(CharGenMain!$B$202,H22,L22,P22,T22,X22,AB22,AF22,AJ22,AN22,AR22,AV22,AZ22,BD22,BH22,BL22)</f>
        <v>Thread Max Exceeded</v>
      </c>
      <c r="BQ22" s="21" t="str">
        <f>CHOOSE(CharGenMain!$B$202,I22,M22,Q22,U22,Y22,AC22,AG22,AK22,AO22,AS22,AW22,BA22,BE22,BI22,BM22)</f>
        <v>Thread Max Exceeded</v>
      </c>
      <c r="BR22" s="28" t="str">
        <f>CHOOSE(CharGenMain!$B$202,J22,N22,R22,V22,Z22,AD22,AH22,AL22,AP22,AT22,AX22,BB22,BF22,BJ22,BN22)</f>
        <v>Thread Max Exceeded</v>
      </c>
    </row>
    <row r="23" spans="1:141">
      <c r="A23" s="302" t="s">
        <v>1228</v>
      </c>
      <c r="B23" s="14" t="s">
        <v>1229</v>
      </c>
      <c r="C23" s="14" t="s">
        <v>2279</v>
      </c>
      <c r="D23" s="14">
        <v>2</v>
      </c>
      <c r="E23" s="14">
        <v>6</v>
      </c>
      <c r="F23" s="14">
        <v>12</v>
      </c>
      <c r="G23" s="14">
        <v>12</v>
      </c>
      <c r="H23" s="14">
        <v>4</v>
      </c>
      <c r="I23" s="14">
        <v>-2</v>
      </c>
      <c r="J23" s="14" t="s">
        <v>1215</v>
      </c>
      <c r="K23" s="14">
        <v>12</v>
      </c>
      <c r="L23" s="14">
        <v>4</v>
      </c>
      <c r="M23" s="14">
        <v>0</v>
      </c>
      <c r="N23" s="106" t="s">
        <v>2238</v>
      </c>
      <c r="O23" s="14">
        <v>12</v>
      </c>
      <c r="P23" s="14">
        <v>4</v>
      </c>
      <c r="Q23" s="14">
        <v>0</v>
      </c>
      <c r="R23" s="106" t="s">
        <v>2359</v>
      </c>
      <c r="S23" s="14">
        <v>12</v>
      </c>
      <c r="T23" s="14">
        <v>4</v>
      </c>
      <c r="U23" s="14">
        <v>0</v>
      </c>
      <c r="V23" s="106" t="s">
        <v>1230</v>
      </c>
      <c r="W23" s="14">
        <v>12</v>
      </c>
      <c r="X23" s="14">
        <v>4</v>
      </c>
      <c r="Y23" s="14">
        <v>0</v>
      </c>
      <c r="Z23" s="106" t="s">
        <v>1231</v>
      </c>
      <c r="AA23" s="14">
        <v>12</v>
      </c>
      <c r="AB23" s="14">
        <v>4</v>
      </c>
      <c r="AC23" s="14">
        <v>0</v>
      </c>
      <c r="AD23" s="106" t="s">
        <v>1105</v>
      </c>
      <c r="AE23" s="14"/>
      <c r="AF23" s="14" t="s">
        <v>2997</v>
      </c>
      <c r="AG23" s="14" t="s">
        <v>2997</v>
      </c>
      <c r="AH23" s="14" t="s">
        <v>2997</v>
      </c>
      <c r="AI23" s="14" t="s">
        <v>2997</v>
      </c>
      <c r="AJ23" s="14" t="s">
        <v>2997</v>
      </c>
      <c r="AK23" s="14" t="s">
        <v>2997</v>
      </c>
      <c r="AL23" s="14" t="s">
        <v>2997</v>
      </c>
      <c r="AM23" s="14" t="s">
        <v>2997</v>
      </c>
      <c r="AN23" s="14" t="s">
        <v>2997</v>
      </c>
      <c r="AO23" s="14" t="s">
        <v>2997</v>
      </c>
      <c r="AP23" s="14" t="s">
        <v>2997</v>
      </c>
      <c r="AQ23" s="14" t="s">
        <v>2997</v>
      </c>
      <c r="AR23" s="14" t="s">
        <v>2997</v>
      </c>
      <c r="AS23" s="14" t="s">
        <v>2997</v>
      </c>
      <c r="AT23" s="14" t="s">
        <v>2997</v>
      </c>
      <c r="AU23" s="14" t="s">
        <v>2997</v>
      </c>
      <c r="AV23" s="14" t="s">
        <v>2997</v>
      </c>
      <c r="AW23" s="14" t="s">
        <v>2997</v>
      </c>
      <c r="AX23" s="14" t="s">
        <v>2997</v>
      </c>
      <c r="AY23" s="14" t="s">
        <v>2997</v>
      </c>
      <c r="AZ23" s="14" t="s">
        <v>2997</v>
      </c>
      <c r="BA23" s="14" t="s">
        <v>2997</v>
      </c>
      <c r="BB23" s="14" t="s">
        <v>2997</v>
      </c>
      <c r="BC23" s="14" t="s">
        <v>2997</v>
      </c>
      <c r="BD23" s="14" t="s">
        <v>2997</v>
      </c>
      <c r="BE23" s="14" t="s">
        <v>2997</v>
      </c>
      <c r="BF23" s="14" t="s">
        <v>2997</v>
      </c>
      <c r="BG23" s="14" t="s">
        <v>2997</v>
      </c>
      <c r="BH23" s="14" t="s">
        <v>2997</v>
      </c>
      <c r="BI23" s="14" t="s">
        <v>2997</v>
      </c>
      <c r="BJ23" s="14" t="s">
        <v>2997</v>
      </c>
      <c r="BK23" s="14" t="s">
        <v>2997</v>
      </c>
      <c r="BL23" s="14" t="s">
        <v>2997</v>
      </c>
      <c r="BM23" s="14" t="s">
        <v>2997</v>
      </c>
      <c r="BN23" s="14" t="s">
        <v>2997</v>
      </c>
      <c r="BO23" s="21">
        <f>CHOOSE(CharGenMain!$B$202,G23,K23,O23,S23,W23,AA23,AE23,AI23,AM23,AQ23,AU23,AY23,BC23,BG23,BK23)</f>
        <v>12</v>
      </c>
      <c r="BP23" s="21">
        <f>CHOOSE(CharGenMain!$B$202,H23,L23,P23,T23,X23,AB23,AF23,AJ23,AN23,AR23,AV23,AZ23,BD23,BH23,BL23)</f>
        <v>4</v>
      </c>
      <c r="BQ23" s="21">
        <f>CHOOSE(CharGenMain!$B$202,I23,M23,Q23,U23,Y23,AC23,AG23,AK23,AO23,AS23,AW23,BA23,BE23,BI23,BM23)</f>
        <v>0</v>
      </c>
      <c r="BR23" s="28" t="str">
        <f>CHOOSE(CharGenMain!$B$202,J23,N23,R23,V23,Z23,AD23,AH23,AL23,AP23,AT23,AX23,BB23,BF23,BJ23,BN23)</f>
        <v>+2 phys def, +2 spell def, , extraordinary hit to defeat armor, +2 recovery tests daily</v>
      </c>
    </row>
    <row r="24" spans="1:141">
      <c r="A24" s="205" t="s">
        <v>1348</v>
      </c>
      <c r="B24" s="167" t="s">
        <v>1349</v>
      </c>
      <c r="C24" s="14" t="s">
        <v>2279</v>
      </c>
      <c r="D24" s="14">
        <v>3</v>
      </c>
      <c r="E24" s="14">
        <v>10</v>
      </c>
      <c r="F24" s="14">
        <v>19</v>
      </c>
      <c r="G24" s="14">
        <v>12</v>
      </c>
      <c r="H24" s="14">
        <v>0</v>
      </c>
      <c r="I24" s="14">
        <v>-3</v>
      </c>
      <c r="J24" s="14" t="s">
        <v>1215</v>
      </c>
      <c r="K24" s="14">
        <v>12</v>
      </c>
      <c r="L24" s="14">
        <v>0</v>
      </c>
      <c r="M24" s="14">
        <v>-2</v>
      </c>
      <c r="N24" s="14" t="s">
        <v>1215</v>
      </c>
      <c r="O24" s="14">
        <v>12</v>
      </c>
      <c r="P24" s="14">
        <v>1</v>
      </c>
      <c r="Q24" s="14">
        <v>-2</v>
      </c>
      <c r="R24" s="14" t="s">
        <v>1215</v>
      </c>
      <c r="S24" s="14">
        <v>12</v>
      </c>
      <c r="T24" s="14">
        <v>1</v>
      </c>
      <c r="U24" s="14">
        <v>-1</v>
      </c>
      <c r="V24" s="14" t="s">
        <v>1215</v>
      </c>
      <c r="W24" s="14">
        <v>12</v>
      </c>
      <c r="X24" s="14">
        <v>2</v>
      </c>
      <c r="Y24" s="14">
        <v>-1</v>
      </c>
      <c r="Z24" s="106" t="s">
        <v>2238</v>
      </c>
      <c r="AA24" s="14">
        <v>12</v>
      </c>
      <c r="AB24" s="14">
        <v>2</v>
      </c>
      <c r="AC24" s="14">
        <v>0</v>
      </c>
      <c r="AD24" s="106" t="s">
        <v>2238</v>
      </c>
      <c r="AE24" s="14">
        <v>12</v>
      </c>
      <c r="AF24" s="14">
        <v>3</v>
      </c>
      <c r="AG24" s="14">
        <v>0</v>
      </c>
      <c r="AH24" s="106" t="s">
        <v>2239</v>
      </c>
      <c r="AI24" s="14">
        <v>12</v>
      </c>
      <c r="AJ24" s="14">
        <v>4</v>
      </c>
      <c r="AK24" s="14">
        <v>0</v>
      </c>
      <c r="AL24" s="106" t="s">
        <v>2239</v>
      </c>
      <c r="AM24" s="14">
        <v>12</v>
      </c>
      <c r="AN24" s="14">
        <v>4</v>
      </c>
      <c r="AO24" s="14">
        <v>0</v>
      </c>
      <c r="AP24" s="106" t="s">
        <v>1106</v>
      </c>
      <c r="AQ24" s="14">
        <v>12</v>
      </c>
      <c r="AR24" s="14">
        <v>4</v>
      </c>
      <c r="AS24" s="14">
        <v>0</v>
      </c>
      <c r="AT24" s="106" t="s">
        <v>1352</v>
      </c>
      <c r="AU24" s="14" t="s">
        <v>2997</v>
      </c>
      <c r="AV24" s="14" t="s">
        <v>2997</v>
      </c>
      <c r="AW24" s="14" t="s">
        <v>2997</v>
      </c>
      <c r="AX24" s="14" t="s">
        <v>2997</v>
      </c>
      <c r="AY24" s="14" t="s">
        <v>2997</v>
      </c>
      <c r="AZ24" s="14" t="s">
        <v>2997</v>
      </c>
      <c r="BA24" s="14" t="s">
        <v>2997</v>
      </c>
      <c r="BB24" s="14" t="s">
        <v>2997</v>
      </c>
      <c r="BC24" s="14" t="s">
        <v>2997</v>
      </c>
      <c r="BD24" s="14" t="s">
        <v>2997</v>
      </c>
      <c r="BE24" s="14" t="s">
        <v>2997</v>
      </c>
      <c r="BF24" s="14" t="s">
        <v>2997</v>
      </c>
      <c r="BG24" s="14" t="s">
        <v>2997</v>
      </c>
      <c r="BH24" s="14" t="s">
        <v>2997</v>
      </c>
      <c r="BI24" s="14" t="s">
        <v>2997</v>
      </c>
      <c r="BJ24" s="14" t="s">
        <v>2997</v>
      </c>
      <c r="BK24" s="14" t="s">
        <v>2997</v>
      </c>
      <c r="BL24" s="14" t="s">
        <v>2997</v>
      </c>
      <c r="BM24" s="14" t="s">
        <v>2997</v>
      </c>
      <c r="BN24" s="14" t="s">
        <v>2997</v>
      </c>
      <c r="BO24" s="21">
        <f>CHOOSE(CharGenMain!$B$202,G24,K24,O24,S24,W24,AA24,AE24,AI24,AM24,AQ24,AU24,AY24,BC24,BG24,BK24)</f>
        <v>12</v>
      </c>
      <c r="BP24" s="21">
        <f>CHOOSE(CharGenMain!$B$202,H24,L24,P24,T24,X24,AB24,AF24,AJ24,AN24,AR24,AV24,AZ24,BD24,BH24,BL24)</f>
        <v>2</v>
      </c>
      <c r="BQ24" s="21">
        <f>CHOOSE(CharGenMain!$B$202,I24,M24,Q24,U24,Y24,AC24,AG24,AK24,AO24,AS24,AW24,BA24,BE24,BI24,BM24)</f>
        <v>0</v>
      </c>
      <c r="BR24" s="28" t="str">
        <f>CHOOSE(CharGenMain!$B$202,J24,N24,R24,V24,Z24,AD24,AH24,AL24,AP24,AT24,AX24,BB24,BF24,BJ24,BN24)</f>
        <v>+1 phys def</v>
      </c>
    </row>
    <row r="25" spans="1:141">
      <c r="A25" s="20" t="s">
        <v>1353</v>
      </c>
      <c r="B25" s="14" t="s">
        <v>1354</v>
      </c>
      <c r="C25" s="14" t="s">
        <v>2279</v>
      </c>
      <c r="D25" s="14">
        <v>3</v>
      </c>
      <c r="E25" s="14">
        <v>10</v>
      </c>
      <c r="F25" s="14">
        <v>18</v>
      </c>
      <c r="G25" s="14">
        <v>9</v>
      </c>
      <c r="H25" s="14">
        <v>3</v>
      </c>
      <c r="I25" s="14">
        <v>-3</v>
      </c>
      <c r="J25" s="14" t="s">
        <v>1215</v>
      </c>
      <c r="K25" s="14">
        <v>9</v>
      </c>
      <c r="L25" s="14">
        <v>3</v>
      </c>
      <c r="M25" s="14">
        <v>-2</v>
      </c>
      <c r="N25" s="14" t="s">
        <v>1215</v>
      </c>
      <c r="O25" s="14">
        <v>9</v>
      </c>
      <c r="P25" s="14">
        <v>3</v>
      </c>
      <c r="Q25" s="14">
        <v>-1</v>
      </c>
      <c r="R25" s="14" t="s">
        <v>1215</v>
      </c>
      <c r="S25" s="14">
        <v>9</v>
      </c>
      <c r="T25" s="14">
        <v>5</v>
      </c>
      <c r="U25" s="14">
        <v>-1</v>
      </c>
      <c r="V25" s="14" t="s">
        <v>1232</v>
      </c>
      <c r="W25" s="14">
        <v>9</v>
      </c>
      <c r="X25" s="14">
        <v>5</v>
      </c>
      <c r="Y25" s="14">
        <v>-1</v>
      </c>
      <c r="Z25" s="14" t="s">
        <v>1233</v>
      </c>
      <c r="AA25" s="14">
        <v>10</v>
      </c>
      <c r="AB25" s="14">
        <v>6</v>
      </c>
      <c r="AC25" s="14">
        <v>-1</v>
      </c>
      <c r="AD25" s="14" t="s">
        <v>1233</v>
      </c>
      <c r="AE25" s="14">
        <v>11</v>
      </c>
      <c r="AF25" s="14">
        <v>6</v>
      </c>
      <c r="AG25" s="14">
        <v>0</v>
      </c>
      <c r="AH25" s="14" t="s">
        <v>1233</v>
      </c>
      <c r="AI25" s="14">
        <v>11</v>
      </c>
      <c r="AJ25" s="14">
        <v>6</v>
      </c>
      <c r="AK25" s="14">
        <v>0</v>
      </c>
      <c r="AL25" s="14" t="s">
        <v>1233</v>
      </c>
      <c r="AM25" s="14">
        <v>12</v>
      </c>
      <c r="AN25" s="14">
        <v>9</v>
      </c>
      <c r="AO25" s="14">
        <v>0</v>
      </c>
      <c r="AP25" s="14" t="s">
        <v>1233</v>
      </c>
      <c r="AQ25" s="14">
        <v>12</v>
      </c>
      <c r="AR25" s="14">
        <v>9</v>
      </c>
      <c r="AS25" s="14">
        <v>0</v>
      </c>
      <c r="AT25" s="14" t="s">
        <v>1234</v>
      </c>
      <c r="AU25" s="14" t="s">
        <v>2997</v>
      </c>
      <c r="AV25" s="14" t="s">
        <v>2997</v>
      </c>
      <c r="AW25" s="14" t="s">
        <v>2997</v>
      </c>
      <c r="AX25" s="14" t="s">
        <v>2997</v>
      </c>
      <c r="AY25" s="14" t="s">
        <v>2997</v>
      </c>
      <c r="AZ25" s="14" t="s">
        <v>2997</v>
      </c>
      <c r="BA25" s="14" t="s">
        <v>2997</v>
      </c>
      <c r="BB25" s="14" t="s">
        <v>2997</v>
      </c>
      <c r="BC25" s="14" t="s">
        <v>2997</v>
      </c>
      <c r="BD25" s="14" t="s">
        <v>2997</v>
      </c>
      <c r="BE25" s="14" t="s">
        <v>2997</v>
      </c>
      <c r="BF25" s="14" t="s">
        <v>2997</v>
      </c>
      <c r="BG25" s="14" t="s">
        <v>2997</v>
      </c>
      <c r="BH25" s="14" t="s">
        <v>2997</v>
      </c>
      <c r="BI25" s="14" t="s">
        <v>2997</v>
      </c>
      <c r="BJ25" s="14" t="s">
        <v>2997</v>
      </c>
      <c r="BK25" s="14" t="s">
        <v>2997</v>
      </c>
      <c r="BL25" s="14" t="s">
        <v>2997</v>
      </c>
      <c r="BM25" s="14" t="s">
        <v>2997</v>
      </c>
      <c r="BN25" s="14" t="s">
        <v>2997</v>
      </c>
      <c r="BO25" s="21">
        <f>CHOOSE(CharGenMain!$B$202,G25,K25,O25,S25,W25,AA25,AE25,AI25,AM25,AQ25,AU25,AY25,BC25,BG25,BK25)</f>
        <v>10</v>
      </c>
      <c r="BP25" s="21">
        <f>CHOOSE(CharGenMain!$B$202,H25,L25,P25,T25,X25,AB25,AF25,AJ25,AN25,AR25,AV25,AZ25,BD25,BH25,BL25)</f>
        <v>6</v>
      </c>
      <c r="BQ25" s="21">
        <f>CHOOSE(CharGenMain!$B$202,I25,M25,Q25,U25,Y25,AC25,AG25,AK25,AO25,AS25,AW25,BA25,BE25,BI25,BM25)</f>
        <v>-1</v>
      </c>
      <c r="BR25" s="28" t="str">
        <f>CHOOSE(CharGenMain!$B$202,J25,N25,R25,V25,Z25,AD25,AH25,AL25,AP25,AT25,AX25,BB25,BF25,BJ25,BN25)</f>
        <v>, extraordinary hit to defeat armor, store karma</v>
      </c>
    </row>
    <row r="26" spans="1:141">
      <c r="A26" s="226" t="s">
        <v>1235</v>
      </c>
      <c r="B26" s="14" t="s">
        <v>1627</v>
      </c>
      <c r="C26" s="14" t="s">
        <v>2667</v>
      </c>
      <c r="D26" s="14">
        <v>1</v>
      </c>
      <c r="E26" s="14">
        <v>4</v>
      </c>
      <c r="F26" s="14">
        <v>9</v>
      </c>
      <c r="G26" s="14">
        <v>1</v>
      </c>
      <c r="H26" s="14">
        <v>0</v>
      </c>
      <c r="I26" s="14">
        <v>0</v>
      </c>
      <c r="J26" s="106" t="s">
        <v>1236</v>
      </c>
      <c r="K26" s="14">
        <v>1</v>
      </c>
      <c r="L26" s="14">
        <v>0</v>
      </c>
      <c r="M26" s="14">
        <v>0</v>
      </c>
      <c r="N26" s="106" t="s">
        <v>1237</v>
      </c>
      <c r="O26" s="14">
        <v>1</v>
      </c>
      <c r="P26" s="14">
        <v>0</v>
      </c>
      <c r="Q26" s="14">
        <v>0</v>
      </c>
      <c r="R26" s="106" t="s">
        <v>1238</v>
      </c>
      <c r="S26" s="14">
        <v>2</v>
      </c>
      <c r="T26" s="14">
        <v>0</v>
      </c>
      <c r="U26" s="14">
        <v>0</v>
      </c>
      <c r="V26" s="106" t="s">
        <v>1239</v>
      </c>
      <c r="W26" s="14" t="s">
        <v>2997</v>
      </c>
      <c r="X26" s="14" t="s">
        <v>2997</v>
      </c>
      <c r="Y26" s="14" t="s">
        <v>2997</v>
      </c>
      <c r="Z26" s="14" t="s">
        <v>2997</v>
      </c>
      <c r="AA26" s="14" t="s">
        <v>2997</v>
      </c>
      <c r="AB26" s="14" t="s">
        <v>2997</v>
      </c>
      <c r="AC26" s="14" t="s">
        <v>2997</v>
      </c>
      <c r="AD26" s="14" t="s">
        <v>2997</v>
      </c>
      <c r="AE26" s="14" t="s">
        <v>2997</v>
      </c>
      <c r="AF26" s="14" t="s">
        <v>2997</v>
      </c>
      <c r="AG26" s="14" t="s">
        <v>2997</v>
      </c>
      <c r="AH26" s="14" t="s">
        <v>2997</v>
      </c>
      <c r="AI26" s="14" t="s">
        <v>2997</v>
      </c>
      <c r="AJ26" s="14" t="s">
        <v>2997</v>
      </c>
      <c r="AK26" s="14" t="s">
        <v>2997</v>
      </c>
      <c r="AL26" s="14" t="s">
        <v>2997</v>
      </c>
      <c r="AM26" s="14" t="s">
        <v>2997</v>
      </c>
      <c r="AN26" s="14" t="s">
        <v>2997</v>
      </c>
      <c r="AO26" s="14" t="s">
        <v>2997</v>
      </c>
      <c r="AP26" s="14" t="s">
        <v>2997</v>
      </c>
      <c r="AQ26" s="14" t="s">
        <v>2997</v>
      </c>
      <c r="AR26" s="14" t="s">
        <v>2997</v>
      </c>
      <c r="AS26" s="14" t="s">
        <v>2997</v>
      </c>
      <c r="AT26" s="14" t="s">
        <v>2997</v>
      </c>
      <c r="AU26" s="14" t="s">
        <v>2997</v>
      </c>
      <c r="AV26" s="14" t="s">
        <v>2997</v>
      </c>
      <c r="AW26" s="14" t="s">
        <v>2997</v>
      </c>
      <c r="AX26" s="14" t="s">
        <v>2997</v>
      </c>
      <c r="AY26" s="14" t="s">
        <v>2997</v>
      </c>
      <c r="AZ26" s="14" t="s">
        <v>2997</v>
      </c>
      <c r="BA26" s="14" t="s">
        <v>2997</v>
      </c>
      <c r="BB26" s="14" t="s">
        <v>2997</v>
      </c>
      <c r="BC26" s="14" t="s">
        <v>2997</v>
      </c>
      <c r="BD26" s="14" t="s">
        <v>2997</v>
      </c>
      <c r="BE26" s="14" t="s">
        <v>2997</v>
      </c>
      <c r="BF26" s="14" t="s">
        <v>2997</v>
      </c>
      <c r="BG26" s="14" t="s">
        <v>2997</v>
      </c>
      <c r="BH26" s="14" t="s">
        <v>2997</v>
      </c>
      <c r="BI26" s="14" t="s">
        <v>2997</v>
      </c>
      <c r="BJ26" s="14" t="s">
        <v>2997</v>
      </c>
      <c r="BK26" s="14" t="s">
        <v>2997</v>
      </c>
      <c r="BL26" s="14" t="s">
        <v>2997</v>
      </c>
      <c r="BM26" s="14" t="s">
        <v>2997</v>
      </c>
      <c r="BN26" s="14" t="s">
        <v>2997</v>
      </c>
      <c r="BO26" s="21" t="str">
        <f>CHOOSE(CharGenMain!$B$202,G26,K26,O26,S26,W26,AA26,AE26,AI26,AM26,AQ26,AU26,AY26,BC26,BG26,BK26)</f>
        <v>Thread Max Exceeded</v>
      </c>
      <c r="BP26" s="21" t="str">
        <f>CHOOSE(CharGenMain!$B$202,H26,L26,P26,T26,X26,AB26,AF26,AJ26,AN26,AR26,AV26,AZ26,BD26,BH26,BL26)</f>
        <v>Thread Max Exceeded</v>
      </c>
      <c r="BQ26" s="21" t="str">
        <f>CHOOSE(CharGenMain!$B$202,I26,M26,Q26,U26,Y26,AC26,AG26,AK26,AO26,AS26,AW26,BA26,BE26,BI26,BM26)</f>
        <v>Thread Max Exceeded</v>
      </c>
      <c r="BR26" s="28" t="str">
        <f>CHOOSE(CharGenMain!$B$202,J26,N26,R26,V26,Z26,AD26,AH26,AL26,AP26,AT26,AX26,BB26,BF26,BJ26,BN26)</f>
        <v>Thread Max Exceeded</v>
      </c>
    </row>
    <row r="27" spans="1:141">
      <c r="A27" s="226" t="s">
        <v>5582</v>
      </c>
      <c r="B27" s="14" t="s">
        <v>533</v>
      </c>
      <c r="C27" s="14" t="s">
        <v>2667</v>
      </c>
      <c r="D27" s="14">
        <v>2</v>
      </c>
      <c r="E27" s="14">
        <v>6</v>
      </c>
      <c r="F27" s="14">
        <v>12</v>
      </c>
      <c r="G27" s="14">
        <v>1</v>
      </c>
      <c r="H27" s="14">
        <v>0</v>
      </c>
      <c r="I27" s="14">
        <v>0</v>
      </c>
      <c r="J27" s="14" t="s">
        <v>1215</v>
      </c>
      <c r="K27" s="14">
        <v>1</v>
      </c>
      <c r="L27" s="14">
        <v>0</v>
      </c>
      <c r="M27" s="14">
        <v>0</v>
      </c>
      <c r="N27" s="106" t="s">
        <v>5583</v>
      </c>
      <c r="O27" s="14">
        <v>1</v>
      </c>
      <c r="P27" s="14">
        <v>0</v>
      </c>
      <c r="Q27" s="14">
        <v>0</v>
      </c>
      <c r="R27" s="106" t="s">
        <v>5761</v>
      </c>
      <c r="S27" s="14">
        <v>2</v>
      </c>
      <c r="T27" s="14">
        <v>0</v>
      </c>
      <c r="U27" s="14">
        <v>0</v>
      </c>
      <c r="V27" s="106" t="s">
        <v>5761</v>
      </c>
      <c r="W27" s="14">
        <v>2</v>
      </c>
      <c r="X27" s="14">
        <v>0</v>
      </c>
      <c r="Y27" s="14">
        <v>0</v>
      </c>
      <c r="Z27" s="106" t="s">
        <v>5806</v>
      </c>
      <c r="AA27" s="14">
        <v>2</v>
      </c>
      <c r="AB27" s="14">
        <v>0</v>
      </c>
      <c r="AC27" s="14">
        <v>0</v>
      </c>
      <c r="AD27" s="106" t="s">
        <v>5807</v>
      </c>
      <c r="AE27" s="14" t="s">
        <v>2997</v>
      </c>
      <c r="AF27" s="14" t="s">
        <v>2997</v>
      </c>
      <c r="AG27" s="14" t="s">
        <v>2997</v>
      </c>
      <c r="AH27" s="14" t="s">
        <v>2997</v>
      </c>
      <c r="AI27" s="14" t="s">
        <v>2997</v>
      </c>
      <c r="AJ27" s="14" t="s">
        <v>2997</v>
      </c>
      <c r="AK27" s="14" t="s">
        <v>2997</v>
      </c>
      <c r="AL27" s="14" t="s">
        <v>2997</v>
      </c>
      <c r="AM27" s="14" t="s">
        <v>2997</v>
      </c>
      <c r="AN27" s="14" t="s">
        <v>2997</v>
      </c>
      <c r="AO27" s="14" t="s">
        <v>2997</v>
      </c>
      <c r="AP27" s="14" t="s">
        <v>2997</v>
      </c>
      <c r="AQ27" s="14" t="s">
        <v>2997</v>
      </c>
      <c r="AR27" s="14" t="s">
        <v>2997</v>
      </c>
      <c r="AS27" s="14" t="s">
        <v>2997</v>
      </c>
      <c r="AT27" s="14" t="s">
        <v>2997</v>
      </c>
      <c r="AU27" s="14" t="s">
        <v>2997</v>
      </c>
      <c r="AV27" s="14" t="s">
        <v>2997</v>
      </c>
      <c r="AW27" s="14" t="s">
        <v>2997</v>
      </c>
      <c r="AX27" s="14" t="s">
        <v>2997</v>
      </c>
      <c r="AY27" s="14" t="s">
        <v>2997</v>
      </c>
      <c r="AZ27" s="14" t="s">
        <v>2997</v>
      </c>
      <c r="BA27" s="14" t="s">
        <v>2997</v>
      </c>
      <c r="BB27" s="14" t="s">
        <v>2997</v>
      </c>
      <c r="BC27" s="14" t="s">
        <v>2997</v>
      </c>
      <c r="BD27" s="14" t="s">
        <v>2997</v>
      </c>
      <c r="BE27" s="14" t="s">
        <v>2997</v>
      </c>
      <c r="BF27" s="14" t="s">
        <v>2997</v>
      </c>
      <c r="BG27" s="14" t="s">
        <v>2997</v>
      </c>
      <c r="BH27" s="14" t="s">
        <v>2997</v>
      </c>
      <c r="BI27" s="14" t="s">
        <v>2997</v>
      </c>
      <c r="BJ27" s="14" t="s">
        <v>2997</v>
      </c>
      <c r="BK27" s="14" t="s">
        <v>2997</v>
      </c>
      <c r="BL27" s="14" t="s">
        <v>2997</v>
      </c>
      <c r="BM27" s="14" t="s">
        <v>2997</v>
      </c>
      <c r="BN27" s="14" t="s">
        <v>2997</v>
      </c>
      <c r="BO27" s="21">
        <f>CHOOSE(CharGenMain!$B$202,G27,K27,O27,S27,W27,AA27,AE27,AI27,AM27,AQ27,AU27,AY27,BC27,BG27,BK27)</f>
        <v>2</v>
      </c>
      <c r="BP27" s="21">
        <f>CHOOSE(CharGenMain!$B$202,H27,L27,P27,T27,X27,AB27,AF27,AJ27,AN27,AR27,AV27,AZ27,BD27,BH27,BL27)</f>
        <v>0</v>
      </c>
      <c r="BQ27" s="21">
        <f>CHOOSE(CharGenMain!$B$202,I27,M27,Q27,U27,Y27,AC27,AG27,AK27,AO27,AS27,AW27,BA27,BE27,BI27,BM27)</f>
        <v>0</v>
      </c>
      <c r="BR27" s="28" t="str">
        <f>CHOOSE(CharGenMain!$B$202,J27,N27,R27,V27,Z27,AD27,AH27,AL27,AP27,AT27,AX27,BB27,BF27,BJ27,BN27)</f>
        <v>+1 Spell Def, +2 Soc Def, +2 Interaction tests</v>
      </c>
    </row>
    <row r="28" spans="1:141">
      <c r="A28" s="232" t="s">
        <v>1240</v>
      </c>
      <c r="B28" s="23" t="s">
        <v>1475</v>
      </c>
      <c r="C28" s="23" t="s">
        <v>2667</v>
      </c>
      <c r="D28" s="23">
        <v>2</v>
      </c>
      <c r="E28" s="23">
        <v>6</v>
      </c>
      <c r="F28" s="23">
        <v>13</v>
      </c>
      <c r="G28" s="23">
        <v>4</v>
      </c>
      <c r="H28" s="23">
        <v>1</v>
      </c>
      <c r="I28" s="23">
        <v>0</v>
      </c>
      <c r="J28" s="23" t="s">
        <v>1215</v>
      </c>
      <c r="K28" s="23">
        <v>5</v>
      </c>
      <c r="L28" s="23">
        <v>2</v>
      </c>
      <c r="M28" s="23">
        <v>0</v>
      </c>
      <c r="N28" s="23" t="s">
        <v>1215</v>
      </c>
      <c r="O28" s="23">
        <v>6</v>
      </c>
      <c r="P28" s="23">
        <v>3</v>
      </c>
      <c r="Q28" s="23">
        <v>0</v>
      </c>
      <c r="R28" s="23" t="s">
        <v>1215</v>
      </c>
      <c r="S28" s="23">
        <v>7</v>
      </c>
      <c r="T28" s="23">
        <v>4</v>
      </c>
      <c r="U28" s="23">
        <v>0</v>
      </c>
      <c r="V28" s="23" t="s">
        <v>1215</v>
      </c>
      <c r="W28" s="23">
        <v>7</v>
      </c>
      <c r="X28" s="23">
        <v>4</v>
      </c>
      <c r="Y28" s="23">
        <v>0</v>
      </c>
      <c r="Z28" s="23" t="s">
        <v>1117</v>
      </c>
      <c r="AA28" s="23">
        <v>7</v>
      </c>
      <c r="AB28" s="23">
        <v>4</v>
      </c>
      <c r="AC28" s="23">
        <v>0</v>
      </c>
      <c r="AD28" s="23" t="s">
        <v>1118</v>
      </c>
      <c r="AE28" s="23" t="s">
        <v>2997</v>
      </c>
      <c r="AF28" s="23" t="s">
        <v>2997</v>
      </c>
      <c r="AG28" s="23" t="s">
        <v>2997</v>
      </c>
      <c r="AH28" s="23" t="s">
        <v>2997</v>
      </c>
      <c r="AI28" s="23" t="s">
        <v>2997</v>
      </c>
      <c r="AJ28" s="23" t="s">
        <v>2997</v>
      </c>
      <c r="AK28" s="23" t="s">
        <v>2997</v>
      </c>
      <c r="AL28" s="23" t="s">
        <v>2997</v>
      </c>
      <c r="AM28" s="23" t="s">
        <v>2997</v>
      </c>
      <c r="AN28" s="23" t="s">
        <v>2997</v>
      </c>
      <c r="AO28" s="23" t="s">
        <v>2997</v>
      </c>
      <c r="AP28" s="23" t="s">
        <v>2997</v>
      </c>
      <c r="AQ28" s="23" t="s">
        <v>2997</v>
      </c>
      <c r="AR28" s="23" t="s">
        <v>2997</v>
      </c>
      <c r="AS28" s="23" t="s">
        <v>2997</v>
      </c>
      <c r="AT28" s="23" t="s">
        <v>2997</v>
      </c>
      <c r="AU28" s="23" t="s">
        <v>2997</v>
      </c>
      <c r="AV28" s="23" t="s">
        <v>2997</v>
      </c>
      <c r="AW28" s="23" t="s">
        <v>2997</v>
      </c>
      <c r="AX28" s="23" t="s">
        <v>2997</v>
      </c>
      <c r="AY28" s="23" t="s">
        <v>2997</v>
      </c>
      <c r="AZ28" s="23" t="s">
        <v>2997</v>
      </c>
      <c r="BA28" s="23" t="s">
        <v>2997</v>
      </c>
      <c r="BB28" s="23" t="s">
        <v>2997</v>
      </c>
      <c r="BC28" s="23" t="s">
        <v>2997</v>
      </c>
      <c r="BD28" s="23" t="s">
        <v>2997</v>
      </c>
      <c r="BE28" s="23" t="s">
        <v>2997</v>
      </c>
      <c r="BF28" s="23" t="s">
        <v>2997</v>
      </c>
      <c r="BG28" s="23" t="s">
        <v>2997</v>
      </c>
      <c r="BH28" s="23" t="s">
        <v>2997</v>
      </c>
      <c r="BI28" s="23" t="s">
        <v>2997</v>
      </c>
      <c r="BJ28" s="23" t="s">
        <v>2997</v>
      </c>
      <c r="BK28" s="23" t="s">
        <v>2997</v>
      </c>
      <c r="BL28" s="23" t="s">
        <v>2997</v>
      </c>
      <c r="BM28" s="23" t="s">
        <v>2997</v>
      </c>
      <c r="BN28" s="23" t="s">
        <v>2997</v>
      </c>
      <c r="BO28" s="29">
        <f>CHOOSE(CharGenMain!$B$202,G28,K28,O28,S28,W28,AA28,AE28,AI28,AM28,AQ28,AU28,AY28,BC28,BG28,BK28)</f>
        <v>7</v>
      </c>
      <c r="BP28" s="29">
        <f>CHOOSE(CharGenMain!$B$202,H28,L28,P28,T28,X28,AB28,AF28,AJ28,AN28,AR28,AV28,AZ28,BD28,BH28,BL28)</f>
        <v>4</v>
      </c>
      <c r="BQ28" s="29">
        <f>CHOOSE(CharGenMain!$B$202,I28,M28,Q28,U28,Y28,AC28,AG28,AK28,AO28,AS28,AW28,BA28,BE28,BI28,BM28)</f>
        <v>0</v>
      </c>
      <c r="BR28" s="61" t="str">
        <f>CHOOSE(CharGenMain!$B$202,J28,N28,R28,V28,Z28,AD28,AH28,AL28,AP28,AT28,AX28,BB28,BF28,BJ28,BN28)</f>
        <v>Initiative +2, battleshout +1 rank</v>
      </c>
    </row>
    <row r="32" spans="1:141">
      <c r="B32" s="167"/>
    </row>
  </sheetData>
  <phoneticPr fontId="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K115"/>
  <sheetViews>
    <sheetView workbookViewId="0"/>
  </sheetViews>
  <sheetFormatPr baseColWidth="10" defaultRowHeight="13"/>
  <cols>
    <col min="1" max="1" width="12.7109375" style="231" customWidth="1"/>
    <col min="2" max="16384" width="10.7109375" style="231"/>
  </cols>
  <sheetData>
    <row r="1" spans="1:115">
      <c r="A1" s="17" t="s">
        <v>5326</v>
      </c>
      <c r="B1" s="18" t="s">
        <v>5701</v>
      </c>
      <c r="C1" s="18" t="s">
        <v>3869</v>
      </c>
      <c r="D1" s="18" t="s">
        <v>5781</v>
      </c>
      <c r="E1" s="18" t="s">
        <v>5105</v>
      </c>
      <c r="F1" s="18" t="s">
        <v>4754</v>
      </c>
      <c r="G1" s="24" t="s">
        <v>1119</v>
      </c>
      <c r="H1" s="24" t="s">
        <v>1120</v>
      </c>
      <c r="I1" s="24" t="s">
        <v>1411</v>
      </c>
      <c r="J1" s="24" t="s">
        <v>1121</v>
      </c>
      <c r="K1" s="24" t="s">
        <v>1002</v>
      </c>
      <c r="L1" s="24" t="s">
        <v>1299</v>
      </c>
      <c r="M1" s="24" t="s">
        <v>1003</v>
      </c>
      <c r="N1" s="24" t="s">
        <v>1004</v>
      </c>
      <c r="O1" s="24" t="s">
        <v>1303</v>
      </c>
      <c r="P1" s="24" t="s">
        <v>1005</v>
      </c>
      <c r="Q1" s="24" t="s">
        <v>1006</v>
      </c>
      <c r="R1" s="24" t="s">
        <v>1307</v>
      </c>
      <c r="S1" s="24" t="s">
        <v>1007</v>
      </c>
      <c r="T1" s="24" t="s">
        <v>1008</v>
      </c>
      <c r="U1" s="24" t="s">
        <v>1179</v>
      </c>
      <c r="V1" s="24" t="s">
        <v>1009</v>
      </c>
      <c r="W1" s="24" t="s">
        <v>1010</v>
      </c>
      <c r="X1" s="24" t="s">
        <v>1183</v>
      </c>
      <c r="Y1" s="24" t="s">
        <v>1011</v>
      </c>
      <c r="Z1" s="24" t="s">
        <v>1012</v>
      </c>
      <c r="AA1" s="24" t="s">
        <v>1173</v>
      </c>
      <c r="AB1" s="24" t="s">
        <v>1013</v>
      </c>
      <c r="AC1" s="24" t="s">
        <v>1014</v>
      </c>
      <c r="AD1" s="24" t="s">
        <v>1187</v>
      </c>
      <c r="AE1" s="24" t="s">
        <v>1015</v>
      </c>
      <c r="AF1" s="24" t="s">
        <v>1016</v>
      </c>
      <c r="AG1" s="24" t="s">
        <v>1191</v>
      </c>
      <c r="AH1" s="24" t="s">
        <v>1017</v>
      </c>
      <c r="AI1" s="24" t="s">
        <v>1249</v>
      </c>
      <c r="AJ1" s="24" t="s">
        <v>1195</v>
      </c>
      <c r="AK1" s="24" t="s">
        <v>1250</v>
      </c>
      <c r="AL1" s="24" t="s">
        <v>1251</v>
      </c>
      <c r="AM1" s="24" t="s">
        <v>1323</v>
      </c>
      <c r="AN1" s="24" t="s">
        <v>1252</v>
      </c>
      <c r="AO1" s="24" t="s">
        <v>1253</v>
      </c>
      <c r="AP1" s="24" t="s">
        <v>1427</v>
      </c>
      <c r="AQ1" s="24" t="s">
        <v>1254</v>
      </c>
      <c r="AR1" s="24" t="s">
        <v>1255</v>
      </c>
      <c r="AS1" s="24" t="s">
        <v>1431</v>
      </c>
      <c r="AT1" s="24" t="s">
        <v>1256</v>
      </c>
      <c r="AU1" s="24" t="s">
        <v>1257</v>
      </c>
      <c r="AV1" s="24" t="s">
        <v>1435</v>
      </c>
      <c r="AW1" s="24" t="s">
        <v>1258</v>
      </c>
      <c r="AX1" s="24" t="s">
        <v>1259</v>
      </c>
      <c r="AY1" s="24" t="s">
        <v>1211</v>
      </c>
      <c r="AZ1" s="84" t="s">
        <v>1260</v>
      </c>
      <c r="BA1" s="84" t="s">
        <v>1142</v>
      </c>
      <c r="BB1" s="84" t="s">
        <v>1143</v>
      </c>
      <c r="BC1" s="84" t="s">
        <v>1144</v>
      </c>
      <c r="BD1" s="84" t="s">
        <v>1145</v>
      </c>
      <c r="BE1" s="77" t="s">
        <v>1146</v>
      </c>
      <c r="BG1" s="17" t="s">
        <v>4961</v>
      </c>
      <c r="BH1" s="18" t="s">
        <v>5701</v>
      </c>
      <c r="BI1" s="18" t="s">
        <v>3869</v>
      </c>
      <c r="BJ1" s="18" t="s">
        <v>5781</v>
      </c>
      <c r="BK1" s="18" t="s">
        <v>5105</v>
      </c>
      <c r="BL1" s="18" t="s">
        <v>4754</v>
      </c>
      <c r="BM1" s="24" t="s">
        <v>1119</v>
      </c>
      <c r="BN1" s="24" t="s">
        <v>1120</v>
      </c>
      <c r="BO1" s="24" t="s">
        <v>1411</v>
      </c>
      <c r="BP1" s="24" t="s">
        <v>1121</v>
      </c>
      <c r="BQ1" s="24" t="s">
        <v>1002</v>
      </c>
      <c r="BR1" s="24" t="s">
        <v>1299</v>
      </c>
      <c r="BS1" s="24" t="s">
        <v>1003</v>
      </c>
      <c r="BT1" s="24" t="s">
        <v>1004</v>
      </c>
      <c r="BU1" s="24" t="s">
        <v>1303</v>
      </c>
      <c r="BV1" s="24" t="s">
        <v>1005</v>
      </c>
      <c r="BW1" s="24" t="s">
        <v>1006</v>
      </c>
      <c r="BX1" s="24" t="s">
        <v>1307</v>
      </c>
      <c r="BY1" s="24" t="s">
        <v>1007</v>
      </c>
      <c r="BZ1" s="24" t="s">
        <v>1008</v>
      </c>
      <c r="CA1" s="24" t="s">
        <v>1179</v>
      </c>
      <c r="CB1" s="24" t="s">
        <v>1009</v>
      </c>
      <c r="CC1" s="24" t="s">
        <v>1010</v>
      </c>
      <c r="CD1" s="24" t="s">
        <v>1183</v>
      </c>
      <c r="CE1" s="24" t="s">
        <v>1011</v>
      </c>
      <c r="CF1" s="24" t="s">
        <v>1012</v>
      </c>
      <c r="CG1" s="24" t="s">
        <v>1173</v>
      </c>
      <c r="CH1" s="24" t="s">
        <v>1013</v>
      </c>
      <c r="CI1" s="24" t="s">
        <v>1014</v>
      </c>
      <c r="CJ1" s="24" t="s">
        <v>1187</v>
      </c>
      <c r="CK1" s="24" t="s">
        <v>1015</v>
      </c>
      <c r="CL1" s="24" t="s">
        <v>1016</v>
      </c>
      <c r="CM1" s="24" t="s">
        <v>1191</v>
      </c>
      <c r="CN1" s="24" t="s">
        <v>1017</v>
      </c>
      <c r="CO1" s="24" t="s">
        <v>1249</v>
      </c>
      <c r="CP1" s="24" t="s">
        <v>1195</v>
      </c>
      <c r="CQ1" s="24" t="s">
        <v>1250</v>
      </c>
      <c r="CR1" s="24" t="s">
        <v>1251</v>
      </c>
      <c r="CS1" s="24" t="s">
        <v>1323</v>
      </c>
      <c r="CT1" s="24" t="s">
        <v>1252</v>
      </c>
      <c r="CU1" s="24" t="s">
        <v>1253</v>
      </c>
      <c r="CV1" s="24" t="s">
        <v>1427</v>
      </c>
      <c r="CW1" s="24" t="s">
        <v>1254</v>
      </c>
      <c r="CX1" s="24" t="s">
        <v>1255</v>
      </c>
      <c r="CY1" s="24" t="s">
        <v>1431</v>
      </c>
      <c r="CZ1" s="24" t="s">
        <v>1256</v>
      </c>
      <c r="DA1" s="24" t="s">
        <v>1257</v>
      </c>
      <c r="DB1" s="24" t="s">
        <v>1435</v>
      </c>
      <c r="DC1" s="24" t="s">
        <v>1258</v>
      </c>
      <c r="DD1" s="24" t="s">
        <v>1259</v>
      </c>
      <c r="DE1" s="24" t="s">
        <v>1211</v>
      </c>
      <c r="DF1" s="84" t="s">
        <v>1260</v>
      </c>
      <c r="DG1" s="84" t="s">
        <v>1142</v>
      </c>
      <c r="DH1" s="84" t="s">
        <v>1143</v>
      </c>
      <c r="DI1" s="84" t="s">
        <v>1260</v>
      </c>
      <c r="DJ1" s="84" t="s">
        <v>1142</v>
      </c>
      <c r="DK1" s="77" t="s">
        <v>1143</v>
      </c>
    </row>
    <row r="2" spans="1:115">
      <c r="A2" s="20" t="s">
        <v>1022</v>
      </c>
      <c r="B2" s="167" t="s">
        <v>4742</v>
      </c>
      <c r="C2" s="14" t="s">
        <v>2279</v>
      </c>
      <c r="D2" s="14">
        <v>3</v>
      </c>
      <c r="E2" s="14">
        <v>10</v>
      </c>
      <c r="F2" s="14">
        <v>19</v>
      </c>
      <c r="G2" s="87">
        <v>17</v>
      </c>
      <c r="H2" s="87">
        <v>0</v>
      </c>
      <c r="I2" s="87" t="s">
        <v>1215</v>
      </c>
      <c r="J2" s="87">
        <v>17</v>
      </c>
      <c r="K2" s="87">
        <v>0</v>
      </c>
      <c r="L2" s="87" t="s">
        <v>1150</v>
      </c>
      <c r="M2" s="87">
        <v>18</v>
      </c>
      <c r="N2" s="87">
        <v>0</v>
      </c>
      <c r="O2" s="87" t="s">
        <v>1150</v>
      </c>
      <c r="P2" s="87">
        <v>18</v>
      </c>
      <c r="Q2" s="87">
        <v>0</v>
      </c>
      <c r="R2" s="87" t="s">
        <v>1151</v>
      </c>
      <c r="S2" s="87">
        <v>19</v>
      </c>
      <c r="T2" s="87">
        <v>0</v>
      </c>
      <c r="U2" s="87" t="s">
        <v>1151</v>
      </c>
      <c r="V2" s="87">
        <v>19</v>
      </c>
      <c r="W2" s="87">
        <v>0</v>
      </c>
      <c r="X2" s="87" t="s">
        <v>1152</v>
      </c>
      <c r="Y2" s="87">
        <v>20</v>
      </c>
      <c r="Z2" s="87">
        <v>0</v>
      </c>
      <c r="AA2" s="87" t="s">
        <v>1152</v>
      </c>
      <c r="AB2" s="87">
        <v>20</v>
      </c>
      <c r="AC2" s="87">
        <v>0</v>
      </c>
      <c r="AD2" s="87" t="s">
        <v>1153</v>
      </c>
      <c r="AE2" s="87">
        <v>21</v>
      </c>
      <c r="AF2" s="87">
        <v>0</v>
      </c>
      <c r="AG2" s="87" t="s">
        <v>1153</v>
      </c>
      <c r="AH2" s="87">
        <v>21</v>
      </c>
      <c r="AI2" s="87">
        <v>0</v>
      </c>
      <c r="AJ2" s="87" t="s">
        <v>1154</v>
      </c>
      <c r="AK2" s="87" t="s">
        <v>2997</v>
      </c>
      <c r="AL2" s="87" t="s">
        <v>2997</v>
      </c>
      <c r="AM2" s="87" t="s">
        <v>2997</v>
      </c>
      <c r="AN2" s="87" t="s">
        <v>2997</v>
      </c>
      <c r="AO2" s="87" t="s">
        <v>2997</v>
      </c>
      <c r="AP2" s="87" t="s">
        <v>2997</v>
      </c>
      <c r="AQ2" s="87" t="s">
        <v>2997</v>
      </c>
      <c r="AR2" s="87" t="s">
        <v>2997</v>
      </c>
      <c r="AS2" s="87" t="s">
        <v>2997</v>
      </c>
      <c r="AT2" s="87" t="s">
        <v>2997</v>
      </c>
      <c r="AU2" s="87" t="s">
        <v>2997</v>
      </c>
      <c r="AV2" s="87" t="s">
        <v>2997</v>
      </c>
      <c r="AW2" s="87" t="s">
        <v>2997</v>
      </c>
      <c r="AX2" s="87" t="s">
        <v>2997</v>
      </c>
      <c r="AY2" s="87" t="s">
        <v>2997</v>
      </c>
      <c r="AZ2" s="21" t="e">
        <f>CHOOSE(CharGenMain!$C$206,G2,J2,M2,P2,S2,V2,Y2,AB2,AE2,AH2,AK2,AN2,AQ2,AT2,AW2)</f>
        <v>#VALUE!</v>
      </c>
      <c r="BA2" s="21" t="e">
        <f>CHOOSE(CharGenMain!$C$206,H2,K2,N2,Q2,T2,W2,Z2,AC2,AF2,AI2,AL2,AO2,AR2,AU2,AX2)</f>
        <v>#VALUE!</v>
      </c>
      <c r="BB2" s="21" t="e">
        <f>CHOOSE(CharGenMain!$C$206,I2,L2,O2,R2,U2,X2,AA2,AD2,AG2,AJ2,AM2,AP2,AS2,AV2,AY2)</f>
        <v>#VALUE!</v>
      </c>
      <c r="BC2" s="21" t="e">
        <f>CHOOSE(CharGenMain!$C$207,G2,J2,M2,P2,S2,V2,Y2,AB2,AE2,AH2,AK2,AN2,AQ2,AT2,AW2)</f>
        <v>#VALUE!</v>
      </c>
      <c r="BD2" s="21" t="e">
        <f>CHOOSE(CharGenMain!$C$207,H2,K2,N2,Q2,T2,W2,Z2,AC2,AF2,AI2,AL2,AO2,AR2,AU2,AX2)</f>
        <v>#VALUE!</v>
      </c>
      <c r="BE2" s="28" t="e">
        <f>CHOOSE(CharGenMain!$C$207,I2,L2,O2,R2,U2,X2,AA2,AD2,AG2,AJ2,AM2,AP2,AS2,AV2,AY2)</f>
        <v>#VALUE!</v>
      </c>
      <c r="BG2" s="226" t="s">
        <v>1155</v>
      </c>
      <c r="BH2" s="14" t="s">
        <v>1046</v>
      </c>
      <c r="BI2" s="14" t="s">
        <v>2223</v>
      </c>
      <c r="BJ2" s="14">
        <v>2</v>
      </c>
      <c r="BK2" s="14">
        <v>3</v>
      </c>
      <c r="BL2" s="14">
        <v>15</v>
      </c>
      <c r="BM2" s="21">
        <v>13</v>
      </c>
      <c r="BN2" s="21">
        <v>0</v>
      </c>
      <c r="BO2" s="21" t="s">
        <v>1047</v>
      </c>
      <c r="BP2" s="21">
        <v>14</v>
      </c>
      <c r="BQ2" s="21">
        <v>0</v>
      </c>
      <c r="BR2" s="21" t="s">
        <v>1283</v>
      </c>
      <c r="BS2" s="21">
        <v>15</v>
      </c>
      <c r="BT2" s="21">
        <v>0</v>
      </c>
      <c r="BU2" s="21" t="s">
        <v>1284</v>
      </c>
      <c r="BV2" s="87" t="s">
        <v>2997</v>
      </c>
      <c r="BW2" s="87" t="s">
        <v>2997</v>
      </c>
      <c r="BX2" s="87" t="s">
        <v>2997</v>
      </c>
      <c r="BY2" s="87" t="s">
        <v>2997</v>
      </c>
      <c r="BZ2" s="87" t="s">
        <v>2997</v>
      </c>
      <c r="CA2" s="87" t="s">
        <v>2997</v>
      </c>
      <c r="CB2" s="87" t="s">
        <v>2997</v>
      </c>
      <c r="CC2" s="87" t="s">
        <v>2997</v>
      </c>
      <c r="CD2" s="87" t="s">
        <v>2997</v>
      </c>
      <c r="CE2" s="87" t="s">
        <v>2997</v>
      </c>
      <c r="CF2" s="87" t="s">
        <v>2997</v>
      </c>
      <c r="CG2" s="87" t="s">
        <v>2997</v>
      </c>
      <c r="CH2" s="87" t="s">
        <v>2997</v>
      </c>
      <c r="CI2" s="87" t="s">
        <v>2997</v>
      </c>
      <c r="CJ2" s="87" t="s">
        <v>2997</v>
      </c>
      <c r="CK2" s="87" t="s">
        <v>2997</v>
      </c>
      <c r="CL2" s="87" t="s">
        <v>2997</v>
      </c>
      <c r="CM2" s="87" t="s">
        <v>2997</v>
      </c>
      <c r="CN2" s="87" t="s">
        <v>2997</v>
      </c>
      <c r="CO2" s="87" t="s">
        <v>2997</v>
      </c>
      <c r="CP2" s="87" t="s">
        <v>2997</v>
      </c>
      <c r="CQ2" s="87" t="s">
        <v>2997</v>
      </c>
      <c r="CR2" s="87" t="s">
        <v>2997</v>
      </c>
      <c r="CS2" s="87" t="s">
        <v>2997</v>
      </c>
      <c r="CT2" s="87" t="s">
        <v>2997</v>
      </c>
      <c r="CU2" s="87" t="s">
        <v>2997</v>
      </c>
      <c r="CV2" s="87" t="s">
        <v>2997</v>
      </c>
      <c r="CW2" s="87" t="s">
        <v>2997</v>
      </c>
      <c r="CX2" s="87" t="s">
        <v>2997</v>
      </c>
      <c r="CY2" s="87" t="s">
        <v>2997</v>
      </c>
      <c r="CZ2" s="87" t="s">
        <v>2997</v>
      </c>
      <c r="DA2" s="87" t="s">
        <v>2997</v>
      </c>
      <c r="DB2" s="87" t="s">
        <v>2997</v>
      </c>
      <c r="DC2" s="87" t="s">
        <v>2997</v>
      </c>
      <c r="DD2" s="87" t="s">
        <v>2997</v>
      </c>
      <c r="DE2" s="87" t="s">
        <v>2997</v>
      </c>
      <c r="DF2" s="21" t="e">
        <f>CHOOSE(CharGenMain!$C$209,BM2,BP2,BS2,BV2,BY2,CB2,CE2,CH2,CK2,CN2,CQ2,CT2,CW2,CZ2,DC2)</f>
        <v>#VALUE!</v>
      </c>
      <c r="DG2" s="21" t="e">
        <f>CHOOSE(CharGenMain!$C$209,BN2,BQ2,BT2,BW2,BZ2,CC2,CF2,CI2,CL2,CO2,CR2,CU2,CX2,DA2,DD2)</f>
        <v>#VALUE!</v>
      </c>
      <c r="DH2" s="21" t="e">
        <f>CHOOSE(CharGenMain!$C$209,BO2,BR2,BU2,BX2,CA2,CD2,CG2,CJ2,CM2,CP2,CS2,CV2,CY2,DB2,DE2)</f>
        <v>#VALUE!</v>
      </c>
      <c r="DI2" s="21" t="e">
        <f>CHOOSE(CharGenMain!$C$210,BM2,BP2,BS2,BV2,BY2,CB2,CE2,CH2,CK2,CN2,CQ2,CT2,CW2,CZ2,DC2)</f>
        <v>#VALUE!</v>
      </c>
      <c r="DJ2" s="21" t="e">
        <f>CHOOSE(CharGenMain!$C$210,BN2,BQ2,BT2,BW2,BZ2,CC2,CF2,CI2,CL2,CO2,CR2,CU2,CX2,DA2,DD2)</f>
        <v>#VALUE!</v>
      </c>
      <c r="DK2" s="28" t="e">
        <f>CHOOSE(CharGenMain!$C$210,BO2,BR2,BU2,BX2,CA2,CD2,CG2,CJ2,CM2,CP2,CS2,CV2,CY2,DB2,DE2)</f>
        <v>#VALUE!</v>
      </c>
    </row>
    <row r="3" spans="1:115">
      <c r="A3" s="20" t="s">
        <v>1285</v>
      </c>
      <c r="B3" s="167" t="s">
        <v>1286</v>
      </c>
      <c r="C3" s="14" t="s">
        <v>2279</v>
      </c>
      <c r="D3" s="14">
        <v>4</v>
      </c>
      <c r="E3" s="14">
        <v>1</v>
      </c>
      <c r="F3" s="14">
        <v>12</v>
      </c>
      <c r="G3" s="87">
        <v>10</v>
      </c>
      <c r="H3" s="87">
        <v>0</v>
      </c>
      <c r="I3" s="206" t="s">
        <v>1051</v>
      </c>
      <c r="J3" s="87" t="s">
        <v>2997</v>
      </c>
      <c r="K3" s="87" t="s">
        <v>2997</v>
      </c>
      <c r="L3" s="87" t="s">
        <v>2997</v>
      </c>
      <c r="M3" s="87" t="s">
        <v>2997</v>
      </c>
      <c r="N3" s="87" t="s">
        <v>2997</v>
      </c>
      <c r="O3" s="87" t="s">
        <v>2997</v>
      </c>
      <c r="P3" s="87" t="s">
        <v>2997</v>
      </c>
      <c r="Q3" s="87" t="s">
        <v>2997</v>
      </c>
      <c r="R3" s="87" t="s">
        <v>2997</v>
      </c>
      <c r="S3" s="87" t="s">
        <v>2997</v>
      </c>
      <c r="T3" s="87" t="s">
        <v>2997</v>
      </c>
      <c r="U3" s="87" t="s">
        <v>2997</v>
      </c>
      <c r="V3" s="87" t="s">
        <v>2997</v>
      </c>
      <c r="W3" s="87" t="s">
        <v>2997</v>
      </c>
      <c r="X3" s="87" t="s">
        <v>2997</v>
      </c>
      <c r="Y3" s="87" t="s">
        <v>2997</v>
      </c>
      <c r="Z3" s="87" t="s">
        <v>2997</v>
      </c>
      <c r="AA3" s="87" t="s">
        <v>2997</v>
      </c>
      <c r="AB3" s="87" t="s">
        <v>2997</v>
      </c>
      <c r="AC3" s="87" t="s">
        <v>2997</v>
      </c>
      <c r="AD3" s="87" t="s">
        <v>2997</v>
      </c>
      <c r="AE3" s="87" t="s">
        <v>2997</v>
      </c>
      <c r="AF3" s="87" t="s">
        <v>2997</v>
      </c>
      <c r="AG3" s="87" t="s">
        <v>2997</v>
      </c>
      <c r="AH3" s="87" t="s">
        <v>2997</v>
      </c>
      <c r="AI3" s="87" t="s">
        <v>2997</v>
      </c>
      <c r="AJ3" s="87" t="s">
        <v>2997</v>
      </c>
      <c r="AK3" s="87" t="s">
        <v>2997</v>
      </c>
      <c r="AL3" s="87" t="s">
        <v>2997</v>
      </c>
      <c r="AM3" s="87" t="s">
        <v>2997</v>
      </c>
      <c r="AN3" s="87" t="s">
        <v>2997</v>
      </c>
      <c r="AO3" s="87" t="s">
        <v>2997</v>
      </c>
      <c r="AP3" s="87" t="s">
        <v>2997</v>
      </c>
      <c r="AQ3" s="87" t="s">
        <v>2997</v>
      </c>
      <c r="AR3" s="87" t="s">
        <v>2997</v>
      </c>
      <c r="AS3" s="87" t="s">
        <v>2997</v>
      </c>
      <c r="AT3" s="87" t="s">
        <v>2997</v>
      </c>
      <c r="AU3" s="87" t="s">
        <v>2997</v>
      </c>
      <c r="AV3" s="87" t="s">
        <v>2997</v>
      </c>
      <c r="AW3" s="87" t="s">
        <v>2997</v>
      </c>
      <c r="AX3" s="87" t="s">
        <v>2997</v>
      </c>
      <c r="AY3" s="87" t="s">
        <v>2997</v>
      </c>
      <c r="AZ3" s="21" t="e">
        <f>CHOOSE(CharGenMain!$C$206,G3,J3,M3,P3,S3,V3,Y3,AB3,AE3,AH3,AK3,AN3,AQ3,AT3,AW3)</f>
        <v>#VALUE!</v>
      </c>
      <c r="BA3" s="21" t="e">
        <f>CHOOSE(CharGenMain!$C$206,H3,K3,N3,Q3,T3,W3,Z3,AC3,AF3,AI3,AL3,AO3,AR3,AU3,AX3)</f>
        <v>#VALUE!</v>
      </c>
      <c r="BB3" s="21" t="e">
        <f>CHOOSE(CharGenMain!$C$206,I3,L3,O3,R3,U3,X3,AA3,AD3,AG3,AJ3,AM3,AP3,AS3,AV3,AY3)</f>
        <v>#VALUE!</v>
      </c>
      <c r="BC3" s="21" t="e">
        <f>CHOOSE(CharGenMain!$C$207,G3,J3,M3,P3,S3,V3,Y3,AB3,AE3,AH3,AK3,AN3,AQ3,AT3,AW3)</f>
        <v>#VALUE!</v>
      </c>
      <c r="BD3" s="21" t="e">
        <f>CHOOSE(CharGenMain!$C$207,H3,K3,N3,Q3,T3,W3,Z3,AC3,AF3,AI3,AL3,AO3,AR3,AU3,AX3)</f>
        <v>#VALUE!</v>
      </c>
      <c r="BE3" s="28" t="e">
        <f>CHOOSE(CharGenMain!$C$207,I3,L3,O3,R3,U3,X3,AA3,AD3,AG3,AJ3,AM3,AP3,AS3,AV3,AY3)</f>
        <v>#VALUE!</v>
      </c>
      <c r="BG3" s="20" t="s">
        <v>1157</v>
      </c>
      <c r="BH3" s="167" t="s">
        <v>1158</v>
      </c>
      <c r="BI3" s="14" t="s">
        <v>2279</v>
      </c>
      <c r="BJ3" s="14">
        <v>1</v>
      </c>
      <c r="BK3" s="14">
        <v>7</v>
      </c>
      <c r="BL3" s="14">
        <v>8</v>
      </c>
      <c r="BM3" s="87">
        <v>9</v>
      </c>
      <c r="BN3" s="87">
        <v>0</v>
      </c>
      <c r="BO3" s="87" t="s">
        <v>1215</v>
      </c>
      <c r="BP3" s="87">
        <v>10</v>
      </c>
      <c r="BQ3" s="87">
        <v>0</v>
      </c>
      <c r="BR3" s="87" t="s">
        <v>1159</v>
      </c>
      <c r="BS3" s="87">
        <v>11</v>
      </c>
      <c r="BT3" s="87">
        <v>0</v>
      </c>
      <c r="BU3" s="87" t="s">
        <v>1159</v>
      </c>
      <c r="BV3" s="87">
        <v>11</v>
      </c>
      <c r="BW3" s="87">
        <v>0</v>
      </c>
      <c r="BX3" s="87" t="s">
        <v>1159</v>
      </c>
      <c r="BY3" s="87">
        <v>12</v>
      </c>
      <c r="BZ3" s="87">
        <v>0</v>
      </c>
      <c r="CA3" s="87" t="s">
        <v>1159</v>
      </c>
      <c r="CB3" s="87">
        <v>12</v>
      </c>
      <c r="CC3" s="87">
        <v>0</v>
      </c>
      <c r="CD3" s="206" t="s">
        <v>1160</v>
      </c>
      <c r="CE3" s="87">
        <v>13</v>
      </c>
      <c r="CF3" s="87">
        <v>0</v>
      </c>
      <c r="CG3" s="206" t="s">
        <v>1161</v>
      </c>
      <c r="CH3" s="87" t="s">
        <v>2997</v>
      </c>
      <c r="CI3" s="87" t="s">
        <v>2997</v>
      </c>
      <c r="CJ3" s="87" t="s">
        <v>2997</v>
      </c>
      <c r="CK3" s="87" t="s">
        <v>2997</v>
      </c>
      <c r="CL3" s="87" t="s">
        <v>2997</v>
      </c>
      <c r="CM3" s="87" t="s">
        <v>2997</v>
      </c>
      <c r="CN3" s="87" t="s">
        <v>2997</v>
      </c>
      <c r="CO3" s="87" t="s">
        <v>2997</v>
      </c>
      <c r="CP3" s="87" t="s">
        <v>2997</v>
      </c>
      <c r="CQ3" s="87" t="s">
        <v>2997</v>
      </c>
      <c r="CR3" s="87" t="s">
        <v>2997</v>
      </c>
      <c r="CS3" s="87" t="s">
        <v>2997</v>
      </c>
      <c r="CT3" s="87" t="s">
        <v>2997</v>
      </c>
      <c r="CU3" s="87" t="s">
        <v>2997</v>
      </c>
      <c r="CV3" s="87" t="s">
        <v>2997</v>
      </c>
      <c r="CW3" s="87" t="s">
        <v>2997</v>
      </c>
      <c r="CX3" s="87" t="s">
        <v>2997</v>
      </c>
      <c r="CY3" s="87" t="s">
        <v>2997</v>
      </c>
      <c r="CZ3" s="87" t="s">
        <v>2997</v>
      </c>
      <c r="DA3" s="87" t="s">
        <v>2997</v>
      </c>
      <c r="DB3" s="87" t="s">
        <v>2997</v>
      </c>
      <c r="DC3" s="87" t="s">
        <v>2997</v>
      </c>
      <c r="DD3" s="87" t="s">
        <v>2997</v>
      </c>
      <c r="DE3" s="87" t="s">
        <v>2997</v>
      </c>
      <c r="DF3" s="21" t="e">
        <f>CHOOSE(CharGenMain!$C$209,BM3,BP3,BS3,BV3,BY3,CB3,CE3,CH3,CK3,CN3,CQ3,CT3,CW3,CZ3,DC3)</f>
        <v>#VALUE!</v>
      </c>
      <c r="DG3" s="21" t="e">
        <f>CHOOSE(CharGenMain!$C$209,BN3,BQ3,BT3,BW3,BZ3,CC3,CF3,CI3,CL3,CO3,CR3,CU3,CX3,DA3,DD3)</f>
        <v>#VALUE!</v>
      </c>
      <c r="DH3" s="21" t="e">
        <f>CHOOSE(CharGenMain!$C$209,BO3,BR3,BU3,BX3,CA3,CD3,CG3,CJ3,CM3,CP3,CS3,CV3,CY3,DB3,DE3)</f>
        <v>#VALUE!</v>
      </c>
      <c r="DI3" s="21" t="e">
        <f>CHOOSE(CharGenMain!$C$210,BM3,BP3,BS3,BV3,BY3,CB3,CE3,CH3,CK3,CN3,CQ3,CT3,CW3,CZ3,DC3)</f>
        <v>#VALUE!</v>
      </c>
      <c r="DJ3" s="21" t="e">
        <f>CHOOSE(CharGenMain!$C$210,BN3,BQ3,BT3,BW3,BZ3,CC3,CF3,CI3,CL3,CO3,CR3,CU3,CX3,DA3,DD3)</f>
        <v>#VALUE!</v>
      </c>
      <c r="DK3" s="28" t="e">
        <f>CHOOSE(CharGenMain!$C$210,BO3,BR3,BU3,BX3,CA3,CD3,CG3,CJ3,CM3,CP3,CS3,CV3,CY3,DB3,DE3)</f>
        <v>#VALUE!</v>
      </c>
    </row>
    <row r="4" spans="1:115">
      <c r="A4" s="20" t="s">
        <v>1162</v>
      </c>
      <c r="B4" s="167" t="s">
        <v>2504</v>
      </c>
      <c r="C4" s="14" t="s">
        <v>2279</v>
      </c>
      <c r="D4" s="14">
        <v>3</v>
      </c>
      <c r="E4" s="14">
        <v>5</v>
      </c>
      <c r="F4" s="14">
        <v>18</v>
      </c>
      <c r="G4" s="87">
        <v>12</v>
      </c>
      <c r="H4" s="87">
        <v>0</v>
      </c>
      <c r="I4" s="87" t="s">
        <v>1215</v>
      </c>
      <c r="J4" s="87">
        <v>12</v>
      </c>
      <c r="K4" s="87">
        <v>0</v>
      </c>
      <c r="L4" s="87" t="s">
        <v>1163</v>
      </c>
      <c r="M4" s="87">
        <v>13</v>
      </c>
      <c r="N4" s="87">
        <v>0</v>
      </c>
      <c r="O4" s="87" t="s">
        <v>1164</v>
      </c>
      <c r="P4" s="87">
        <v>13</v>
      </c>
      <c r="Q4" s="87">
        <v>0</v>
      </c>
      <c r="R4" s="87" t="s">
        <v>1165</v>
      </c>
      <c r="S4" s="87">
        <v>14</v>
      </c>
      <c r="T4" s="87">
        <v>0</v>
      </c>
      <c r="U4" s="87" t="s">
        <v>1073</v>
      </c>
      <c r="V4" s="87" t="s">
        <v>2997</v>
      </c>
      <c r="W4" s="87" t="s">
        <v>2997</v>
      </c>
      <c r="X4" s="87" t="s">
        <v>2997</v>
      </c>
      <c r="Y4" s="87" t="s">
        <v>2997</v>
      </c>
      <c r="Z4" s="87" t="s">
        <v>2997</v>
      </c>
      <c r="AA4" s="87" t="s">
        <v>2997</v>
      </c>
      <c r="AB4" s="87" t="s">
        <v>2997</v>
      </c>
      <c r="AC4" s="87" t="s">
        <v>2997</v>
      </c>
      <c r="AD4" s="87" t="s">
        <v>2997</v>
      </c>
      <c r="AE4" s="87" t="s">
        <v>2997</v>
      </c>
      <c r="AF4" s="87" t="s">
        <v>2997</v>
      </c>
      <c r="AG4" s="87" t="s">
        <v>2997</v>
      </c>
      <c r="AH4" s="87" t="s">
        <v>2997</v>
      </c>
      <c r="AI4" s="87" t="s">
        <v>2997</v>
      </c>
      <c r="AJ4" s="87" t="s">
        <v>2997</v>
      </c>
      <c r="AK4" s="87" t="s">
        <v>2997</v>
      </c>
      <c r="AL4" s="87" t="s">
        <v>2997</v>
      </c>
      <c r="AM4" s="87" t="s">
        <v>2997</v>
      </c>
      <c r="AN4" s="87" t="s">
        <v>2997</v>
      </c>
      <c r="AO4" s="87" t="s">
        <v>2997</v>
      </c>
      <c r="AP4" s="87" t="s">
        <v>2997</v>
      </c>
      <c r="AQ4" s="87" t="s">
        <v>2997</v>
      </c>
      <c r="AR4" s="87" t="s">
        <v>2997</v>
      </c>
      <c r="AS4" s="87" t="s">
        <v>2997</v>
      </c>
      <c r="AT4" s="87" t="s">
        <v>2997</v>
      </c>
      <c r="AU4" s="87" t="s">
        <v>2997</v>
      </c>
      <c r="AV4" s="87" t="s">
        <v>2997</v>
      </c>
      <c r="AW4" s="87" t="s">
        <v>2997</v>
      </c>
      <c r="AX4" s="87" t="s">
        <v>2997</v>
      </c>
      <c r="AY4" s="87" t="s">
        <v>2997</v>
      </c>
      <c r="AZ4" s="21" t="e">
        <f>CHOOSE(CharGenMain!$C$206,G4,J4,M4,P4,S4,V4,Y4,AB4,AE4,AH4,AK4,AN4,AQ4,AT4,AW4)</f>
        <v>#VALUE!</v>
      </c>
      <c r="BA4" s="21" t="e">
        <f>CHOOSE(CharGenMain!$C$206,H4,K4,N4,Q4,T4,W4,Z4,AC4,AF4,AI4,AL4,AO4,AR4,AU4,AX4)</f>
        <v>#VALUE!</v>
      </c>
      <c r="BB4" s="21" t="e">
        <f>CHOOSE(CharGenMain!$C$206,I4,L4,O4,R4,U4,X4,AA4,AD4,AG4,AJ4,AM4,AP4,AS4,AV4,AY4)</f>
        <v>#VALUE!</v>
      </c>
      <c r="BC4" s="21" t="e">
        <f>CHOOSE(CharGenMain!$C$207,G4,J4,M4,P4,S4,V4,Y4,AB4,AE4,AH4,AK4,AN4,AQ4,AT4,AW4)</f>
        <v>#VALUE!</v>
      </c>
      <c r="BD4" s="21" t="e">
        <f>CHOOSE(CharGenMain!$C$207,H4,K4,N4,Q4,T4,W4,Z4,AC4,AF4,AI4,AL4,AO4,AR4,AU4,AX4)</f>
        <v>#VALUE!</v>
      </c>
      <c r="BE4" s="28" t="e">
        <f>CHOOSE(CharGenMain!$C$207,I4,L4,O4,R4,U4,X4,AA4,AD4,AG4,AJ4,AM4,AP4,AS4,AV4,AY4)</f>
        <v>#VALUE!</v>
      </c>
      <c r="BG4" s="226" t="s">
        <v>1074</v>
      </c>
      <c r="BH4" s="14" t="s">
        <v>4742</v>
      </c>
      <c r="BI4" s="14" t="s">
        <v>2667</v>
      </c>
      <c r="BJ4" s="14">
        <v>3</v>
      </c>
      <c r="BK4" s="14">
        <v>5</v>
      </c>
      <c r="BL4" s="14">
        <v>14</v>
      </c>
      <c r="BM4" s="21">
        <v>11</v>
      </c>
      <c r="BN4" s="21">
        <v>0</v>
      </c>
      <c r="BO4" s="21" t="s">
        <v>1075</v>
      </c>
      <c r="BP4" s="21">
        <v>12</v>
      </c>
      <c r="BQ4" s="21">
        <v>0</v>
      </c>
      <c r="BR4" s="21" t="s">
        <v>1075</v>
      </c>
      <c r="BS4" s="21">
        <v>13</v>
      </c>
      <c r="BT4" s="21">
        <v>0</v>
      </c>
      <c r="BU4" s="21" t="s">
        <v>1075</v>
      </c>
      <c r="BV4" s="21">
        <v>14</v>
      </c>
      <c r="BW4" s="21">
        <v>0</v>
      </c>
      <c r="BX4" s="21" t="s">
        <v>1075</v>
      </c>
      <c r="BY4" s="21">
        <v>15</v>
      </c>
      <c r="BZ4" s="21">
        <v>0</v>
      </c>
      <c r="CA4" s="21" t="s">
        <v>1075</v>
      </c>
      <c r="CB4" s="87" t="s">
        <v>2997</v>
      </c>
      <c r="CC4" s="87" t="s">
        <v>2997</v>
      </c>
      <c r="CD4" s="87" t="s">
        <v>2997</v>
      </c>
      <c r="CE4" s="87" t="s">
        <v>2997</v>
      </c>
      <c r="CF4" s="87" t="s">
        <v>2997</v>
      </c>
      <c r="CG4" s="87" t="s">
        <v>2997</v>
      </c>
      <c r="CH4" s="87" t="s">
        <v>2997</v>
      </c>
      <c r="CI4" s="87" t="s">
        <v>2997</v>
      </c>
      <c r="CJ4" s="87" t="s">
        <v>2997</v>
      </c>
      <c r="CK4" s="87" t="s">
        <v>2997</v>
      </c>
      <c r="CL4" s="87" t="s">
        <v>2997</v>
      </c>
      <c r="CM4" s="87" t="s">
        <v>2997</v>
      </c>
      <c r="CN4" s="87" t="s">
        <v>2997</v>
      </c>
      <c r="CO4" s="87" t="s">
        <v>2997</v>
      </c>
      <c r="CP4" s="87" t="s">
        <v>2997</v>
      </c>
      <c r="CQ4" s="87" t="s">
        <v>2997</v>
      </c>
      <c r="CR4" s="87" t="s">
        <v>2997</v>
      </c>
      <c r="CS4" s="87" t="s">
        <v>2997</v>
      </c>
      <c r="CT4" s="87" t="s">
        <v>2997</v>
      </c>
      <c r="CU4" s="87" t="s">
        <v>2997</v>
      </c>
      <c r="CV4" s="87" t="s">
        <v>2997</v>
      </c>
      <c r="CW4" s="87" t="s">
        <v>2997</v>
      </c>
      <c r="CX4" s="87" t="s">
        <v>2997</v>
      </c>
      <c r="CY4" s="87" t="s">
        <v>2997</v>
      </c>
      <c r="CZ4" s="87" t="s">
        <v>2997</v>
      </c>
      <c r="DA4" s="87" t="s">
        <v>2997</v>
      </c>
      <c r="DB4" s="87" t="s">
        <v>2997</v>
      </c>
      <c r="DC4" s="87" t="s">
        <v>2997</v>
      </c>
      <c r="DD4" s="87" t="s">
        <v>2997</v>
      </c>
      <c r="DE4" s="87" t="s">
        <v>2997</v>
      </c>
      <c r="DF4" s="21" t="e">
        <f>CHOOSE(CharGenMain!$C$209,BM4,BP4,BS4,BV4,BY4,CB4,CE4,CH4,CK4,CN4,CQ4,CT4,CW4,CZ4,DC4)</f>
        <v>#VALUE!</v>
      </c>
      <c r="DG4" s="21" t="e">
        <f>CHOOSE(CharGenMain!$C$209,BN4,BQ4,BT4,BW4,BZ4,CC4,CF4,CI4,CL4,CO4,CR4,CU4,CX4,DA4,DD4)</f>
        <v>#VALUE!</v>
      </c>
      <c r="DH4" s="21" t="e">
        <f>CHOOSE(CharGenMain!$C$209,BO4,BR4,BU4,BX4,CA4,CD4,CG4,CJ4,CM4,CP4,CS4,CV4,CY4,DB4,DE4)</f>
        <v>#VALUE!</v>
      </c>
      <c r="DI4" s="21" t="e">
        <f>CHOOSE(CharGenMain!$C$210,BM4,BP4,BS4,BV4,BY4,CB4,CE4,CH4,CK4,CN4,CQ4,CT4,CW4,CZ4,DC4)</f>
        <v>#VALUE!</v>
      </c>
      <c r="DJ4" s="21" t="e">
        <f>CHOOSE(CharGenMain!$C$210,BN4,BQ4,BT4,BW4,BZ4,CC4,CF4,CI4,CL4,CO4,CR4,CU4,CX4,DA4,DD4)</f>
        <v>#VALUE!</v>
      </c>
      <c r="DK4" s="28" t="e">
        <f>CHOOSE(CharGenMain!$C$210,BO4,BR4,BU4,BX4,CA4,CD4,CG4,CJ4,CM4,CP4,CS4,CV4,CY4,DB4,DE4)</f>
        <v>#VALUE!</v>
      </c>
    </row>
    <row r="5" spans="1:115">
      <c r="A5" s="20" t="s">
        <v>952</v>
      </c>
      <c r="B5" s="167" t="s">
        <v>953</v>
      </c>
      <c r="C5" s="14" t="s">
        <v>2279</v>
      </c>
      <c r="D5" s="14">
        <v>3</v>
      </c>
      <c r="E5" s="14">
        <v>9</v>
      </c>
      <c r="F5" s="14">
        <v>14</v>
      </c>
      <c r="G5" s="168">
        <v>10</v>
      </c>
      <c r="H5" s="168">
        <v>0</v>
      </c>
      <c r="I5" s="87" t="s">
        <v>954</v>
      </c>
      <c r="J5" s="168">
        <v>11</v>
      </c>
      <c r="K5" s="168">
        <v>0</v>
      </c>
      <c r="L5" s="87" t="s">
        <v>954</v>
      </c>
      <c r="M5" s="168">
        <v>11</v>
      </c>
      <c r="N5" s="168">
        <v>0</v>
      </c>
      <c r="O5" s="87" t="s">
        <v>956</v>
      </c>
      <c r="P5" s="168">
        <v>12</v>
      </c>
      <c r="Q5" s="168">
        <v>0</v>
      </c>
      <c r="R5" s="87" t="s">
        <v>956</v>
      </c>
      <c r="S5" s="168">
        <v>12</v>
      </c>
      <c r="T5" s="168">
        <v>0</v>
      </c>
      <c r="U5" s="87" t="s">
        <v>957</v>
      </c>
      <c r="V5" s="168">
        <v>13</v>
      </c>
      <c r="W5" s="168">
        <v>0</v>
      </c>
      <c r="X5" s="87" t="s">
        <v>957</v>
      </c>
      <c r="Y5" s="168">
        <v>13</v>
      </c>
      <c r="Z5" s="168">
        <v>0</v>
      </c>
      <c r="AA5" s="87" t="s">
        <v>958</v>
      </c>
      <c r="AB5" s="168">
        <v>14</v>
      </c>
      <c r="AC5" s="168">
        <v>0</v>
      </c>
      <c r="AD5" s="87" t="s">
        <v>958</v>
      </c>
      <c r="AE5" s="168">
        <v>14</v>
      </c>
      <c r="AF5" s="168">
        <v>0</v>
      </c>
      <c r="AG5" s="87" t="s">
        <v>959</v>
      </c>
      <c r="AH5" s="87" t="s">
        <v>2997</v>
      </c>
      <c r="AI5" s="87" t="s">
        <v>2997</v>
      </c>
      <c r="AJ5" s="87" t="s">
        <v>2997</v>
      </c>
      <c r="AK5" s="87" t="s">
        <v>2997</v>
      </c>
      <c r="AL5" s="87" t="s">
        <v>2997</v>
      </c>
      <c r="AM5" s="87" t="s">
        <v>2997</v>
      </c>
      <c r="AN5" s="87" t="s">
        <v>2997</v>
      </c>
      <c r="AO5" s="87" t="s">
        <v>2997</v>
      </c>
      <c r="AP5" s="87" t="s">
        <v>2997</v>
      </c>
      <c r="AQ5" s="87" t="s">
        <v>2997</v>
      </c>
      <c r="AR5" s="87" t="s">
        <v>2997</v>
      </c>
      <c r="AS5" s="87" t="s">
        <v>2997</v>
      </c>
      <c r="AT5" s="87" t="s">
        <v>2997</v>
      </c>
      <c r="AU5" s="87" t="s">
        <v>2997</v>
      </c>
      <c r="AV5" s="87" t="s">
        <v>2997</v>
      </c>
      <c r="AW5" s="87" t="s">
        <v>2997</v>
      </c>
      <c r="AX5" s="87" t="s">
        <v>2997</v>
      </c>
      <c r="AY5" s="87" t="s">
        <v>2997</v>
      </c>
      <c r="AZ5" s="21" t="e">
        <f>CHOOSE(CharGenMain!$C$206,G5,J5,M5,P5,S5,V5,Y5,AB5,AE5,AH5,AK5,AN5,AQ5,AT5,AW5)</f>
        <v>#VALUE!</v>
      </c>
      <c r="BA5" s="21" t="e">
        <f>CHOOSE(CharGenMain!$C$206,H5,K5,N5,Q5,T5,W5,Z5,AC5,AF5,AI5,AL5,AO5,AR5,AU5,AX5)</f>
        <v>#VALUE!</v>
      </c>
      <c r="BB5" s="21" t="e">
        <f>CHOOSE(CharGenMain!$C$206,I5,L5,O5,R5,U5,X5,AA5,AD5,AG5,AJ5,AM5,AP5,AS5,AV5,AY5)</f>
        <v>#VALUE!</v>
      </c>
      <c r="BC5" s="21" t="e">
        <f>CHOOSE(CharGenMain!$C$207,G5,J5,M5,P5,S5,V5,Y5,AB5,AE5,AH5,AK5,AN5,AQ5,AT5,AW5)</f>
        <v>#VALUE!</v>
      </c>
      <c r="BD5" s="21" t="e">
        <f>CHOOSE(CharGenMain!$C$207,H5,K5,N5,Q5,T5,W5,Z5,AC5,AF5,AI5,AL5,AO5,AR5,AU5,AX5)</f>
        <v>#VALUE!</v>
      </c>
      <c r="BE5" s="28" t="e">
        <f>CHOOSE(CharGenMain!$C$207,I5,L5,O5,R5,U5,X5,AA5,AD5,AG5,AJ5,AM5,AP5,AS5,AV5,AY5)</f>
        <v>#VALUE!</v>
      </c>
      <c r="BG5" s="20" t="s">
        <v>1081</v>
      </c>
      <c r="BH5" s="14" t="s">
        <v>1079</v>
      </c>
      <c r="BI5" s="14" t="s">
        <v>2279</v>
      </c>
      <c r="BJ5" s="14">
        <v>2</v>
      </c>
      <c r="BK5" s="14">
        <v>3</v>
      </c>
      <c r="BL5" s="14">
        <v>11</v>
      </c>
      <c r="BM5" s="21">
        <v>8</v>
      </c>
      <c r="BN5" s="21">
        <v>0</v>
      </c>
      <c r="BO5" s="101" t="s">
        <v>1080</v>
      </c>
      <c r="BP5" s="101">
        <v>8</v>
      </c>
      <c r="BQ5" s="101">
        <v>0</v>
      </c>
      <c r="BR5" s="101" t="s">
        <v>1198</v>
      </c>
      <c r="BS5" s="101">
        <v>9</v>
      </c>
      <c r="BT5" s="101">
        <v>0</v>
      </c>
      <c r="BU5" s="101" t="s">
        <v>1199</v>
      </c>
      <c r="BV5" s="87" t="s">
        <v>2997</v>
      </c>
      <c r="BW5" s="87" t="s">
        <v>2997</v>
      </c>
      <c r="BX5" s="87" t="s">
        <v>2997</v>
      </c>
      <c r="BY5" s="87" t="s">
        <v>2997</v>
      </c>
      <c r="BZ5" s="87" t="s">
        <v>2997</v>
      </c>
      <c r="CA5" s="87" t="s">
        <v>2997</v>
      </c>
      <c r="CB5" s="87" t="s">
        <v>2997</v>
      </c>
      <c r="CC5" s="87" t="s">
        <v>2997</v>
      </c>
      <c r="CD5" s="87" t="s">
        <v>2997</v>
      </c>
      <c r="CE5" s="87" t="s">
        <v>2997</v>
      </c>
      <c r="CF5" s="87" t="s">
        <v>2997</v>
      </c>
      <c r="CG5" s="87" t="s">
        <v>2997</v>
      </c>
      <c r="CH5" s="87" t="s">
        <v>2997</v>
      </c>
      <c r="CI5" s="87" t="s">
        <v>2997</v>
      </c>
      <c r="CJ5" s="87" t="s">
        <v>2997</v>
      </c>
      <c r="CK5" s="87" t="s">
        <v>2997</v>
      </c>
      <c r="CL5" s="87" t="s">
        <v>2997</v>
      </c>
      <c r="CM5" s="87" t="s">
        <v>2997</v>
      </c>
      <c r="CN5" s="87" t="s">
        <v>2997</v>
      </c>
      <c r="CO5" s="87" t="s">
        <v>2997</v>
      </c>
      <c r="CP5" s="87" t="s">
        <v>2997</v>
      </c>
      <c r="CQ5" s="87" t="s">
        <v>2997</v>
      </c>
      <c r="CR5" s="87" t="s">
        <v>2997</v>
      </c>
      <c r="CS5" s="87" t="s">
        <v>2997</v>
      </c>
      <c r="CT5" s="87" t="s">
        <v>2997</v>
      </c>
      <c r="CU5" s="87" t="s">
        <v>2997</v>
      </c>
      <c r="CV5" s="87" t="s">
        <v>2997</v>
      </c>
      <c r="CW5" s="87" t="s">
        <v>2997</v>
      </c>
      <c r="CX5" s="87" t="s">
        <v>2997</v>
      </c>
      <c r="CY5" s="87" t="s">
        <v>2997</v>
      </c>
      <c r="CZ5" s="87" t="s">
        <v>2997</v>
      </c>
      <c r="DA5" s="87" t="s">
        <v>2997</v>
      </c>
      <c r="DB5" s="87" t="s">
        <v>2997</v>
      </c>
      <c r="DC5" s="87" t="s">
        <v>2997</v>
      </c>
      <c r="DD5" s="87" t="s">
        <v>2997</v>
      </c>
      <c r="DE5" s="87" t="s">
        <v>2997</v>
      </c>
      <c r="DF5" s="21" t="e">
        <f>CHOOSE(CharGenMain!$C$209,BM5,BP5,BS5,BV5,BY5,CB5,CE5,CH5,CK5,CN5,CQ5,CT5,CW5,CZ5,DC5)</f>
        <v>#VALUE!</v>
      </c>
      <c r="DG5" s="21" t="e">
        <f>CHOOSE(CharGenMain!$C$209,BN5,BQ5,BT5,BW5,BZ5,CC5,CF5,CI5,CL5,CO5,CR5,CU5,CX5,DA5,DD5)</f>
        <v>#VALUE!</v>
      </c>
      <c r="DH5" s="21" t="e">
        <f>CHOOSE(CharGenMain!$C$209,BO5,BR5,BU5,BX5,CA5,CD5,CG5,CJ5,CM5,CP5,CS5,CV5,CY5,DB5,DE5)</f>
        <v>#VALUE!</v>
      </c>
      <c r="DI5" s="21" t="e">
        <f>CHOOSE(CharGenMain!$C$210,BM5,BP5,BS5,BV5,BY5,CB5,CE5,CH5,CK5,CN5,CQ5,CT5,CW5,CZ5,DC5)</f>
        <v>#VALUE!</v>
      </c>
      <c r="DJ5" s="21" t="e">
        <f>CHOOSE(CharGenMain!$C$210,BN5,BQ5,BT5,BW5,BZ5,CC5,CF5,CI5,CL5,CO5,CR5,CU5,CX5,DA5,DD5)</f>
        <v>#VALUE!</v>
      </c>
      <c r="DK5" s="28" t="e">
        <f>CHOOSE(CharGenMain!$C$210,BO5,BR5,BU5,BX5,CA5,CD5,CG5,CJ5,CM5,CP5,CS5,CV5,CY5,DB5,DE5)</f>
        <v>#VALUE!</v>
      </c>
    </row>
    <row r="6" spans="1:115">
      <c r="A6" s="20" t="s">
        <v>1200</v>
      </c>
      <c r="B6" s="167" t="s">
        <v>1201</v>
      </c>
      <c r="C6" s="14" t="s">
        <v>2279</v>
      </c>
      <c r="D6" s="14">
        <v>3</v>
      </c>
      <c r="E6" s="14">
        <v>9</v>
      </c>
      <c r="F6" s="14">
        <v>14</v>
      </c>
      <c r="G6" s="168">
        <v>10</v>
      </c>
      <c r="H6" s="168">
        <v>0</v>
      </c>
      <c r="I6" s="87" t="s">
        <v>1202</v>
      </c>
      <c r="J6" s="168">
        <v>11</v>
      </c>
      <c r="K6" s="168">
        <v>0</v>
      </c>
      <c r="L6" s="87" t="s">
        <v>1202</v>
      </c>
      <c r="M6" s="168">
        <v>11</v>
      </c>
      <c r="N6" s="168">
        <v>0</v>
      </c>
      <c r="O6" s="87" t="s">
        <v>1083</v>
      </c>
      <c r="P6" s="168">
        <v>12</v>
      </c>
      <c r="Q6" s="168">
        <v>0</v>
      </c>
      <c r="R6" s="87" t="s">
        <v>1083</v>
      </c>
      <c r="S6" s="168">
        <v>12</v>
      </c>
      <c r="T6" s="168">
        <v>0</v>
      </c>
      <c r="U6" s="87" t="s">
        <v>1084</v>
      </c>
      <c r="V6" s="168">
        <v>12</v>
      </c>
      <c r="W6" s="168">
        <v>0</v>
      </c>
      <c r="X6" s="87" t="s">
        <v>1218</v>
      </c>
      <c r="Y6" s="168">
        <v>13</v>
      </c>
      <c r="Z6" s="168">
        <v>0</v>
      </c>
      <c r="AA6" s="87" t="s">
        <v>1218</v>
      </c>
      <c r="AB6" s="168">
        <v>13</v>
      </c>
      <c r="AC6" s="168">
        <v>0</v>
      </c>
      <c r="AD6" s="87" t="s">
        <v>1097</v>
      </c>
      <c r="AE6" s="168">
        <v>13</v>
      </c>
      <c r="AF6" s="168">
        <v>0</v>
      </c>
      <c r="AG6" s="87" t="s">
        <v>1098</v>
      </c>
      <c r="AH6" s="87" t="s">
        <v>2997</v>
      </c>
      <c r="AI6" s="87" t="s">
        <v>2997</v>
      </c>
      <c r="AJ6" s="87" t="s">
        <v>2997</v>
      </c>
      <c r="AK6" s="87" t="s">
        <v>2997</v>
      </c>
      <c r="AL6" s="87" t="s">
        <v>2997</v>
      </c>
      <c r="AM6" s="87" t="s">
        <v>2997</v>
      </c>
      <c r="AN6" s="87" t="s">
        <v>2997</v>
      </c>
      <c r="AO6" s="87" t="s">
        <v>2997</v>
      </c>
      <c r="AP6" s="87" t="s">
        <v>2997</v>
      </c>
      <c r="AQ6" s="87" t="s">
        <v>2997</v>
      </c>
      <c r="AR6" s="87" t="s">
        <v>2997</v>
      </c>
      <c r="AS6" s="87" t="s">
        <v>2997</v>
      </c>
      <c r="AT6" s="87" t="s">
        <v>2997</v>
      </c>
      <c r="AU6" s="87" t="s">
        <v>2997</v>
      </c>
      <c r="AV6" s="87" t="s">
        <v>2997</v>
      </c>
      <c r="AW6" s="87" t="s">
        <v>2997</v>
      </c>
      <c r="AX6" s="87" t="s">
        <v>2997</v>
      </c>
      <c r="AY6" s="87" t="s">
        <v>2997</v>
      </c>
      <c r="AZ6" s="21" t="e">
        <f>CHOOSE(CharGenMain!$C$206,G6,J6,M6,P6,S6,V6,Y6,AB6,AE6,AH6,AK6,AN6,AQ6,AT6,AW6)</f>
        <v>#VALUE!</v>
      </c>
      <c r="BA6" s="21" t="e">
        <f>CHOOSE(CharGenMain!$C$206,H6,K6,N6,Q6,T6,W6,Z6,AC6,AF6,AI6,AL6,AO6,AR6,AU6,AX6)</f>
        <v>#VALUE!</v>
      </c>
      <c r="BB6" s="21" t="e">
        <f>CHOOSE(CharGenMain!$C$206,I6,L6,O6,R6,U6,X6,AA6,AD6,AG6,AJ6,AM6,AP6,AS6,AV6,AY6)</f>
        <v>#VALUE!</v>
      </c>
      <c r="BC6" s="21" t="e">
        <f>CHOOSE(CharGenMain!$C$207,G6,J6,M6,P6,S6,V6,Y6,AB6,AE6,AH6,AK6,AN6,AQ6,AT6,AW6)</f>
        <v>#VALUE!</v>
      </c>
      <c r="BD6" s="21" t="e">
        <f>CHOOSE(CharGenMain!$C$207,H6,K6,N6,Q6,T6,W6,Z6,AC6,AF6,AI6,AL6,AO6,AR6,AU6,AX6)</f>
        <v>#VALUE!</v>
      </c>
      <c r="BE6" s="28" t="e">
        <f>CHOOSE(CharGenMain!$C$207,I6,L6,O6,R6,U6,X6,AA6,AD6,AG6,AJ6,AM6,AP6,AS6,AV6,AY6)</f>
        <v>#VALUE!</v>
      </c>
      <c r="BG6" s="226" t="s">
        <v>1099</v>
      </c>
      <c r="BH6" s="14" t="s">
        <v>1100</v>
      </c>
      <c r="BI6" s="14" t="s">
        <v>2667</v>
      </c>
      <c r="BJ6" s="14">
        <v>2</v>
      </c>
      <c r="BK6" s="14">
        <v>5</v>
      </c>
      <c r="BL6" s="14">
        <v>12</v>
      </c>
      <c r="BM6" s="21">
        <v>5</v>
      </c>
      <c r="BN6" s="21">
        <v>0</v>
      </c>
      <c r="BO6" s="211" t="s">
        <v>1101</v>
      </c>
      <c r="BP6" s="101">
        <v>6</v>
      </c>
      <c r="BQ6" s="101">
        <v>0</v>
      </c>
      <c r="BR6" s="211" t="s">
        <v>1102</v>
      </c>
      <c r="BS6" s="101">
        <v>7</v>
      </c>
      <c r="BT6" s="101">
        <v>0</v>
      </c>
      <c r="BU6" s="211" t="s">
        <v>1103</v>
      </c>
      <c r="BV6" s="87">
        <v>8</v>
      </c>
      <c r="BW6" s="87">
        <v>0</v>
      </c>
      <c r="BX6" s="211" t="s">
        <v>1104</v>
      </c>
      <c r="BY6" s="87">
        <v>8</v>
      </c>
      <c r="BZ6" s="87">
        <v>0</v>
      </c>
      <c r="CA6" s="211" t="s">
        <v>979</v>
      </c>
      <c r="CB6" s="87" t="s">
        <v>2997</v>
      </c>
      <c r="CC6" s="87" t="s">
        <v>2997</v>
      </c>
      <c r="CD6" s="87" t="s">
        <v>2997</v>
      </c>
      <c r="CE6" s="87" t="s">
        <v>2997</v>
      </c>
      <c r="CF6" s="87" t="s">
        <v>2997</v>
      </c>
      <c r="CG6" s="87" t="s">
        <v>2997</v>
      </c>
      <c r="CH6" s="87" t="s">
        <v>2997</v>
      </c>
      <c r="CI6" s="87" t="s">
        <v>2997</v>
      </c>
      <c r="CJ6" s="87" t="s">
        <v>2997</v>
      </c>
      <c r="CK6" s="87" t="s">
        <v>2997</v>
      </c>
      <c r="CL6" s="87" t="s">
        <v>2997</v>
      </c>
      <c r="CM6" s="87" t="s">
        <v>2997</v>
      </c>
      <c r="CN6" s="87" t="s">
        <v>2997</v>
      </c>
      <c r="CO6" s="87" t="s">
        <v>2997</v>
      </c>
      <c r="CP6" s="87" t="s">
        <v>2997</v>
      </c>
      <c r="CQ6" s="87" t="s">
        <v>2997</v>
      </c>
      <c r="CR6" s="87" t="s">
        <v>2997</v>
      </c>
      <c r="CS6" s="87" t="s">
        <v>2997</v>
      </c>
      <c r="CT6" s="87" t="s">
        <v>2997</v>
      </c>
      <c r="CU6" s="87" t="s">
        <v>2997</v>
      </c>
      <c r="CV6" s="87" t="s">
        <v>2997</v>
      </c>
      <c r="CW6" s="87" t="s">
        <v>2997</v>
      </c>
      <c r="CX6" s="87" t="s">
        <v>2997</v>
      </c>
      <c r="CY6" s="87" t="s">
        <v>2997</v>
      </c>
      <c r="CZ6" s="87" t="s">
        <v>2997</v>
      </c>
      <c r="DA6" s="87" t="s">
        <v>2997</v>
      </c>
      <c r="DB6" s="87" t="s">
        <v>2997</v>
      </c>
      <c r="DC6" s="87" t="s">
        <v>2997</v>
      </c>
      <c r="DD6" s="87" t="s">
        <v>2997</v>
      </c>
      <c r="DE6" s="87" t="s">
        <v>2997</v>
      </c>
      <c r="DF6" s="21" t="e">
        <f>CHOOSE(CharGenMain!$C$209,BM6,BP6,BS6,BV6,BY6,CB6,CE6,CH6,CK6,CN6,CQ6,CT6,CW6,CZ6,DC6)</f>
        <v>#VALUE!</v>
      </c>
      <c r="DG6" s="21" t="e">
        <f>CHOOSE(CharGenMain!$C$209,BN6,BQ6,BT6,BW6,BZ6,CC6,CF6,CI6,CL6,CO6,CR6,CU6,CX6,DA6,DD6)</f>
        <v>#VALUE!</v>
      </c>
      <c r="DH6" s="21" t="e">
        <f>CHOOSE(CharGenMain!$C$209,BO6,BR6,BU6,BX6,CA6,CD6,CG6,CJ6,CM6,CP6,CS6,CV6,CY6,DB6,DE6)</f>
        <v>#VALUE!</v>
      </c>
      <c r="DI6" s="21" t="e">
        <f>CHOOSE(CharGenMain!$C$210,BM6,BP6,BS6,BV6,BY6,CB6,CE6,CH6,CK6,CN6,CQ6,CT6,CW6,CZ6,DC6)</f>
        <v>#VALUE!</v>
      </c>
      <c r="DJ6" s="21" t="e">
        <f>CHOOSE(CharGenMain!$C$210,BN6,BQ6,BT6,BW6,BZ6,CC6,CF6,CI6,CL6,CO6,CR6,CU6,CX6,DA6,DD6)</f>
        <v>#VALUE!</v>
      </c>
      <c r="DK6" s="28" t="e">
        <f>CHOOSE(CharGenMain!$C$210,BO6,BR6,BU6,BX6,CA6,CD6,CG6,CJ6,CM6,CP6,CS6,CV6,CY6,DB6,DE6)</f>
        <v>#VALUE!</v>
      </c>
    </row>
    <row r="7" spans="1:115">
      <c r="A7" s="205" t="s">
        <v>980</v>
      </c>
      <c r="B7" s="167" t="s">
        <v>2205</v>
      </c>
      <c r="C7" s="14" t="s">
        <v>2279</v>
      </c>
      <c r="D7" s="14">
        <v>3</v>
      </c>
      <c r="E7" s="14">
        <v>15</v>
      </c>
      <c r="F7" s="14">
        <v>26</v>
      </c>
      <c r="G7" s="168">
        <v>9</v>
      </c>
      <c r="H7" s="168">
        <v>0</v>
      </c>
      <c r="I7" s="87" t="s">
        <v>283</v>
      </c>
      <c r="J7" s="87">
        <v>9</v>
      </c>
      <c r="K7" s="87">
        <v>0</v>
      </c>
      <c r="L7" s="87" t="s">
        <v>284</v>
      </c>
      <c r="M7" s="87">
        <v>9</v>
      </c>
      <c r="N7" s="87">
        <v>0</v>
      </c>
      <c r="O7" s="87" t="s">
        <v>285</v>
      </c>
      <c r="P7" s="87">
        <v>9</v>
      </c>
      <c r="Q7" s="87">
        <v>0</v>
      </c>
      <c r="R7" s="87" t="s">
        <v>347</v>
      </c>
      <c r="S7" s="87">
        <v>9</v>
      </c>
      <c r="T7" s="87">
        <v>0</v>
      </c>
      <c r="U7" s="87" t="s">
        <v>348</v>
      </c>
      <c r="V7" s="87">
        <v>10</v>
      </c>
      <c r="W7" s="87">
        <v>0</v>
      </c>
      <c r="X7" s="87" t="s">
        <v>469</v>
      </c>
      <c r="Y7" s="87">
        <v>10</v>
      </c>
      <c r="Z7" s="87">
        <v>0</v>
      </c>
      <c r="AA7" s="87" t="s">
        <v>350</v>
      </c>
      <c r="AB7" s="87">
        <v>10</v>
      </c>
      <c r="AC7" s="87">
        <v>0</v>
      </c>
      <c r="AD7" s="87" t="s">
        <v>293</v>
      </c>
      <c r="AE7" s="87">
        <v>11</v>
      </c>
      <c r="AF7" s="87">
        <v>0</v>
      </c>
      <c r="AG7" s="87" t="s">
        <v>294</v>
      </c>
      <c r="AH7" s="87">
        <v>11</v>
      </c>
      <c r="AI7" s="87">
        <v>0</v>
      </c>
      <c r="AJ7" s="87" t="s">
        <v>374</v>
      </c>
      <c r="AK7" s="87">
        <v>11</v>
      </c>
      <c r="AL7" s="87">
        <v>0</v>
      </c>
      <c r="AM7" s="231" t="s">
        <v>298</v>
      </c>
      <c r="AN7" s="231">
        <v>11</v>
      </c>
      <c r="AO7" s="87">
        <v>0</v>
      </c>
      <c r="AP7" s="231" t="s">
        <v>255</v>
      </c>
      <c r="AQ7" s="87">
        <v>11</v>
      </c>
      <c r="AR7" s="87">
        <v>0</v>
      </c>
      <c r="AS7" s="231" t="s">
        <v>302</v>
      </c>
      <c r="AT7" s="87">
        <v>11</v>
      </c>
      <c r="AU7" s="87">
        <v>0</v>
      </c>
      <c r="AV7" s="231" t="s">
        <v>406</v>
      </c>
      <c r="AW7" s="87">
        <v>11</v>
      </c>
      <c r="AX7" s="87">
        <v>0</v>
      </c>
      <c r="AY7" s="231" t="s">
        <v>304</v>
      </c>
      <c r="AZ7" s="21" t="e">
        <f>CHOOSE(CharGenMain!$C$206,G7,J7,M7,P7,S7,V7,Y7,AB7,AE7,AH7,AK7,AN7,AQ7,AT7,AW7)</f>
        <v>#VALUE!</v>
      </c>
      <c r="BA7" s="21" t="e">
        <f>CHOOSE(CharGenMain!$C$206,H7,K7,N7,Q7,T7,W7,Z7,AC7,AF7,AI7,AL7,AO7,AR7,AU7,AX7)</f>
        <v>#VALUE!</v>
      </c>
      <c r="BB7" s="21" t="e">
        <f>CHOOSE(CharGenMain!$C$206,I7,L7,O7,R7,U7,X7,AA7,AD7,AG7,AJ7,AM7,AP7,AS7,AV7,AY7)</f>
        <v>#VALUE!</v>
      </c>
      <c r="BC7" s="21" t="e">
        <f>CHOOSE(CharGenMain!$C$207,G7,J7,M7,P7,S7,V7,Y7,AB7,AE7,AH7,AK7,AN7,AQ7,AT7,AW7)</f>
        <v>#VALUE!</v>
      </c>
      <c r="BD7" s="21" t="e">
        <f>CHOOSE(CharGenMain!$C$207,H7,K7,N7,Q7,T7,W7,Z7,AC7,AF7,AI7,AL7,AO7,AR7,AU7,AX7)</f>
        <v>#VALUE!</v>
      </c>
      <c r="BE7" s="28" t="e">
        <f>CHOOSE(CharGenMain!$C$207,I7,L7,O7,R7,U7,X7,AA7,AD7,AG7,AJ7,AM7,AP7,AS7,AV7,AY7)</f>
        <v>#VALUE!</v>
      </c>
      <c r="BG7" s="226" t="s">
        <v>5536</v>
      </c>
      <c r="BH7" s="14" t="s">
        <v>1602</v>
      </c>
      <c r="BI7" s="14" t="s">
        <v>2667</v>
      </c>
      <c r="BJ7" s="14">
        <v>2</v>
      </c>
      <c r="BK7" s="14">
        <v>4</v>
      </c>
      <c r="BL7" s="14">
        <v>12</v>
      </c>
      <c r="BM7" s="21">
        <v>9</v>
      </c>
      <c r="BN7" s="21">
        <v>0</v>
      </c>
      <c r="BO7" s="21" t="s">
        <v>1215</v>
      </c>
      <c r="BP7" s="21">
        <v>10</v>
      </c>
      <c r="BQ7" s="21">
        <v>0</v>
      </c>
      <c r="BR7" s="21" t="s">
        <v>1107</v>
      </c>
      <c r="BS7" s="21">
        <v>11</v>
      </c>
      <c r="BT7" s="21">
        <v>0</v>
      </c>
      <c r="BU7" s="21" t="s">
        <v>1107</v>
      </c>
      <c r="BV7" s="21">
        <v>12</v>
      </c>
      <c r="BW7" s="21">
        <v>0</v>
      </c>
      <c r="BX7" s="21" t="s">
        <v>1108</v>
      </c>
      <c r="BY7" s="87" t="s">
        <v>2997</v>
      </c>
      <c r="BZ7" s="87" t="s">
        <v>2997</v>
      </c>
      <c r="CA7" s="87" t="s">
        <v>2997</v>
      </c>
      <c r="CB7" s="87" t="s">
        <v>2997</v>
      </c>
      <c r="CC7" s="87" t="s">
        <v>2997</v>
      </c>
      <c r="CD7" s="87" t="s">
        <v>2997</v>
      </c>
      <c r="CE7" s="87" t="s">
        <v>2997</v>
      </c>
      <c r="CF7" s="87" t="s">
        <v>2997</v>
      </c>
      <c r="CG7" s="87" t="s">
        <v>2997</v>
      </c>
      <c r="CH7" s="87" t="s">
        <v>2997</v>
      </c>
      <c r="CI7" s="87" t="s">
        <v>2997</v>
      </c>
      <c r="CJ7" s="87" t="s">
        <v>2997</v>
      </c>
      <c r="CK7" s="87" t="s">
        <v>2997</v>
      </c>
      <c r="CL7" s="87" t="s">
        <v>2997</v>
      </c>
      <c r="CM7" s="87" t="s">
        <v>2997</v>
      </c>
      <c r="CN7" s="87" t="s">
        <v>2997</v>
      </c>
      <c r="CO7" s="87" t="s">
        <v>2997</v>
      </c>
      <c r="CP7" s="87" t="s">
        <v>2997</v>
      </c>
      <c r="CQ7" s="87" t="s">
        <v>2997</v>
      </c>
      <c r="CR7" s="87" t="s">
        <v>2997</v>
      </c>
      <c r="CS7" s="87" t="s">
        <v>2997</v>
      </c>
      <c r="CT7" s="87" t="s">
        <v>2997</v>
      </c>
      <c r="CU7" s="87" t="s">
        <v>2997</v>
      </c>
      <c r="CV7" s="87" t="s">
        <v>2997</v>
      </c>
      <c r="CW7" s="87" t="s">
        <v>2997</v>
      </c>
      <c r="CX7" s="87" t="s">
        <v>2997</v>
      </c>
      <c r="CY7" s="87" t="s">
        <v>2997</v>
      </c>
      <c r="CZ7" s="87" t="s">
        <v>2997</v>
      </c>
      <c r="DA7" s="87" t="s">
        <v>2997</v>
      </c>
      <c r="DB7" s="87" t="s">
        <v>2997</v>
      </c>
      <c r="DC7" s="87" t="s">
        <v>2997</v>
      </c>
      <c r="DD7" s="87" t="s">
        <v>2997</v>
      </c>
      <c r="DE7" s="87" t="s">
        <v>2997</v>
      </c>
      <c r="DF7" s="21" t="e">
        <f>CHOOSE(CharGenMain!$C$209,BM7,BP7,BS7,BV7,BY7,CB7,CE7,CH7,CK7,CN7,CQ7,CT7,CW7,CZ7,DC7)</f>
        <v>#VALUE!</v>
      </c>
      <c r="DG7" s="21" t="e">
        <f>CHOOSE(CharGenMain!$C$209,BN7,BQ7,BT7,BW7,BZ7,CC7,CF7,CI7,CL7,CO7,CR7,CU7,CX7,DA7,DD7)</f>
        <v>#VALUE!</v>
      </c>
      <c r="DH7" s="21" t="e">
        <f>CHOOSE(CharGenMain!$C$209,BO7,BR7,BU7,BX7,CA7,CD7,CG7,CJ7,CM7,CP7,CS7,CV7,CY7,DB7,DE7)</f>
        <v>#VALUE!</v>
      </c>
      <c r="DI7" s="21" t="e">
        <f>CHOOSE(CharGenMain!$C$210,BM7,BP7,BS7,BV7,BY7,CB7,CE7,CH7,CK7,CN7,CQ7,CT7,CW7,CZ7,DC7)</f>
        <v>#VALUE!</v>
      </c>
      <c r="DJ7" s="21" t="e">
        <f>CHOOSE(CharGenMain!$C$210,BN7,BQ7,BT7,BW7,BZ7,CC7,CF7,CI7,CL7,CO7,CR7,CU7,CX7,DA7,DD7)</f>
        <v>#VALUE!</v>
      </c>
      <c r="DK7" s="28" t="e">
        <f>CHOOSE(CharGenMain!$C$210,BO7,BR7,BU7,BX7,CA7,CD7,CG7,CJ7,CM7,CP7,CS7,CV7,CY7,DB7,DE7)</f>
        <v>#VALUE!</v>
      </c>
    </row>
    <row r="8" spans="1:115">
      <c r="A8" s="205" t="s">
        <v>1109</v>
      </c>
      <c r="B8" s="167" t="s">
        <v>1110</v>
      </c>
      <c r="C8" s="14" t="s">
        <v>2279</v>
      </c>
      <c r="D8" s="14">
        <v>4</v>
      </c>
      <c r="E8" s="14">
        <v>6</v>
      </c>
      <c r="F8" s="14">
        <v>22</v>
      </c>
      <c r="G8" s="168">
        <v>6</v>
      </c>
      <c r="H8" s="168">
        <v>0</v>
      </c>
      <c r="I8" s="168" t="s">
        <v>1215</v>
      </c>
      <c r="J8" s="168">
        <v>7</v>
      </c>
      <c r="K8" s="168">
        <v>0</v>
      </c>
      <c r="L8" s="168" t="s">
        <v>1215</v>
      </c>
      <c r="M8" s="168">
        <v>7</v>
      </c>
      <c r="N8" s="168">
        <v>0</v>
      </c>
      <c r="O8" s="168" t="s">
        <v>1111</v>
      </c>
      <c r="P8" s="168">
        <v>8</v>
      </c>
      <c r="Q8" s="231">
        <v>0</v>
      </c>
      <c r="R8" s="231" t="s">
        <v>1111</v>
      </c>
      <c r="S8" s="168">
        <v>8</v>
      </c>
      <c r="T8" s="231">
        <v>0</v>
      </c>
      <c r="U8" s="231" t="s">
        <v>1112</v>
      </c>
      <c r="V8" s="168">
        <v>8</v>
      </c>
      <c r="W8" s="231">
        <v>0</v>
      </c>
      <c r="X8" s="231" t="s">
        <v>1113</v>
      </c>
      <c r="Y8" s="87" t="s">
        <v>2997</v>
      </c>
      <c r="Z8" s="87" t="s">
        <v>2997</v>
      </c>
      <c r="AA8" s="87" t="s">
        <v>2997</v>
      </c>
      <c r="AB8" s="87" t="s">
        <v>2997</v>
      </c>
      <c r="AC8" s="87" t="s">
        <v>2997</v>
      </c>
      <c r="AD8" s="87" t="s">
        <v>2997</v>
      </c>
      <c r="AE8" s="87" t="s">
        <v>2997</v>
      </c>
      <c r="AF8" s="87" t="s">
        <v>2997</v>
      </c>
      <c r="AG8" s="87" t="s">
        <v>2997</v>
      </c>
      <c r="AH8" s="87" t="s">
        <v>2997</v>
      </c>
      <c r="AI8" s="87" t="s">
        <v>2997</v>
      </c>
      <c r="AJ8" s="87" t="s">
        <v>2997</v>
      </c>
      <c r="AK8" s="87" t="s">
        <v>2997</v>
      </c>
      <c r="AL8" s="87" t="s">
        <v>2997</v>
      </c>
      <c r="AM8" s="87" t="s">
        <v>2997</v>
      </c>
      <c r="AN8" s="87" t="s">
        <v>2997</v>
      </c>
      <c r="AO8" s="87" t="s">
        <v>2997</v>
      </c>
      <c r="AP8" s="87" t="s">
        <v>2997</v>
      </c>
      <c r="AQ8" s="87" t="s">
        <v>2997</v>
      </c>
      <c r="AR8" s="87" t="s">
        <v>2997</v>
      </c>
      <c r="AS8" s="87" t="s">
        <v>2997</v>
      </c>
      <c r="AT8" s="87" t="s">
        <v>2997</v>
      </c>
      <c r="AU8" s="87" t="s">
        <v>2997</v>
      </c>
      <c r="AV8" s="87" t="s">
        <v>2997</v>
      </c>
      <c r="AW8" s="87" t="s">
        <v>2997</v>
      </c>
      <c r="AX8" s="87" t="s">
        <v>2997</v>
      </c>
      <c r="AY8" s="87" t="s">
        <v>2997</v>
      </c>
      <c r="AZ8" s="21" t="e">
        <f>CHOOSE(CharGenMain!$C$206,G8,J8,M8,P8,S8,V8,Y8,AB8,AE8,AH8,AK8,AN8,AQ8,AT8,AW8)</f>
        <v>#VALUE!</v>
      </c>
      <c r="BA8" s="21" t="e">
        <f>CHOOSE(CharGenMain!$C$206,H8,K8,N8,Q8,T8,W8,Z8,AC8,AF8,AI8,AL8,AO8,AR8,AU8,AX8)</f>
        <v>#VALUE!</v>
      </c>
      <c r="BB8" s="21" t="e">
        <f>CHOOSE(CharGenMain!$C$206,I8,L8,O8,R8,U8,X8,AA8,AD8,AG8,AJ8,AM8,AP8,AS8,AV8,AY8)</f>
        <v>#VALUE!</v>
      </c>
      <c r="BC8" s="21" t="e">
        <f>CHOOSE(CharGenMain!$C$207,G8,J8,M8,P8,S8,V8,Y8,AB8,AE8,AH8,AK8,AN8,AQ8,AT8,AW8)</f>
        <v>#VALUE!</v>
      </c>
      <c r="BD8" s="21" t="e">
        <f>CHOOSE(CharGenMain!$C$207,H8,K8,N8,Q8,T8,W8,Z8,AC8,AF8,AI8,AL8,AO8,AR8,AU8,AX8)</f>
        <v>#VALUE!</v>
      </c>
      <c r="BE8" s="28" t="e">
        <f>CHOOSE(CharGenMain!$C$207,I8,L8,O8,R8,U8,X8,AA8,AD8,AG8,AJ8,AM8,AP8,AS8,AV8,AY8)</f>
        <v>#VALUE!</v>
      </c>
      <c r="BG8" s="226" t="s">
        <v>1114</v>
      </c>
      <c r="BH8" s="14" t="s">
        <v>1100</v>
      </c>
      <c r="BI8" s="14" t="s">
        <v>2667</v>
      </c>
      <c r="BJ8" s="14">
        <v>2</v>
      </c>
      <c r="BK8" s="14">
        <v>4</v>
      </c>
      <c r="BL8" s="14">
        <v>14</v>
      </c>
      <c r="BM8" s="21">
        <v>11</v>
      </c>
      <c r="BN8" s="21">
        <v>0</v>
      </c>
      <c r="BO8" s="21" t="s">
        <v>1215</v>
      </c>
      <c r="BP8" s="21">
        <v>11</v>
      </c>
      <c r="BQ8" s="105">
        <v>0</v>
      </c>
      <c r="BR8" s="105" t="s">
        <v>1101</v>
      </c>
      <c r="BS8" s="21">
        <v>11</v>
      </c>
      <c r="BT8" s="21">
        <v>0</v>
      </c>
      <c r="BU8" s="105" t="s">
        <v>1115</v>
      </c>
      <c r="BV8" s="21">
        <v>11</v>
      </c>
      <c r="BW8" s="21">
        <v>0</v>
      </c>
      <c r="BX8" s="105" t="s">
        <v>1116</v>
      </c>
      <c r="BY8" s="87" t="s">
        <v>2997</v>
      </c>
      <c r="BZ8" s="87" t="s">
        <v>2997</v>
      </c>
      <c r="CA8" s="87" t="s">
        <v>2997</v>
      </c>
      <c r="CB8" s="87" t="s">
        <v>2997</v>
      </c>
      <c r="CC8" s="87" t="s">
        <v>2997</v>
      </c>
      <c r="CD8" s="87" t="s">
        <v>2997</v>
      </c>
      <c r="CE8" s="87" t="s">
        <v>2997</v>
      </c>
      <c r="CF8" s="87" t="s">
        <v>2997</v>
      </c>
      <c r="CG8" s="87" t="s">
        <v>2997</v>
      </c>
      <c r="CH8" s="87" t="s">
        <v>2997</v>
      </c>
      <c r="CI8" s="87" t="s">
        <v>2997</v>
      </c>
      <c r="CJ8" s="87" t="s">
        <v>2997</v>
      </c>
      <c r="CK8" s="87" t="s">
        <v>2997</v>
      </c>
      <c r="CL8" s="87" t="s">
        <v>2997</v>
      </c>
      <c r="CM8" s="87" t="s">
        <v>2997</v>
      </c>
      <c r="CN8" s="87" t="s">
        <v>2997</v>
      </c>
      <c r="CO8" s="87" t="s">
        <v>2997</v>
      </c>
      <c r="CP8" s="87" t="s">
        <v>2997</v>
      </c>
      <c r="CQ8" s="87" t="s">
        <v>2997</v>
      </c>
      <c r="CR8" s="87" t="s">
        <v>2997</v>
      </c>
      <c r="CS8" s="87" t="s">
        <v>2997</v>
      </c>
      <c r="CT8" s="87" t="s">
        <v>2997</v>
      </c>
      <c r="CU8" s="87" t="s">
        <v>2997</v>
      </c>
      <c r="CV8" s="87" t="s">
        <v>2997</v>
      </c>
      <c r="CW8" s="87" t="s">
        <v>2997</v>
      </c>
      <c r="CX8" s="87" t="s">
        <v>2997</v>
      </c>
      <c r="CY8" s="87" t="s">
        <v>2997</v>
      </c>
      <c r="CZ8" s="87" t="s">
        <v>2997</v>
      </c>
      <c r="DA8" s="87" t="s">
        <v>2997</v>
      </c>
      <c r="DB8" s="87" t="s">
        <v>2997</v>
      </c>
      <c r="DC8" s="87" t="s">
        <v>2997</v>
      </c>
      <c r="DD8" s="87" t="s">
        <v>2997</v>
      </c>
      <c r="DE8" s="87" t="s">
        <v>2997</v>
      </c>
      <c r="DF8" s="21" t="e">
        <f>CHOOSE(CharGenMain!$C$209,BM8,BP8,BS8,BV8,BY8,CB8,CE8,CH8,CK8,CN8,CQ8,CT8,CW8,CZ8,DC8)</f>
        <v>#VALUE!</v>
      </c>
      <c r="DG8" s="21" t="e">
        <f>CHOOSE(CharGenMain!$C$209,BN8,BQ8,BT8,BW8,BZ8,CC8,CF8,CI8,CL8,CO8,CR8,CU8,CX8,DA8,DD8)</f>
        <v>#VALUE!</v>
      </c>
      <c r="DH8" s="21" t="e">
        <f>CHOOSE(CharGenMain!$C$209,BO8,BR8,BU8,BX8,CA8,CD8,CG8,CJ8,CM8,CP8,CS8,CV8,CY8,DB8,DE8)</f>
        <v>#VALUE!</v>
      </c>
      <c r="DI8" s="21" t="e">
        <f>CHOOSE(CharGenMain!$C$210,BM8,BP8,BS8,BV8,BY8,CB8,CE8,CH8,CK8,CN8,CQ8,CT8,CW8,CZ8,DC8)</f>
        <v>#VALUE!</v>
      </c>
      <c r="DJ8" s="21" t="e">
        <f>CHOOSE(CharGenMain!$C$210,BN8,BQ8,BT8,BW8,BZ8,CC8,CF8,CI8,CL8,CO8,CR8,CU8,CX8,DA8,DD8)</f>
        <v>#VALUE!</v>
      </c>
      <c r="DK8" s="28" t="e">
        <f>CHOOSE(CharGenMain!$C$210,BO8,BR8,BU8,BX8,CA8,CD8,CG8,CJ8,CM8,CP8,CS8,CV8,CY8,DB8,DE8)</f>
        <v>#VALUE!</v>
      </c>
    </row>
    <row r="9" spans="1:115">
      <c r="A9" s="226" t="s">
        <v>995</v>
      </c>
      <c r="B9" s="167" t="s">
        <v>996</v>
      </c>
      <c r="C9" s="14" t="s">
        <v>2667</v>
      </c>
      <c r="D9" s="14">
        <v>2</v>
      </c>
      <c r="E9" s="14">
        <v>4</v>
      </c>
      <c r="F9" s="14">
        <v>13</v>
      </c>
      <c r="G9" s="87">
        <v>13</v>
      </c>
      <c r="H9" s="87">
        <v>0</v>
      </c>
      <c r="I9" s="87" t="s">
        <v>1215</v>
      </c>
      <c r="J9" s="87">
        <v>14</v>
      </c>
      <c r="K9" s="87">
        <v>0</v>
      </c>
      <c r="L9" s="87" t="s">
        <v>1215</v>
      </c>
      <c r="M9" s="87">
        <v>15</v>
      </c>
      <c r="N9" s="87">
        <v>0</v>
      </c>
      <c r="O9" s="87" t="s">
        <v>1215</v>
      </c>
      <c r="P9" s="87">
        <v>16</v>
      </c>
      <c r="Q9" s="87">
        <v>0</v>
      </c>
      <c r="R9" s="87" t="s">
        <v>1215</v>
      </c>
      <c r="S9" s="87" t="s">
        <v>2997</v>
      </c>
      <c r="T9" s="87" t="s">
        <v>2997</v>
      </c>
      <c r="U9" s="87" t="s">
        <v>2997</v>
      </c>
      <c r="V9" s="87" t="s">
        <v>2997</v>
      </c>
      <c r="W9" s="87" t="s">
        <v>2997</v>
      </c>
      <c r="X9" s="87" t="s">
        <v>2997</v>
      </c>
      <c r="Y9" s="87" t="s">
        <v>2997</v>
      </c>
      <c r="Z9" s="87" t="s">
        <v>2997</v>
      </c>
      <c r="AA9" s="87" t="s">
        <v>2997</v>
      </c>
      <c r="AB9" s="87" t="s">
        <v>2997</v>
      </c>
      <c r="AC9" s="87" t="s">
        <v>2997</v>
      </c>
      <c r="AD9" s="87" t="s">
        <v>2997</v>
      </c>
      <c r="AE9" s="87" t="s">
        <v>2997</v>
      </c>
      <c r="AF9" s="87" t="s">
        <v>2997</v>
      </c>
      <c r="AG9" s="87" t="s">
        <v>2997</v>
      </c>
      <c r="AH9" s="87" t="s">
        <v>2997</v>
      </c>
      <c r="AI9" s="87" t="s">
        <v>2997</v>
      </c>
      <c r="AJ9" s="87" t="s">
        <v>2997</v>
      </c>
      <c r="AK9" s="87" t="s">
        <v>2997</v>
      </c>
      <c r="AL9" s="87" t="s">
        <v>2997</v>
      </c>
      <c r="AM9" s="87" t="s">
        <v>2997</v>
      </c>
      <c r="AN9" s="87" t="s">
        <v>2997</v>
      </c>
      <c r="AO9" s="87" t="s">
        <v>2997</v>
      </c>
      <c r="AP9" s="87" t="s">
        <v>2997</v>
      </c>
      <c r="AQ9" s="87" t="s">
        <v>2997</v>
      </c>
      <c r="AR9" s="87" t="s">
        <v>2997</v>
      </c>
      <c r="AS9" s="87" t="s">
        <v>2997</v>
      </c>
      <c r="AT9" s="87" t="s">
        <v>2997</v>
      </c>
      <c r="AU9" s="87" t="s">
        <v>2997</v>
      </c>
      <c r="AV9" s="87" t="s">
        <v>2997</v>
      </c>
      <c r="AW9" s="87" t="s">
        <v>2997</v>
      </c>
      <c r="AX9" s="87" t="s">
        <v>2997</v>
      </c>
      <c r="AY9" s="87" t="s">
        <v>2997</v>
      </c>
      <c r="AZ9" s="21" t="e">
        <f>CHOOSE(CharGenMain!$C$206,G9,J9,M9,P9,S9,V9,Y9,AB9,AE9,AH9,AK9,AN9,AQ9,AT9,AW9)</f>
        <v>#VALUE!</v>
      </c>
      <c r="BA9" s="21" t="e">
        <f>CHOOSE(CharGenMain!$C$206,H9,K9,N9,Q9,T9,W9,Z9,AC9,AF9,AI9,AL9,AO9,AR9,AU9,AX9)</f>
        <v>#VALUE!</v>
      </c>
      <c r="BB9" s="21" t="e">
        <f>CHOOSE(CharGenMain!$C$206,I9,L9,O9,R9,U9,X9,AA9,AD9,AG9,AJ9,AM9,AP9,AS9,AV9,AY9)</f>
        <v>#VALUE!</v>
      </c>
      <c r="BC9" s="21" t="e">
        <f>CHOOSE(CharGenMain!$C$207,G9,J9,M9,P9,S9,V9,Y9,AB9,AE9,AH9,AK9,AN9,AQ9,AT9,AW9)</f>
        <v>#VALUE!</v>
      </c>
      <c r="BD9" s="21" t="e">
        <f>CHOOSE(CharGenMain!$C$207,H9,K9,N9,Q9,T9,W9,Z9,AC9,AF9,AI9,AL9,AO9,AR9,AU9,AX9)</f>
        <v>#VALUE!</v>
      </c>
      <c r="BE9" s="28" t="e">
        <f>CHOOSE(CharGenMain!$C$207,I9,L9,O9,R9,U9,X9,AA9,AD9,AG9,AJ9,AM9,AP9,AS9,AV9,AY9)</f>
        <v>#VALUE!</v>
      </c>
      <c r="BG9" s="226" t="s">
        <v>997</v>
      </c>
      <c r="BH9" s="14" t="s">
        <v>998</v>
      </c>
      <c r="BI9" s="14" t="s">
        <v>2667</v>
      </c>
      <c r="BJ9" s="14">
        <v>2</v>
      </c>
      <c r="BK9" s="14">
        <v>3</v>
      </c>
      <c r="BL9" s="14">
        <v>13</v>
      </c>
      <c r="BM9" s="21">
        <v>5</v>
      </c>
      <c r="BN9" s="21">
        <v>0</v>
      </c>
      <c r="BO9" s="21" t="s">
        <v>1215</v>
      </c>
      <c r="BP9" s="21">
        <v>6</v>
      </c>
      <c r="BQ9" s="21">
        <v>0</v>
      </c>
      <c r="BR9" s="21" t="s">
        <v>1122</v>
      </c>
      <c r="BS9" s="21">
        <v>7</v>
      </c>
      <c r="BT9" s="21">
        <v>0</v>
      </c>
      <c r="BU9" s="21" t="s">
        <v>1123</v>
      </c>
      <c r="BV9" s="87" t="s">
        <v>2997</v>
      </c>
      <c r="BW9" s="87" t="s">
        <v>2997</v>
      </c>
      <c r="BX9" s="87" t="s">
        <v>2997</v>
      </c>
      <c r="BY9" s="87" t="s">
        <v>2997</v>
      </c>
      <c r="BZ9" s="87" t="s">
        <v>2997</v>
      </c>
      <c r="CA9" s="87" t="s">
        <v>2997</v>
      </c>
      <c r="CB9" s="87" t="s">
        <v>2997</v>
      </c>
      <c r="CC9" s="87" t="s">
        <v>2997</v>
      </c>
      <c r="CD9" s="87" t="s">
        <v>2997</v>
      </c>
      <c r="CE9" s="87" t="s">
        <v>2997</v>
      </c>
      <c r="CF9" s="87" t="s">
        <v>2997</v>
      </c>
      <c r="CG9" s="87" t="s">
        <v>2997</v>
      </c>
      <c r="CH9" s="87" t="s">
        <v>2997</v>
      </c>
      <c r="CI9" s="87" t="s">
        <v>2997</v>
      </c>
      <c r="CJ9" s="87" t="s">
        <v>2997</v>
      </c>
      <c r="CK9" s="87" t="s">
        <v>2997</v>
      </c>
      <c r="CL9" s="87" t="s">
        <v>2997</v>
      </c>
      <c r="CM9" s="87" t="s">
        <v>2997</v>
      </c>
      <c r="CN9" s="87" t="s">
        <v>2997</v>
      </c>
      <c r="CO9" s="87" t="s">
        <v>2997</v>
      </c>
      <c r="CP9" s="87" t="s">
        <v>2997</v>
      </c>
      <c r="CQ9" s="87" t="s">
        <v>2997</v>
      </c>
      <c r="CR9" s="87" t="s">
        <v>2997</v>
      </c>
      <c r="CS9" s="87" t="s">
        <v>2997</v>
      </c>
      <c r="CT9" s="87" t="s">
        <v>2997</v>
      </c>
      <c r="CU9" s="87" t="s">
        <v>2997</v>
      </c>
      <c r="CV9" s="87" t="s">
        <v>2997</v>
      </c>
      <c r="CW9" s="87" t="s">
        <v>2997</v>
      </c>
      <c r="CX9" s="87" t="s">
        <v>2997</v>
      </c>
      <c r="CY9" s="87" t="s">
        <v>2997</v>
      </c>
      <c r="CZ9" s="87" t="s">
        <v>2997</v>
      </c>
      <c r="DA9" s="87" t="s">
        <v>2997</v>
      </c>
      <c r="DB9" s="87" t="s">
        <v>2997</v>
      </c>
      <c r="DC9" s="87" t="s">
        <v>2997</v>
      </c>
      <c r="DD9" s="87" t="s">
        <v>2997</v>
      </c>
      <c r="DE9" s="87" t="s">
        <v>2997</v>
      </c>
      <c r="DF9" s="21" t="e">
        <f>CHOOSE(CharGenMain!$C$209,BM9,BP9,BS9,BV9,BY9,CB9,CE9,CH9,CK9,CN9,CQ9,CT9,CW9,CZ9,DC9)</f>
        <v>#VALUE!</v>
      </c>
      <c r="DG9" s="21" t="e">
        <f>CHOOSE(CharGenMain!$C$209,BN9,BQ9,BT9,BW9,BZ9,CC9,CF9,CI9,CL9,CO9,CR9,CU9,CX9,DA9,DD9)</f>
        <v>#VALUE!</v>
      </c>
      <c r="DH9" s="21" t="e">
        <f>CHOOSE(CharGenMain!$C$209,BO9,BR9,BU9,BX9,CA9,CD9,CG9,CJ9,CM9,CP9,CS9,CV9,CY9,DB9,DE9)</f>
        <v>#VALUE!</v>
      </c>
      <c r="DI9" s="21" t="e">
        <f>CHOOSE(CharGenMain!$C$210,BM9,BP9,BS9,BV9,BY9,CB9,CE9,CH9,CK9,CN9,CQ9,CT9,CW9,CZ9,DC9)</f>
        <v>#VALUE!</v>
      </c>
      <c r="DJ9" s="21" t="e">
        <f>CHOOSE(CharGenMain!$C$210,BN9,BQ9,BT9,BW9,BZ9,CC9,CF9,CI9,CL9,CO9,CR9,CU9,CX9,DA9,DD9)</f>
        <v>#VALUE!</v>
      </c>
      <c r="DK9" s="28" t="e">
        <f>CHOOSE(CharGenMain!$C$210,BO9,BR9,BU9,BX9,CA9,CD9,CG9,CJ9,CM9,CP9,CS9,CV9,CY9,DB9,DE9)</f>
        <v>#VALUE!</v>
      </c>
    </row>
    <row r="10" spans="1:115">
      <c r="A10" s="226" t="s">
        <v>1124</v>
      </c>
      <c r="B10" s="167" t="s">
        <v>1583</v>
      </c>
      <c r="C10" s="14" t="s">
        <v>2223</v>
      </c>
      <c r="D10" s="14">
        <v>3</v>
      </c>
      <c r="E10" s="14">
        <v>8</v>
      </c>
      <c r="F10" s="14">
        <v>19</v>
      </c>
      <c r="G10" s="87">
        <v>9</v>
      </c>
      <c r="H10" s="87">
        <v>0</v>
      </c>
      <c r="I10" s="87" t="s">
        <v>1215</v>
      </c>
      <c r="J10" s="87">
        <v>10</v>
      </c>
      <c r="K10" s="87">
        <v>0</v>
      </c>
      <c r="L10" s="87" t="s">
        <v>1215</v>
      </c>
      <c r="M10" s="87">
        <v>10</v>
      </c>
      <c r="N10" s="87">
        <v>0</v>
      </c>
      <c r="O10" s="87" t="s">
        <v>1125</v>
      </c>
      <c r="P10" s="87">
        <v>10</v>
      </c>
      <c r="Q10" s="87">
        <v>0</v>
      </c>
      <c r="R10" s="87" t="s">
        <v>1125</v>
      </c>
      <c r="S10" s="87">
        <v>10</v>
      </c>
      <c r="T10" s="87">
        <v>0</v>
      </c>
      <c r="U10" s="87" t="s">
        <v>1125</v>
      </c>
      <c r="V10" s="87">
        <v>10</v>
      </c>
      <c r="W10" s="87">
        <v>0</v>
      </c>
      <c r="X10" s="87" t="s">
        <v>1125</v>
      </c>
      <c r="Y10" s="87">
        <v>10</v>
      </c>
      <c r="Z10" s="87">
        <v>0</v>
      </c>
      <c r="AA10" s="87" t="s">
        <v>1125</v>
      </c>
      <c r="AB10" s="87">
        <v>10</v>
      </c>
      <c r="AC10" s="87">
        <v>0</v>
      </c>
      <c r="AD10" s="87" t="s">
        <v>1125</v>
      </c>
      <c r="AE10" s="87" t="s">
        <v>2997</v>
      </c>
      <c r="AF10" s="87" t="s">
        <v>2997</v>
      </c>
      <c r="AG10" s="87" t="s">
        <v>2997</v>
      </c>
      <c r="AH10" s="87" t="s">
        <v>2997</v>
      </c>
      <c r="AI10" s="87" t="s">
        <v>2997</v>
      </c>
      <c r="AJ10" s="87" t="s">
        <v>2997</v>
      </c>
      <c r="AK10" s="87" t="s">
        <v>2997</v>
      </c>
      <c r="AL10" s="87" t="s">
        <v>2997</v>
      </c>
      <c r="AM10" s="87" t="s">
        <v>2997</v>
      </c>
      <c r="AN10" s="87" t="s">
        <v>2997</v>
      </c>
      <c r="AO10" s="87" t="s">
        <v>2997</v>
      </c>
      <c r="AP10" s="87" t="s">
        <v>2997</v>
      </c>
      <c r="AQ10" s="87" t="s">
        <v>2997</v>
      </c>
      <c r="AR10" s="87" t="s">
        <v>2997</v>
      </c>
      <c r="AS10" s="87" t="s">
        <v>2997</v>
      </c>
      <c r="AT10" s="87" t="s">
        <v>2997</v>
      </c>
      <c r="AU10" s="87" t="s">
        <v>2997</v>
      </c>
      <c r="AV10" s="87" t="s">
        <v>2997</v>
      </c>
      <c r="AW10" s="87" t="s">
        <v>2997</v>
      </c>
      <c r="AX10" s="87" t="s">
        <v>2997</v>
      </c>
      <c r="AY10" s="87" t="s">
        <v>2997</v>
      </c>
      <c r="AZ10" s="21" t="e">
        <f>CHOOSE(CharGenMain!$C$206,G10,J10,M10,P10,S10,V10,Y10,AB10,AE10,AH10,AK10,AN10,AQ10,AT10,AW10)</f>
        <v>#VALUE!</v>
      </c>
      <c r="BA10" s="21" t="e">
        <f>CHOOSE(CharGenMain!$C$206,H10,K10,N10,Q10,T10,W10,Z10,AC10,AF10,AI10,AL10,AO10,AR10,AU10,AX10)</f>
        <v>#VALUE!</v>
      </c>
      <c r="BB10" s="21" t="e">
        <f>CHOOSE(CharGenMain!$C$206,I10,L10,O10,R10,U10,X10,AA10,AD10,AG10,AJ10,AM10,AP10,AS10,AV10,AY10)</f>
        <v>#VALUE!</v>
      </c>
      <c r="BC10" s="21" t="e">
        <f>CHOOSE(CharGenMain!$C$207,G10,J10,M10,P10,S10,V10,Y10,AB10,AE10,AH10,AK10,AN10,AQ10,AT10,AW10)</f>
        <v>#VALUE!</v>
      </c>
      <c r="BD10" s="21" t="e">
        <f>CHOOSE(CharGenMain!$C$207,H10,K10,N10,Q10,T10,W10,Z10,AC10,AF10,AI10,AL10,AO10,AR10,AU10,AX10)</f>
        <v>#VALUE!</v>
      </c>
      <c r="BE10" s="28" t="e">
        <f>CHOOSE(CharGenMain!$C$207,I10,L10,O10,R10,U10,X10,AA10,AD10,AG10,AJ10,AM10,AP10,AS10,AV10,AY10)</f>
        <v>#VALUE!</v>
      </c>
      <c r="BG10" s="226" t="s">
        <v>814</v>
      </c>
      <c r="BH10" s="14" t="s">
        <v>815</v>
      </c>
      <c r="BI10" s="14" t="s">
        <v>2667</v>
      </c>
      <c r="BJ10" s="14">
        <v>3</v>
      </c>
      <c r="BK10" s="14">
        <v>8</v>
      </c>
      <c r="BL10" s="14">
        <v>18</v>
      </c>
      <c r="BM10" s="21">
        <v>6</v>
      </c>
      <c r="BN10" s="21">
        <v>0</v>
      </c>
      <c r="BO10" s="21" t="s">
        <v>1215</v>
      </c>
      <c r="BP10" s="21">
        <v>6</v>
      </c>
      <c r="BQ10" s="21">
        <v>0</v>
      </c>
      <c r="BR10" s="21" t="s">
        <v>816</v>
      </c>
      <c r="BS10" s="21">
        <v>7</v>
      </c>
      <c r="BT10" s="21">
        <v>0</v>
      </c>
      <c r="BU10" s="21" t="s">
        <v>816</v>
      </c>
      <c r="BV10" s="87">
        <v>8</v>
      </c>
      <c r="BW10" s="87">
        <v>0</v>
      </c>
      <c r="BX10" s="21" t="s">
        <v>816</v>
      </c>
      <c r="BY10" s="87">
        <v>8</v>
      </c>
      <c r="BZ10" s="87">
        <v>0</v>
      </c>
      <c r="CA10" s="21" t="s">
        <v>907</v>
      </c>
      <c r="CB10" s="87">
        <v>8</v>
      </c>
      <c r="CC10" s="87">
        <v>0</v>
      </c>
      <c r="CD10" s="21" t="s">
        <v>908</v>
      </c>
      <c r="CE10" s="87">
        <v>9</v>
      </c>
      <c r="CF10" s="87">
        <v>0</v>
      </c>
      <c r="CG10" s="21" t="s">
        <v>1133</v>
      </c>
      <c r="CH10" s="87">
        <v>10</v>
      </c>
      <c r="CI10" s="87">
        <v>0</v>
      </c>
      <c r="CJ10" s="21" t="s">
        <v>1133</v>
      </c>
      <c r="CK10" s="87" t="s">
        <v>2997</v>
      </c>
      <c r="CL10" s="87" t="s">
        <v>2997</v>
      </c>
      <c r="CM10" s="87" t="s">
        <v>2997</v>
      </c>
      <c r="CN10" s="87" t="s">
        <v>2997</v>
      </c>
      <c r="CO10" s="87" t="s">
        <v>2997</v>
      </c>
      <c r="CP10" s="87" t="s">
        <v>2997</v>
      </c>
      <c r="CQ10" s="87" t="s">
        <v>2997</v>
      </c>
      <c r="CR10" s="87" t="s">
        <v>2997</v>
      </c>
      <c r="CS10" s="87" t="s">
        <v>2997</v>
      </c>
      <c r="CT10" s="87" t="s">
        <v>2997</v>
      </c>
      <c r="CU10" s="87" t="s">
        <v>2997</v>
      </c>
      <c r="CV10" s="87" t="s">
        <v>2997</v>
      </c>
      <c r="CW10" s="87" t="s">
        <v>2997</v>
      </c>
      <c r="CX10" s="87" t="s">
        <v>2997</v>
      </c>
      <c r="CY10" s="87" t="s">
        <v>2997</v>
      </c>
      <c r="CZ10" s="87" t="s">
        <v>2997</v>
      </c>
      <c r="DA10" s="87" t="s">
        <v>2997</v>
      </c>
      <c r="DB10" s="87" t="s">
        <v>2997</v>
      </c>
      <c r="DC10" s="87" t="s">
        <v>2997</v>
      </c>
      <c r="DD10" s="87" t="s">
        <v>2997</v>
      </c>
      <c r="DE10" s="87" t="s">
        <v>2997</v>
      </c>
      <c r="DF10" s="21" t="e">
        <f>CHOOSE(CharGenMain!$C$209,BM10,BP10,BS10,BV10,BY10,CB10,CE10,CH10,CK10,CN10,CQ10,CT10,CW10,CZ10,DC10)</f>
        <v>#VALUE!</v>
      </c>
      <c r="DG10" s="21" t="e">
        <f>CHOOSE(CharGenMain!$C$209,BN10,BQ10,BT10,BW10,BZ10,CC10,CF10,CI10,CL10,CO10,CR10,CU10,CX10,DA10,DD10)</f>
        <v>#VALUE!</v>
      </c>
      <c r="DH10" s="21" t="e">
        <f>CHOOSE(CharGenMain!$C$209,BO10,BR10,BU10,BX10,CA10,CD10,CG10,CJ10,CM10,CP10,CS10,CV10,CY10,DB10,DE10)</f>
        <v>#VALUE!</v>
      </c>
      <c r="DI10" s="21" t="e">
        <f>CHOOSE(CharGenMain!$C$210,BM10,BP10,BS10,BV10,BY10,CB10,CE10,CH10,CK10,CN10,CQ10,CT10,CW10,CZ10,DC10)</f>
        <v>#VALUE!</v>
      </c>
      <c r="DJ10" s="21" t="e">
        <f>CHOOSE(CharGenMain!$C$210,BN10,BQ10,BT10,BW10,BZ10,CC10,CF10,CI10,CL10,CO10,CR10,CU10,CX10,DA10,DD10)</f>
        <v>#VALUE!</v>
      </c>
      <c r="DK10" s="28" t="e">
        <f>CHOOSE(CharGenMain!$C$210,BO10,BR10,BU10,BX10,CA10,CD10,CG10,CJ10,CM10,CP10,CS10,CV10,CY10,DB10,DE10)</f>
        <v>#VALUE!</v>
      </c>
    </row>
    <row r="11" spans="1:115">
      <c r="A11" s="226" t="s">
        <v>1134</v>
      </c>
      <c r="B11" s="167" t="s">
        <v>996</v>
      </c>
      <c r="C11" s="14" t="s">
        <v>2667</v>
      </c>
      <c r="D11" s="14">
        <v>2</v>
      </c>
      <c r="E11" s="14">
        <v>3</v>
      </c>
      <c r="F11" s="14">
        <v>14</v>
      </c>
      <c r="G11" s="87">
        <v>13</v>
      </c>
      <c r="H11" s="87">
        <v>0</v>
      </c>
      <c r="I11" s="87" t="s">
        <v>1215</v>
      </c>
      <c r="J11" s="87">
        <v>14</v>
      </c>
      <c r="K11" s="87">
        <v>0</v>
      </c>
      <c r="L11" s="87" t="s">
        <v>1215</v>
      </c>
      <c r="M11" s="87">
        <v>15</v>
      </c>
      <c r="N11" s="87">
        <v>0</v>
      </c>
      <c r="O11" s="87" t="s">
        <v>1215</v>
      </c>
      <c r="P11" s="87" t="s">
        <v>2997</v>
      </c>
      <c r="Q11" s="87" t="s">
        <v>2997</v>
      </c>
      <c r="R11" s="87" t="s">
        <v>2997</v>
      </c>
      <c r="S11" s="87" t="s">
        <v>2997</v>
      </c>
      <c r="T11" s="87" t="s">
        <v>2997</v>
      </c>
      <c r="U11" s="87" t="s">
        <v>2997</v>
      </c>
      <c r="V11" s="87" t="s">
        <v>2997</v>
      </c>
      <c r="W11" s="87" t="s">
        <v>2997</v>
      </c>
      <c r="X11" s="87" t="s">
        <v>2997</v>
      </c>
      <c r="Y11" s="87" t="s">
        <v>2997</v>
      </c>
      <c r="Z11" s="87" t="s">
        <v>2997</v>
      </c>
      <c r="AA11" s="87" t="s">
        <v>2997</v>
      </c>
      <c r="AB11" s="87" t="s">
        <v>2997</v>
      </c>
      <c r="AC11" s="87" t="s">
        <v>2997</v>
      </c>
      <c r="AD11" s="87" t="s">
        <v>2997</v>
      </c>
      <c r="AE11" s="87" t="s">
        <v>2997</v>
      </c>
      <c r="AF11" s="87" t="s">
        <v>2997</v>
      </c>
      <c r="AG11" s="87" t="s">
        <v>2997</v>
      </c>
      <c r="AH11" s="87" t="s">
        <v>2997</v>
      </c>
      <c r="AI11" s="87" t="s">
        <v>2997</v>
      </c>
      <c r="AJ11" s="87" t="s">
        <v>2997</v>
      </c>
      <c r="AK11" s="87" t="s">
        <v>2997</v>
      </c>
      <c r="AL11" s="87" t="s">
        <v>2997</v>
      </c>
      <c r="AM11" s="87" t="s">
        <v>2997</v>
      </c>
      <c r="AN11" s="87" t="s">
        <v>2997</v>
      </c>
      <c r="AO11" s="87" t="s">
        <v>2997</v>
      </c>
      <c r="AP11" s="87" t="s">
        <v>2997</v>
      </c>
      <c r="AQ11" s="87" t="s">
        <v>2997</v>
      </c>
      <c r="AR11" s="87" t="s">
        <v>2997</v>
      </c>
      <c r="AS11" s="87" t="s">
        <v>2997</v>
      </c>
      <c r="AT11" s="87" t="s">
        <v>2997</v>
      </c>
      <c r="AU11" s="87" t="s">
        <v>2997</v>
      </c>
      <c r="AV11" s="87" t="s">
        <v>2997</v>
      </c>
      <c r="AW11" s="87" t="s">
        <v>2997</v>
      </c>
      <c r="AX11" s="87" t="s">
        <v>2997</v>
      </c>
      <c r="AY11" s="87" t="s">
        <v>2997</v>
      </c>
      <c r="AZ11" s="21" t="e">
        <f>CHOOSE(CharGenMain!$C$206,G11,J11,M11,P11,S11,V11,Y11,AB11,AE11,AH11,AK11,AN11,AQ11,AT11,AW11)</f>
        <v>#VALUE!</v>
      </c>
      <c r="BA11" s="21" t="e">
        <f>CHOOSE(CharGenMain!$C$206,H11,K11,N11,Q11,T11,W11,Z11,AC11,AF11,AI11,AL11,AO11,AR11,AU11,AX11)</f>
        <v>#VALUE!</v>
      </c>
      <c r="BB11" s="21" t="e">
        <f>CHOOSE(CharGenMain!$C$206,I11,L11,O11,R11,U11,X11,AA11,AD11,AG11,AJ11,AM11,AP11,AS11,AV11,AY11)</f>
        <v>#VALUE!</v>
      </c>
      <c r="BC11" s="21" t="e">
        <f>CHOOSE(CharGenMain!$C$207,G11,J11,M11,P11,S11,V11,Y11,AB11,AE11,AH11,AK11,AN11,AQ11,AT11,AW11)</f>
        <v>#VALUE!</v>
      </c>
      <c r="BD11" s="21" t="e">
        <f>CHOOSE(CharGenMain!$C$207,H11,K11,N11,Q11,T11,W11,Z11,AC11,AF11,AI11,AL11,AO11,AR11,AU11,AX11)</f>
        <v>#VALUE!</v>
      </c>
      <c r="BE11" s="28" t="e">
        <f>CHOOSE(CharGenMain!$C$207,I11,L11,O11,R11,U11,X11,AA11,AD11,AG11,AJ11,AM11,AP11,AS11,AV11,AY11)</f>
        <v>#VALUE!</v>
      </c>
      <c r="BG11" s="20" t="s">
        <v>1135</v>
      </c>
      <c r="BH11" s="14" t="s">
        <v>4742</v>
      </c>
      <c r="BI11" s="14" t="s">
        <v>2279</v>
      </c>
      <c r="BJ11" s="14">
        <v>4</v>
      </c>
      <c r="BK11" s="14">
        <v>15</v>
      </c>
      <c r="BL11" s="14">
        <v>26</v>
      </c>
      <c r="BM11" s="21">
        <v>11</v>
      </c>
      <c r="BN11" s="21">
        <v>1</v>
      </c>
      <c r="BO11" s="21" t="s">
        <v>1136</v>
      </c>
      <c r="BP11" s="21">
        <v>12</v>
      </c>
      <c r="BQ11" s="21">
        <v>2</v>
      </c>
      <c r="BR11" s="21" t="s">
        <v>1136</v>
      </c>
      <c r="BS11" s="231">
        <v>13</v>
      </c>
      <c r="BT11" s="231">
        <v>3</v>
      </c>
      <c r="BU11" s="231" t="s">
        <v>1137</v>
      </c>
      <c r="BV11" s="231">
        <v>14</v>
      </c>
      <c r="BW11" s="231">
        <v>4</v>
      </c>
      <c r="BX11" s="231" t="s">
        <v>1137</v>
      </c>
      <c r="BY11" s="231">
        <v>15</v>
      </c>
      <c r="BZ11" s="231">
        <v>5</v>
      </c>
      <c r="CA11" s="231" t="s">
        <v>1137</v>
      </c>
      <c r="CB11" s="231">
        <v>16</v>
      </c>
      <c r="CC11" s="231">
        <v>6</v>
      </c>
      <c r="CD11" s="231" t="s">
        <v>1139</v>
      </c>
      <c r="CE11" s="231">
        <v>17</v>
      </c>
      <c r="CF11" s="231">
        <v>7</v>
      </c>
      <c r="CG11" s="231" t="s">
        <v>1139</v>
      </c>
      <c r="CH11" s="231">
        <v>18</v>
      </c>
      <c r="CI11" s="231">
        <v>8</v>
      </c>
      <c r="CJ11" s="231" t="s">
        <v>1139</v>
      </c>
      <c r="CK11" s="231">
        <v>19</v>
      </c>
      <c r="CL11" s="231">
        <v>9</v>
      </c>
      <c r="CM11" s="231" t="s">
        <v>1139</v>
      </c>
      <c r="CN11" s="231">
        <v>20</v>
      </c>
      <c r="CO11" s="231">
        <v>10</v>
      </c>
      <c r="CP11" s="231" t="s">
        <v>1139</v>
      </c>
      <c r="CQ11" s="231">
        <v>21</v>
      </c>
      <c r="CR11" s="231">
        <v>11</v>
      </c>
      <c r="CS11" s="231" t="s">
        <v>1139</v>
      </c>
      <c r="CT11" s="231">
        <v>22</v>
      </c>
      <c r="CU11" s="231">
        <v>12</v>
      </c>
      <c r="CV11" s="231" t="s">
        <v>1139</v>
      </c>
      <c r="CW11" s="231">
        <v>23</v>
      </c>
      <c r="CX11" s="231">
        <v>13</v>
      </c>
      <c r="CY11" s="231" t="s">
        <v>1139</v>
      </c>
      <c r="CZ11" s="231">
        <v>24</v>
      </c>
      <c r="DA11" s="231">
        <v>14</v>
      </c>
      <c r="DB11" s="231" t="s">
        <v>1139</v>
      </c>
      <c r="DC11" s="231">
        <v>25</v>
      </c>
      <c r="DD11" s="231">
        <v>15</v>
      </c>
      <c r="DE11" s="231" t="s">
        <v>1139</v>
      </c>
      <c r="DF11" s="21" t="e">
        <f>CHOOSE(CharGenMain!$C$209,BM11,BP11,BS11,BV11,BY11,CB11,CE11,CH11,CK11,CN11,CQ11,CT11,CW11,CZ11,DC11)</f>
        <v>#VALUE!</v>
      </c>
      <c r="DG11" s="21" t="e">
        <f>CHOOSE(CharGenMain!$C$209,BN11,BQ11,BT11,BW11,BZ11,CC11,CF11,CI11,CL11,CO11,CR11,CU11,CX11,DA11,DD11)</f>
        <v>#VALUE!</v>
      </c>
      <c r="DH11" s="21" t="e">
        <f>CHOOSE(CharGenMain!$C$209,BO11,BR11,BU11,BX11,CA11,CD11,CG11,CJ11,CM11,CP11,CS11,CV11,CY11,DB11,DE11)</f>
        <v>#VALUE!</v>
      </c>
      <c r="DI11" s="21" t="e">
        <f>CHOOSE(CharGenMain!$C$210,BM11,BP11,BS11,BV11,BY11,CB11,CE11,CH11,CK11,CN11,CQ11,CT11,CW11,CZ11,DC11)</f>
        <v>#VALUE!</v>
      </c>
      <c r="DJ11" s="21" t="e">
        <f>CHOOSE(CharGenMain!$C$210,BN11,BQ11,BT11,BW11,BZ11,CC11,CF11,CI11,CL11,CO11,CR11,CU11,CX11,DA11,DD11)</f>
        <v>#VALUE!</v>
      </c>
      <c r="DK11" s="28" t="e">
        <f>CHOOSE(CharGenMain!$C$210,BO11,BR11,BU11,BX11,CA11,CD11,CG11,CJ11,CM11,CP11,CS11,CV11,CY11,DB11,DE11)</f>
        <v>#VALUE!</v>
      </c>
    </row>
    <row r="12" spans="1:115">
      <c r="A12" s="226" t="s">
        <v>1138</v>
      </c>
      <c r="B12" s="167" t="s">
        <v>1359</v>
      </c>
      <c r="C12" s="14" t="s">
        <v>2667</v>
      </c>
      <c r="D12" s="14">
        <v>2</v>
      </c>
      <c r="E12" s="14">
        <v>5</v>
      </c>
      <c r="F12" s="14">
        <v>13</v>
      </c>
      <c r="G12" s="87">
        <v>13</v>
      </c>
      <c r="H12" s="87">
        <v>0</v>
      </c>
      <c r="I12" s="87" t="s">
        <v>1215</v>
      </c>
      <c r="J12" s="87">
        <v>14</v>
      </c>
      <c r="K12" s="87">
        <v>0</v>
      </c>
      <c r="L12" s="87" t="s">
        <v>1215</v>
      </c>
      <c r="M12" s="87">
        <v>15</v>
      </c>
      <c r="N12" s="87">
        <v>0</v>
      </c>
      <c r="O12" s="87" t="s">
        <v>1215</v>
      </c>
      <c r="P12" s="87">
        <v>16</v>
      </c>
      <c r="Q12" s="87">
        <v>0</v>
      </c>
      <c r="R12" s="87" t="s">
        <v>1215</v>
      </c>
      <c r="S12" s="87">
        <v>17</v>
      </c>
      <c r="T12" s="87">
        <v>0</v>
      </c>
      <c r="U12" s="87" t="s">
        <v>1215</v>
      </c>
      <c r="V12" s="87" t="s">
        <v>2997</v>
      </c>
      <c r="W12" s="87" t="s">
        <v>2997</v>
      </c>
      <c r="X12" s="87" t="s">
        <v>2997</v>
      </c>
      <c r="Y12" s="87" t="s">
        <v>2997</v>
      </c>
      <c r="Z12" s="87" t="s">
        <v>2997</v>
      </c>
      <c r="AA12" s="87" t="s">
        <v>2997</v>
      </c>
      <c r="AB12" s="87" t="s">
        <v>2997</v>
      </c>
      <c r="AC12" s="87" t="s">
        <v>2997</v>
      </c>
      <c r="AD12" s="87" t="s">
        <v>2997</v>
      </c>
      <c r="AE12" s="87" t="s">
        <v>2997</v>
      </c>
      <c r="AF12" s="87" t="s">
        <v>2997</v>
      </c>
      <c r="AG12" s="87" t="s">
        <v>2997</v>
      </c>
      <c r="AH12" s="87" t="s">
        <v>2997</v>
      </c>
      <c r="AI12" s="87" t="s">
        <v>2997</v>
      </c>
      <c r="AJ12" s="87" t="s">
        <v>2997</v>
      </c>
      <c r="AK12" s="87" t="s">
        <v>2997</v>
      </c>
      <c r="AL12" s="87" t="s">
        <v>2997</v>
      </c>
      <c r="AM12" s="87" t="s">
        <v>2997</v>
      </c>
      <c r="AN12" s="87" t="s">
        <v>2997</v>
      </c>
      <c r="AO12" s="87" t="s">
        <v>2997</v>
      </c>
      <c r="AP12" s="87" t="s">
        <v>2997</v>
      </c>
      <c r="AQ12" s="87" t="s">
        <v>2997</v>
      </c>
      <c r="AR12" s="87" t="s">
        <v>2997</v>
      </c>
      <c r="AS12" s="87" t="s">
        <v>2997</v>
      </c>
      <c r="AT12" s="87" t="s">
        <v>2997</v>
      </c>
      <c r="AU12" s="87" t="s">
        <v>2997</v>
      </c>
      <c r="AV12" s="87" t="s">
        <v>2997</v>
      </c>
      <c r="AW12" s="87" t="s">
        <v>2997</v>
      </c>
      <c r="AX12" s="87" t="s">
        <v>2997</v>
      </c>
      <c r="AY12" s="87" t="s">
        <v>2997</v>
      </c>
      <c r="AZ12" s="21" t="e">
        <f>CHOOSE(CharGenMain!$C$206,G12,J12,M12,P12,S12,V12,Y12,AB12,AE12,AH12,AK12,AN12,AQ12,AT12,AW12)</f>
        <v>#VALUE!</v>
      </c>
      <c r="BA12" s="21" t="e">
        <f>CHOOSE(CharGenMain!$C$206,H12,K12,N12,Q12,T12,W12,Z12,AC12,AF12,AI12,AL12,AO12,AR12,AU12,AX12)</f>
        <v>#VALUE!</v>
      </c>
      <c r="BB12" s="21" t="e">
        <f>CHOOSE(CharGenMain!$C$206,I12,L12,O12,R12,U12,X12,AA12,AD12,AG12,AJ12,AM12,AP12,AS12,AV12,AY12)</f>
        <v>#VALUE!</v>
      </c>
      <c r="BC12" s="21" t="e">
        <f>CHOOSE(CharGenMain!$C$207,G12,J12,M12,P12,S12,V12,Y12,AB12,AE12,AH12,AK12,AN12,AQ12,AT12,AW12)</f>
        <v>#VALUE!</v>
      </c>
      <c r="BD12" s="21" t="e">
        <f>CHOOSE(CharGenMain!$C$207,H12,K12,N12,Q12,T12,W12,Z12,AC12,AF12,AI12,AL12,AO12,AR12,AU12,AX12)</f>
        <v>#VALUE!</v>
      </c>
      <c r="BE12" s="28" t="e">
        <f>CHOOSE(CharGenMain!$C$207,I12,L12,O12,R12,U12,X12,AA12,AD12,AG12,AJ12,AM12,AP12,AS12,AV12,AY12)</f>
        <v>#VALUE!</v>
      </c>
      <c r="BG12" s="20" t="s">
        <v>1031</v>
      </c>
      <c r="BH12" s="14" t="s">
        <v>1032</v>
      </c>
      <c r="BI12" s="14" t="s">
        <v>2279</v>
      </c>
      <c r="BJ12" s="14">
        <v>2</v>
      </c>
      <c r="BK12" s="14">
        <v>6</v>
      </c>
      <c r="BL12" s="14">
        <v>13</v>
      </c>
      <c r="BM12" s="168">
        <v>3</v>
      </c>
      <c r="BN12" s="168">
        <v>0</v>
      </c>
      <c r="BO12" s="101" t="s">
        <v>1215</v>
      </c>
      <c r="BP12" s="101">
        <v>3</v>
      </c>
      <c r="BQ12" s="101">
        <v>0</v>
      </c>
      <c r="BR12" s="101" t="s">
        <v>1036</v>
      </c>
      <c r="BS12" s="101">
        <v>4</v>
      </c>
      <c r="BT12" s="101">
        <v>0</v>
      </c>
      <c r="BU12" s="101" t="s">
        <v>1037</v>
      </c>
      <c r="BV12" s="101">
        <v>4</v>
      </c>
      <c r="BW12" s="101">
        <v>0</v>
      </c>
      <c r="BX12" s="101" t="s">
        <v>1038</v>
      </c>
      <c r="BY12" s="101">
        <v>4</v>
      </c>
      <c r="BZ12" s="101">
        <v>0</v>
      </c>
      <c r="CA12" s="101" t="s">
        <v>1039</v>
      </c>
      <c r="CB12" s="101">
        <v>4</v>
      </c>
      <c r="CC12" s="101">
        <v>0</v>
      </c>
      <c r="CD12" s="101" t="s">
        <v>1039</v>
      </c>
      <c r="CE12" s="87" t="s">
        <v>2997</v>
      </c>
      <c r="CF12" s="87" t="s">
        <v>2997</v>
      </c>
      <c r="CG12" s="87" t="s">
        <v>2997</v>
      </c>
      <c r="CH12" s="87" t="s">
        <v>2997</v>
      </c>
      <c r="CI12" s="87" t="s">
        <v>2997</v>
      </c>
      <c r="CJ12" s="87" t="s">
        <v>2997</v>
      </c>
      <c r="CK12" s="87" t="s">
        <v>2997</v>
      </c>
      <c r="CL12" s="87" t="s">
        <v>2997</v>
      </c>
      <c r="CM12" s="87" t="s">
        <v>2997</v>
      </c>
      <c r="CN12" s="87" t="s">
        <v>2997</v>
      </c>
      <c r="CO12" s="87" t="s">
        <v>2997</v>
      </c>
      <c r="CP12" s="87" t="s">
        <v>2997</v>
      </c>
      <c r="CQ12" s="87" t="s">
        <v>2997</v>
      </c>
      <c r="CR12" s="87" t="s">
        <v>2997</v>
      </c>
      <c r="CS12" s="87" t="s">
        <v>2997</v>
      </c>
      <c r="CT12" s="87" t="s">
        <v>2997</v>
      </c>
      <c r="CU12" s="87" t="s">
        <v>2997</v>
      </c>
      <c r="CV12" s="87" t="s">
        <v>2997</v>
      </c>
      <c r="CW12" s="87" t="s">
        <v>2997</v>
      </c>
      <c r="CX12" s="87" t="s">
        <v>2997</v>
      </c>
      <c r="CY12" s="87" t="s">
        <v>2997</v>
      </c>
      <c r="CZ12" s="87" t="s">
        <v>2997</v>
      </c>
      <c r="DA12" s="87" t="s">
        <v>2997</v>
      </c>
      <c r="DB12" s="87" t="s">
        <v>2997</v>
      </c>
      <c r="DC12" s="87" t="s">
        <v>2997</v>
      </c>
      <c r="DD12" s="87" t="s">
        <v>2997</v>
      </c>
      <c r="DE12" s="87" t="s">
        <v>2997</v>
      </c>
      <c r="DF12" s="21" t="e">
        <f>CHOOSE(CharGenMain!$C$209,BM12,BP12,BS12,BV12,BY12,CB12,CE12,CH12,CK12,CN12,CQ12,CT12,CW12,CZ12,DC12)</f>
        <v>#VALUE!</v>
      </c>
      <c r="DG12" s="21" t="e">
        <f>CHOOSE(CharGenMain!$C$209,BN12,BQ12,BT12,BW12,BZ12,CC12,CF12,CI12,CL12,CO12,CR12,CU12,CX12,DA12,DD12)</f>
        <v>#VALUE!</v>
      </c>
      <c r="DH12" s="21" t="e">
        <f>CHOOSE(CharGenMain!$C$209,BO12,BR12,BU12,BX12,CA12,CD12,CG12,CJ12,CM12,CP12,CS12,CV12,CY12,DB12,DE12)</f>
        <v>#VALUE!</v>
      </c>
      <c r="DI12" s="21" t="e">
        <f>CHOOSE(CharGenMain!$C$210,BM12,BP12,BS12,BV12,BY12,CB12,CE12,CH12,CK12,CN12,CQ12,CT12,CW12,CZ12,DC12)</f>
        <v>#VALUE!</v>
      </c>
      <c r="DJ12" s="21" t="e">
        <f>CHOOSE(CharGenMain!$C$210,BN12,BQ12,BT12,BW12,BZ12,CC12,CF12,CI12,CL12,CO12,CR12,CU12,CX12,DA12,DD12)</f>
        <v>#VALUE!</v>
      </c>
      <c r="DK12" s="28" t="e">
        <f>CHOOSE(CharGenMain!$C$210,BO12,BR12,BU12,BX12,CA12,CD12,CG12,CJ12,CM12,CP12,CS12,CV12,CY12,DB12,DE12)</f>
        <v>#VALUE!</v>
      </c>
    </row>
    <row r="13" spans="1:115">
      <c r="A13" s="20" t="s">
        <v>1040</v>
      </c>
      <c r="B13" s="167" t="s">
        <v>2437</v>
      </c>
      <c r="C13" s="14" t="s">
        <v>2279</v>
      </c>
      <c r="D13" s="14">
        <v>2</v>
      </c>
      <c r="E13" s="14">
        <v>5</v>
      </c>
      <c r="F13" s="14">
        <v>16</v>
      </c>
      <c r="G13" s="87">
        <v>6</v>
      </c>
      <c r="H13" s="87">
        <v>0</v>
      </c>
      <c r="I13" s="87" t="s">
        <v>1215</v>
      </c>
      <c r="J13" s="87">
        <v>6</v>
      </c>
      <c r="K13" s="87">
        <v>0</v>
      </c>
      <c r="L13" s="206" t="s">
        <v>1041</v>
      </c>
      <c r="M13" s="87">
        <v>6</v>
      </c>
      <c r="N13" s="87">
        <v>0</v>
      </c>
      <c r="O13" s="206" t="s">
        <v>1042</v>
      </c>
      <c r="P13" s="87">
        <v>6</v>
      </c>
      <c r="Q13" s="87">
        <v>0</v>
      </c>
      <c r="R13" s="206" t="s">
        <v>1042</v>
      </c>
      <c r="S13" s="87">
        <v>6</v>
      </c>
      <c r="T13" s="87">
        <v>0</v>
      </c>
      <c r="U13" s="206" t="s">
        <v>1043</v>
      </c>
      <c r="V13" s="87" t="s">
        <v>2997</v>
      </c>
      <c r="W13" s="87" t="s">
        <v>2997</v>
      </c>
      <c r="X13" s="87" t="s">
        <v>2997</v>
      </c>
      <c r="Y13" s="87" t="s">
        <v>2997</v>
      </c>
      <c r="Z13" s="87" t="s">
        <v>2997</v>
      </c>
      <c r="AA13" s="87" t="s">
        <v>2997</v>
      </c>
      <c r="AB13" s="87" t="s">
        <v>2997</v>
      </c>
      <c r="AC13" s="87" t="s">
        <v>2997</v>
      </c>
      <c r="AD13" s="87" t="s">
        <v>2997</v>
      </c>
      <c r="AE13" s="87" t="s">
        <v>2997</v>
      </c>
      <c r="AF13" s="87" t="s">
        <v>2997</v>
      </c>
      <c r="AG13" s="87" t="s">
        <v>2997</v>
      </c>
      <c r="AH13" s="87" t="s">
        <v>2997</v>
      </c>
      <c r="AI13" s="87" t="s">
        <v>2997</v>
      </c>
      <c r="AJ13" s="87" t="s">
        <v>2997</v>
      </c>
      <c r="AK13" s="87" t="s">
        <v>2997</v>
      </c>
      <c r="AL13" s="87" t="s">
        <v>2997</v>
      </c>
      <c r="AM13" s="87" t="s">
        <v>2997</v>
      </c>
      <c r="AN13" s="87" t="s">
        <v>2997</v>
      </c>
      <c r="AO13" s="87" t="s">
        <v>2997</v>
      </c>
      <c r="AP13" s="87" t="s">
        <v>2997</v>
      </c>
      <c r="AQ13" s="87" t="s">
        <v>2997</v>
      </c>
      <c r="AR13" s="87" t="s">
        <v>2997</v>
      </c>
      <c r="AS13" s="87" t="s">
        <v>2997</v>
      </c>
      <c r="AT13" s="87" t="s">
        <v>2997</v>
      </c>
      <c r="AU13" s="87" t="s">
        <v>2997</v>
      </c>
      <c r="AV13" s="87" t="s">
        <v>2997</v>
      </c>
      <c r="AW13" s="87" t="s">
        <v>2997</v>
      </c>
      <c r="AX13" s="87" t="s">
        <v>2997</v>
      </c>
      <c r="AY13" s="87" t="s">
        <v>2997</v>
      </c>
      <c r="AZ13" s="21" t="e">
        <f>CHOOSE(CharGenMain!$C$206,G13,J13,M13,P13,S13,V13,Y13,AB13,AE13,AH13,AK13,AN13,AQ13,AT13,AW13)</f>
        <v>#VALUE!</v>
      </c>
      <c r="BA13" s="21" t="e">
        <f>CHOOSE(CharGenMain!$C$206,H13,K13,N13,Q13,T13,W13,Z13,AC13,AF13,AI13,AL13,AO13,AR13,AU13,AX13)</f>
        <v>#VALUE!</v>
      </c>
      <c r="BB13" s="21" t="e">
        <f>CHOOSE(CharGenMain!$C$206,I13,L13,O13,R13,U13,X13,AA13,AD13,AG13,AJ13,AM13,AP13,AS13,AV13,AY13)</f>
        <v>#VALUE!</v>
      </c>
      <c r="BC13" s="21" t="e">
        <f>CHOOSE(CharGenMain!$C$207,G13,J13,M13,P13,S13,V13,Y13,AB13,AE13,AH13,AK13,AN13,AQ13,AT13,AW13)</f>
        <v>#VALUE!</v>
      </c>
      <c r="BD13" s="21" t="e">
        <f>CHOOSE(CharGenMain!$C$207,H13,K13,N13,Q13,T13,W13,Z13,AC13,AF13,AI13,AL13,AO13,AR13,AU13,AX13)</f>
        <v>#VALUE!</v>
      </c>
      <c r="BE13" s="28" t="e">
        <f>CHOOSE(CharGenMain!$C$207,I13,L13,O13,R13,U13,X13,AA13,AD13,AG13,AJ13,AM13,AP13,AS13,AV13,AY13)</f>
        <v>#VALUE!</v>
      </c>
      <c r="BG13" s="20" t="s">
        <v>1044</v>
      </c>
      <c r="BH13" s="14" t="s">
        <v>1045</v>
      </c>
      <c r="BI13" s="14" t="s">
        <v>2279</v>
      </c>
      <c r="BJ13" s="14">
        <v>4</v>
      </c>
      <c r="BK13" s="14">
        <v>10</v>
      </c>
      <c r="BL13" s="14">
        <v>24</v>
      </c>
      <c r="BM13" s="21">
        <v>5</v>
      </c>
      <c r="BN13" s="21">
        <v>0</v>
      </c>
      <c r="BO13" s="21" t="s">
        <v>1215</v>
      </c>
      <c r="BP13" s="21">
        <v>5</v>
      </c>
      <c r="BQ13" s="21">
        <v>1</v>
      </c>
      <c r="BR13" s="21" t="s">
        <v>929</v>
      </c>
      <c r="BS13" s="21">
        <v>7</v>
      </c>
      <c r="BT13" s="21">
        <v>1</v>
      </c>
      <c r="BU13" s="21" t="s">
        <v>929</v>
      </c>
      <c r="BV13" s="21">
        <v>8</v>
      </c>
      <c r="BW13" s="21">
        <v>1</v>
      </c>
      <c r="BX13" s="105" t="s">
        <v>930</v>
      </c>
      <c r="BY13" s="21">
        <v>8</v>
      </c>
      <c r="BZ13" s="21">
        <v>1</v>
      </c>
      <c r="CA13" s="105" t="s">
        <v>931</v>
      </c>
      <c r="CB13" s="21">
        <v>10</v>
      </c>
      <c r="CC13" s="21">
        <v>1</v>
      </c>
      <c r="CD13" s="105" t="s">
        <v>931</v>
      </c>
      <c r="CE13" s="21">
        <v>10</v>
      </c>
      <c r="CF13" s="21">
        <v>1</v>
      </c>
      <c r="CG13" s="105" t="s">
        <v>932</v>
      </c>
      <c r="CH13" s="21">
        <v>12</v>
      </c>
      <c r="CI13" s="21">
        <v>1</v>
      </c>
      <c r="CJ13" s="105" t="s">
        <v>932</v>
      </c>
      <c r="CK13" s="21">
        <v>14</v>
      </c>
      <c r="CL13" s="21">
        <v>1</v>
      </c>
      <c r="CM13" s="105" t="s">
        <v>933</v>
      </c>
      <c r="CN13" s="21">
        <v>15</v>
      </c>
      <c r="CO13" s="21">
        <v>3</v>
      </c>
      <c r="CP13" s="105" t="s">
        <v>934</v>
      </c>
      <c r="CQ13" s="87" t="s">
        <v>2997</v>
      </c>
      <c r="CR13" s="87" t="s">
        <v>2997</v>
      </c>
      <c r="CS13" s="87" t="s">
        <v>2997</v>
      </c>
      <c r="CT13" s="87" t="s">
        <v>2997</v>
      </c>
      <c r="CU13" s="87" t="s">
        <v>2997</v>
      </c>
      <c r="CV13" s="87" t="s">
        <v>2997</v>
      </c>
      <c r="CW13" s="87" t="s">
        <v>2997</v>
      </c>
      <c r="CX13" s="87" t="s">
        <v>2997</v>
      </c>
      <c r="CY13" s="87" t="s">
        <v>2997</v>
      </c>
      <c r="CZ13" s="87" t="s">
        <v>2997</v>
      </c>
      <c r="DA13" s="87" t="s">
        <v>2997</v>
      </c>
      <c r="DB13" s="87" t="s">
        <v>2997</v>
      </c>
      <c r="DC13" s="87" t="s">
        <v>2997</v>
      </c>
      <c r="DD13" s="87" t="s">
        <v>2997</v>
      </c>
      <c r="DE13" s="87" t="s">
        <v>2997</v>
      </c>
      <c r="DF13" s="21" t="e">
        <f>CHOOSE(CharGenMain!$C$209,BM13,BP13,BS13,BV13,BY13,CB13,CE13,CH13,CK13,CN13,CQ13,CT13,CW13,CZ13,DC13)</f>
        <v>#VALUE!</v>
      </c>
      <c r="DG13" s="21" t="e">
        <f>CHOOSE(CharGenMain!$C$209,BN13,BQ13,BT13,BW13,BZ13,CC13,CF13,CI13,CL13,CO13,CR13,CU13,CX13,DA13,DD13)</f>
        <v>#VALUE!</v>
      </c>
      <c r="DH13" s="21" t="e">
        <f>CHOOSE(CharGenMain!$C$209,BO13,BR13,BU13,BX13,CA13,CD13,CG13,CJ13,CM13,CP13,CS13,CV13,CY13,DB13,DE13)</f>
        <v>#VALUE!</v>
      </c>
      <c r="DI13" s="21" t="e">
        <f>CHOOSE(CharGenMain!$C$210,BM13,BP13,BS13,BV13,BY13,CB13,CE13,CH13,CK13,CN13,CQ13,CT13,CW13,CZ13,DC13)</f>
        <v>#VALUE!</v>
      </c>
      <c r="DJ13" s="21" t="e">
        <f>CHOOSE(CharGenMain!$C$210,BN13,BQ13,BT13,BW13,BZ13,CC13,CF13,CI13,CL13,CO13,CR13,CU13,CX13,DA13,DD13)</f>
        <v>#VALUE!</v>
      </c>
      <c r="DK13" s="28" t="e">
        <f>CHOOSE(CharGenMain!$C$210,BO13,BR13,BU13,BX13,CA13,CD13,CG13,CJ13,CM13,CP13,CS13,CV13,CY13,DB13,DE13)</f>
        <v>#VALUE!</v>
      </c>
    </row>
    <row r="14" spans="1:115">
      <c r="A14" s="226" t="s">
        <v>1048</v>
      </c>
      <c r="B14" s="167" t="s">
        <v>1049</v>
      </c>
      <c r="C14" s="14" t="s">
        <v>2667</v>
      </c>
      <c r="D14" s="14">
        <v>2</v>
      </c>
      <c r="E14" s="14">
        <v>5</v>
      </c>
      <c r="F14" s="14">
        <v>9</v>
      </c>
      <c r="G14" s="87">
        <v>5</v>
      </c>
      <c r="H14" s="87">
        <v>0</v>
      </c>
      <c r="I14" s="87" t="s">
        <v>1050</v>
      </c>
      <c r="J14" s="87">
        <v>6</v>
      </c>
      <c r="K14" s="87">
        <v>0</v>
      </c>
      <c r="L14" s="87" t="s">
        <v>1050</v>
      </c>
      <c r="M14" s="87">
        <v>6</v>
      </c>
      <c r="N14" s="87">
        <v>0</v>
      </c>
      <c r="O14" s="87" t="s">
        <v>936</v>
      </c>
      <c r="P14" s="87">
        <v>6</v>
      </c>
      <c r="Q14" s="87">
        <v>0</v>
      </c>
      <c r="R14" s="87" t="s">
        <v>936</v>
      </c>
      <c r="S14" s="87">
        <v>6</v>
      </c>
      <c r="T14" s="87">
        <v>0</v>
      </c>
      <c r="U14" s="87" t="s">
        <v>937</v>
      </c>
      <c r="V14" s="87" t="s">
        <v>2997</v>
      </c>
      <c r="W14" s="87" t="s">
        <v>2997</v>
      </c>
      <c r="X14" s="87" t="s">
        <v>2997</v>
      </c>
      <c r="Y14" s="87" t="s">
        <v>2997</v>
      </c>
      <c r="Z14" s="87" t="s">
        <v>2997</v>
      </c>
      <c r="AA14" s="87" t="s">
        <v>2997</v>
      </c>
      <c r="AB14" s="87" t="s">
        <v>2997</v>
      </c>
      <c r="AC14" s="87" t="s">
        <v>2997</v>
      </c>
      <c r="AD14" s="87" t="s">
        <v>2997</v>
      </c>
      <c r="AE14" s="87" t="s">
        <v>2997</v>
      </c>
      <c r="AF14" s="87" t="s">
        <v>2997</v>
      </c>
      <c r="AG14" s="87" t="s">
        <v>2997</v>
      </c>
      <c r="AH14" s="87" t="s">
        <v>2997</v>
      </c>
      <c r="AI14" s="87" t="s">
        <v>2997</v>
      </c>
      <c r="AJ14" s="87" t="s">
        <v>2997</v>
      </c>
      <c r="AK14" s="87" t="s">
        <v>2997</v>
      </c>
      <c r="AL14" s="87" t="s">
        <v>2997</v>
      </c>
      <c r="AM14" s="87" t="s">
        <v>2997</v>
      </c>
      <c r="AN14" s="87" t="s">
        <v>2997</v>
      </c>
      <c r="AO14" s="87" t="s">
        <v>2997</v>
      </c>
      <c r="AP14" s="87" t="s">
        <v>2997</v>
      </c>
      <c r="AQ14" s="87" t="s">
        <v>2997</v>
      </c>
      <c r="AR14" s="87" t="s">
        <v>2997</v>
      </c>
      <c r="AS14" s="87" t="s">
        <v>2997</v>
      </c>
      <c r="AT14" s="87" t="s">
        <v>2997</v>
      </c>
      <c r="AU14" s="87" t="s">
        <v>2997</v>
      </c>
      <c r="AV14" s="87" t="s">
        <v>2997</v>
      </c>
      <c r="AW14" s="87" t="s">
        <v>2997</v>
      </c>
      <c r="AX14" s="87" t="s">
        <v>2997</v>
      </c>
      <c r="AY14" s="87" t="s">
        <v>2997</v>
      </c>
      <c r="AZ14" s="21" t="e">
        <f>CHOOSE(CharGenMain!$C$206,G14,J14,M14,P14,S14,V14,Y14,AB14,AE14,AH14,AK14,AN14,AQ14,AT14,AW14)</f>
        <v>#VALUE!</v>
      </c>
      <c r="BA14" s="21" t="e">
        <f>CHOOSE(CharGenMain!$C$206,H14,K14,N14,Q14,T14,W14,Z14,AC14,AF14,AI14,AL14,AO14,AR14,AU14,AX14)</f>
        <v>#VALUE!</v>
      </c>
      <c r="BB14" s="21" t="e">
        <f>CHOOSE(CharGenMain!$C$206,I14,L14,O14,R14,U14,X14,AA14,AD14,AG14,AJ14,AM14,AP14,AS14,AV14,AY14)</f>
        <v>#VALUE!</v>
      </c>
      <c r="BC14" s="21" t="e">
        <f>CHOOSE(CharGenMain!$C$207,G14,J14,M14,P14,S14,V14,Y14,AB14,AE14,AH14,AK14,AN14,AQ14,AT14,AW14)</f>
        <v>#VALUE!</v>
      </c>
      <c r="BD14" s="21" t="e">
        <f>CHOOSE(CharGenMain!$C$207,H14,K14,N14,Q14,T14,W14,Z14,AC14,AF14,AI14,AL14,AO14,AR14,AU14,AX14)</f>
        <v>#VALUE!</v>
      </c>
      <c r="BE14" s="28" t="e">
        <f>CHOOSE(CharGenMain!$C$207,I14,L14,O14,R14,U14,X14,AA14,AD14,AG14,AJ14,AM14,AP14,AS14,AV14,AY14)</f>
        <v>#VALUE!</v>
      </c>
      <c r="BG14" s="226" t="s">
        <v>938</v>
      </c>
      <c r="BH14" s="167" t="s">
        <v>939</v>
      </c>
      <c r="BI14" s="14" t="s">
        <v>2667</v>
      </c>
      <c r="BJ14" s="14">
        <v>2</v>
      </c>
      <c r="BK14" s="14">
        <v>6</v>
      </c>
      <c r="BL14" s="14">
        <v>17</v>
      </c>
      <c r="BM14" s="168">
        <v>3</v>
      </c>
      <c r="BN14" s="168">
        <v>0</v>
      </c>
      <c r="BO14" s="168" t="s">
        <v>940</v>
      </c>
      <c r="BP14" s="168">
        <v>4</v>
      </c>
      <c r="BQ14" s="168">
        <v>0</v>
      </c>
      <c r="BR14" s="168" t="s">
        <v>940</v>
      </c>
      <c r="BS14" s="168">
        <v>4</v>
      </c>
      <c r="BT14" s="168">
        <v>0</v>
      </c>
      <c r="BU14" s="168" t="s">
        <v>1052</v>
      </c>
      <c r="BV14" s="168">
        <v>5</v>
      </c>
      <c r="BW14" s="168">
        <v>0</v>
      </c>
      <c r="BX14" s="168" t="s">
        <v>1052</v>
      </c>
      <c r="BY14" s="168">
        <v>6</v>
      </c>
      <c r="BZ14" s="168">
        <v>0</v>
      </c>
      <c r="CA14" s="168" t="s">
        <v>1053</v>
      </c>
      <c r="CB14" s="168">
        <v>6</v>
      </c>
      <c r="CC14" s="168">
        <v>0</v>
      </c>
      <c r="CD14" s="101" t="s">
        <v>1054</v>
      </c>
      <c r="CE14" s="87" t="s">
        <v>2997</v>
      </c>
      <c r="CF14" s="87" t="s">
        <v>2997</v>
      </c>
      <c r="CG14" s="87" t="s">
        <v>2997</v>
      </c>
      <c r="CH14" s="87" t="s">
        <v>2997</v>
      </c>
      <c r="CI14" s="87" t="s">
        <v>2997</v>
      </c>
      <c r="CJ14" s="87" t="s">
        <v>2997</v>
      </c>
      <c r="CK14" s="87" t="s">
        <v>2997</v>
      </c>
      <c r="CL14" s="87" t="s">
        <v>2997</v>
      </c>
      <c r="CM14" s="87" t="s">
        <v>2997</v>
      </c>
      <c r="CN14" s="87" t="s">
        <v>2997</v>
      </c>
      <c r="CO14" s="87" t="s">
        <v>2997</v>
      </c>
      <c r="CP14" s="87" t="s">
        <v>2997</v>
      </c>
      <c r="CQ14" s="87" t="s">
        <v>2997</v>
      </c>
      <c r="CR14" s="87" t="s">
        <v>2997</v>
      </c>
      <c r="CS14" s="87" t="s">
        <v>2997</v>
      </c>
      <c r="CT14" s="87" t="s">
        <v>2997</v>
      </c>
      <c r="CU14" s="87" t="s">
        <v>2997</v>
      </c>
      <c r="CV14" s="87" t="s">
        <v>2997</v>
      </c>
      <c r="CW14" s="87" t="s">
        <v>2997</v>
      </c>
      <c r="CX14" s="87" t="s">
        <v>2997</v>
      </c>
      <c r="CY14" s="87" t="s">
        <v>2997</v>
      </c>
      <c r="CZ14" s="87" t="s">
        <v>2997</v>
      </c>
      <c r="DA14" s="87" t="s">
        <v>2997</v>
      </c>
      <c r="DB14" s="87" t="s">
        <v>2997</v>
      </c>
      <c r="DC14" s="87" t="s">
        <v>2997</v>
      </c>
      <c r="DD14" s="87" t="s">
        <v>2997</v>
      </c>
      <c r="DE14" s="87" t="s">
        <v>2997</v>
      </c>
      <c r="DF14" s="21" t="e">
        <f>CHOOSE(CharGenMain!$C$209,BM14,BP14,BS14,BV14,BY14,CB14,CE14,CH14,CK14,CN14,CQ14,CT14,CW14,CZ14,DC14)</f>
        <v>#VALUE!</v>
      </c>
      <c r="DG14" s="21" t="e">
        <f>CHOOSE(CharGenMain!$C$209,BN14,BQ14,BT14,BW14,BZ14,CC14,CF14,CI14,CL14,CO14,CR14,CU14,CX14,DA14,DD14)</f>
        <v>#VALUE!</v>
      </c>
      <c r="DH14" s="21" t="e">
        <f>CHOOSE(CharGenMain!$C$209,BO14,BR14,BU14,BX14,CA14,CD14,CG14,CJ14,CM14,CP14,CS14,CV14,CY14,DB14,DE14)</f>
        <v>#VALUE!</v>
      </c>
      <c r="DI14" s="21" t="e">
        <f>CHOOSE(CharGenMain!$C$210,BM14,BP14,BS14,BV14,BY14,CB14,CE14,CH14,CK14,CN14,CQ14,CT14,CW14,CZ14,DC14)</f>
        <v>#VALUE!</v>
      </c>
      <c r="DJ14" s="21" t="e">
        <f>CHOOSE(CharGenMain!$C$210,BN14,BQ14,BT14,BW14,BZ14,CC14,CF14,CI14,CL14,CO14,CR14,CU14,CX14,DA14,DD14)</f>
        <v>#VALUE!</v>
      </c>
      <c r="DK14" s="28" t="e">
        <f>CHOOSE(CharGenMain!$C$210,BO14,BR14,BU14,BX14,CA14,CD14,CG14,CJ14,CM14,CP14,CS14,CV14,CY14,DB14,DE14)</f>
        <v>#VALUE!</v>
      </c>
    </row>
    <row r="15" spans="1:115">
      <c r="A15" s="205" t="s">
        <v>1055</v>
      </c>
      <c r="B15" s="167" t="s">
        <v>1056</v>
      </c>
      <c r="C15" s="14" t="s">
        <v>2279</v>
      </c>
      <c r="D15" s="14">
        <v>2</v>
      </c>
      <c r="E15" s="14">
        <v>6</v>
      </c>
      <c r="F15" s="14">
        <v>15</v>
      </c>
      <c r="G15" s="168">
        <v>5</v>
      </c>
      <c r="H15" s="168">
        <v>0</v>
      </c>
      <c r="I15" s="168" t="s">
        <v>1215</v>
      </c>
      <c r="J15" s="168">
        <v>6</v>
      </c>
      <c r="K15" s="168">
        <v>0</v>
      </c>
      <c r="L15" s="168" t="s">
        <v>1215</v>
      </c>
      <c r="M15" s="168">
        <v>6</v>
      </c>
      <c r="N15" s="168">
        <v>0</v>
      </c>
      <c r="O15" s="168" t="s">
        <v>1057</v>
      </c>
      <c r="P15" s="168">
        <v>6</v>
      </c>
      <c r="Q15" s="168">
        <v>0</v>
      </c>
      <c r="R15" s="168" t="s">
        <v>1058</v>
      </c>
      <c r="S15" s="168">
        <v>6</v>
      </c>
      <c r="T15" s="168">
        <v>0</v>
      </c>
      <c r="U15" s="168" t="s">
        <v>1058</v>
      </c>
      <c r="V15" s="168">
        <v>6</v>
      </c>
      <c r="W15" s="168">
        <v>0</v>
      </c>
      <c r="X15" s="168" t="s">
        <v>1058</v>
      </c>
      <c r="Y15" s="87" t="s">
        <v>2997</v>
      </c>
      <c r="Z15" s="87" t="s">
        <v>2997</v>
      </c>
      <c r="AA15" s="87" t="s">
        <v>2997</v>
      </c>
      <c r="AB15" s="87" t="s">
        <v>2997</v>
      </c>
      <c r="AC15" s="87" t="s">
        <v>2997</v>
      </c>
      <c r="AD15" s="87" t="s">
        <v>2997</v>
      </c>
      <c r="AE15" s="87" t="s">
        <v>2997</v>
      </c>
      <c r="AF15" s="87" t="s">
        <v>2997</v>
      </c>
      <c r="AG15" s="87" t="s">
        <v>2997</v>
      </c>
      <c r="AH15" s="87" t="s">
        <v>2997</v>
      </c>
      <c r="AI15" s="87" t="s">
        <v>2997</v>
      </c>
      <c r="AJ15" s="87" t="s">
        <v>2997</v>
      </c>
      <c r="AK15" s="87" t="s">
        <v>2997</v>
      </c>
      <c r="AL15" s="87" t="s">
        <v>2997</v>
      </c>
      <c r="AM15" s="87" t="s">
        <v>2997</v>
      </c>
      <c r="AN15" s="87" t="s">
        <v>2997</v>
      </c>
      <c r="AO15" s="87" t="s">
        <v>2997</v>
      </c>
      <c r="AP15" s="87" t="s">
        <v>2997</v>
      </c>
      <c r="AQ15" s="87" t="s">
        <v>2997</v>
      </c>
      <c r="AR15" s="87" t="s">
        <v>2997</v>
      </c>
      <c r="AS15" s="87" t="s">
        <v>2997</v>
      </c>
      <c r="AT15" s="87" t="s">
        <v>2997</v>
      </c>
      <c r="AU15" s="87" t="s">
        <v>2997</v>
      </c>
      <c r="AV15" s="87" t="s">
        <v>2997</v>
      </c>
      <c r="AW15" s="87" t="s">
        <v>2997</v>
      </c>
      <c r="AX15" s="87" t="s">
        <v>2997</v>
      </c>
      <c r="AY15" s="87" t="s">
        <v>2997</v>
      </c>
      <c r="AZ15" s="21" t="e">
        <f>CHOOSE(CharGenMain!$C$206,G15,J15,M15,P15,S15,V15,Y15,AB15,AE15,AH15,AK15,AN15,AQ15,AT15,AW15)</f>
        <v>#VALUE!</v>
      </c>
      <c r="BA15" s="21" t="e">
        <f>CHOOSE(CharGenMain!$C$206,H15,K15,N15,Q15,T15,W15,Z15,AC15,AF15,AI15,AL15,AO15,AR15,AU15,AX15)</f>
        <v>#VALUE!</v>
      </c>
      <c r="BB15" s="21" t="e">
        <f>CHOOSE(CharGenMain!$C$206,I15,L15,O15,R15,U15,X15,AA15,AD15,AG15,AJ15,AM15,AP15,AS15,AV15,AY15)</f>
        <v>#VALUE!</v>
      </c>
      <c r="BC15" s="21" t="e">
        <f>CHOOSE(CharGenMain!$C$207,G15,J15,M15,P15,S15,V15,Y15,AB15,AE15,AH15,AK15,AN15,AQ15,AT15,AW15)</f>
        <v>#VALUE!</v>
      </c>
      <c r="BD15" s="21" t="e">
        <f>CHOOSE(CharGenMain!$C$207,H15,K15,N15,Q15,T15,W15,Z15,AC15,AF15,AI15,AL15,AO15,AR15,AU15,AX15)</f>
        <v>#VALUE!</v>
      </c>
      <c r="BE15" s="28" t="e">
        <f>CHOOSE(CharGenMain!$C$207,I15,L15,O15,R15,U15,X15,AA15,AD15,AG15,AJ15,AM15,AP15,AS15,AV15,AY15)</f>
        <v>#VALUE!</v>
      </c>
      <c r="BG15" s="226" t="s">
        <v>1059</v>
      </c>
      <c r="BH15" s="14" t="s">
        <v>1060</v>
      </c>
      <c r="BI15" s="14" t="s">
        <v>2667</v>
      </c>
      <c r="BJ15" s="14">
        <v>2</v>
      </c>
      <c r="BK15" s="14">
        <v>4</v>
      </c>
      <c r="BL15" s="14">
        <v>12</v>
      </c>
      <c r="BM15" s="21">
        <v>3</v>
      </c>
      <c r="BN15" s="21">
        <v>0</v>
      </c>
      <c r="BO15" s="21" t="s">
        <v>1215</v>
      </c>
      <c r="BP15" s="21">
        <v>4</v>
      </c>
      <c r="BQ15" s="21">
        <v>0</v>
      </c>
      <c r="BR15" s="21" t="s">
        <v>1061</v>
      </c>
      <c r="BS15" s="21">
        <v>5</v>
      </c>
      <c r="BT15" s="21">
        <v>0</v>
      </c>
      <c r="BU15" s="21" t="s">
        <v>1062</v>
      </c>
      <c r="BV15" s="21">
        <v>6</v>
      </c>
      <c r="BW15" s="21">
        <v>0</v>
      </c>
      <c r="BX15" s="21" t="s">
        <v>1062</v>
      </c>
      <c r="BY15" s="87" t="s">
        <v>2997</v>
      </c>
      <c r="BZ15" s="87" t="s">
        <v>2997</v>
      </c>
      <c r="CA15" s="87" t="s">
        <v>2997</v>
      </c>
      <c r="CB15" s="87" t="s">
        <v>2997</v>
      </c>
      <c r="CC15" s="87" t="s">
        <v>2997</v>
      </c>
      <c r="CD15" s="87" t="s">
        <v>2997</v>
      </c>
      <c r="CE15" s="87" t="s">
        <v>2997</v>
      </c>
      <c r="CF15" s="87" t="s">
        <v>2997</v>
      </c>
      <c r="CG15" s="87" t="s">
        <v>2997</v>
      </c>
      <c r="CH15" s="87" t="s">
        <v>2997</v>
      </c>
      <c r="CI15" s="87" t="s">
        <v>2997</v>
      </c>
      <c r="CJ15" s="87" t="s">
        <v>2997</v>
      </c>
      <c r="CK15" s="87" t="s">
        <v>2997</v>
      </c>
      <c r="CL15" s="87" t="s">
        <v>2997</v>
      </c>
      <c r="CM15" s="87" t="s">
        <v>2997</v>
      </c>
      <c r="CN15" s="87" t="s">
        <v>2997</v>
      </c>
      <c r="CO15" s="87" t="s">
        <v>2997</v>
      </c>
      <c r="CP15" s="87" t="s">
        <v>2997</v>
      </c>
      <c r="CQ15" s="87" t="s">
        <v>2997</v>
      </c>
      <c r="CR15" s="87" t="s">
        <v>2997</v>
      </c>
      <c r="CS15" s="87" t="s">
        <v>2997</v>
      </c>
      <c r="CT15" s="87" t="s">
        <v>2997</v>
      </c>
      <c r="CU15" s="87" t="s">
        <v>2997</v>
      </c>
      <c r="CV15" s="87" t="s">
        <v>2997</v>
      </c>
      <c r="CW15" s="87" t="s">
        <v>2997</v>
      </c>
      <c r="CX15" s="87" t="s">
        <v>2997</v>
      </c>
      <c r="CY15" s="87" t="s">
        <v>2997</v>
      </c>
      <c r="CZ15" s="87" t="s">
        <v>2997</v>
      </c>
      <c r="DA15" s="87" t="s">
        <v>2997</v>
      </c>
      <c r="DB15" s="87" t="s">
        <v>2997</v>
      </c>
      <c r="DC15" s="87" t="s">
        <v>2997</v>
      </c>
      <c r="DD15" s="87" t="s">
        <v>2997</v>
      </c>
      <c r="DE15" s="87" t="s">
        <v>2997</v>
      </c>
      <c r="DF15" s="21" t="e">
        <f>CHOOSE(CharGenMain!$C$209,BM15,BP15,BS15,BV15,BY15,CB15,CE15,CH15,CK15,CN15,CQ15,CT15,CW15,CZ15,DC15)</f>
        <v>#VALUE!</v>
      </c>
      <c r="DG15" s="21" t="e">
        <f>CHOOSE(CharGenMain!$C$209,BN15,BQ15,BT15,BW15,BZ15,CC15,CF15,CI15,CL15,CO15,CR15,CU15,CX15,DA15,DD15)</f>
        <v>#VALUE!</v>
      </c>
      <c r="DH15" s="21" t="e">
        <f>CHOOSE(CharGenMain!$C$209,BO15,BR15,BU15,BX15,CA15,CD15,CG15,CJ15,CM15,CP15,CS15,CV15,CY15,DB15,DE15)</f>
        <v>#VALUE!</v>
      </c>
      <c r="DI15" s="21" t="e">
        <f>CHOOSE(CharGenMain!$C$210,BM15,BP15,BS15,BV15,BY15,CB15,CE15,CH15,CK15,CN15,CQ15,CT15,CW15,CZ15,DC15)</f>
        <v>#VALUE!</v>
      </c>
      <c r="DJ15" s="21" t="e">
        <f>CHOOSE(CharGenMain!$C$210,BN15,BQ15,BT15,BW15,BZ15,CC15,CF15,CI15,CL15,CO15,CR15,CU15,CX15,DA15,DD15)</f>
        <v>#VALUE!</v>
      </c>
      <c r="DK15" s="28" t="e">
        <f>CHOOSE(CharGenMain!$C$210,BO15,BR15,BU15,BX15,CA15,CD15,CG15,CJ15,CM15,CP15,CS15,CV15,CY15,DB15,DE15)</f>
        <v>#VALUE!</v>
      </c>
    </row>
    <row r="16" spans="1:115">
      <c r="A16" s="205" t="s">
        <v>1063</v>
      </c>
      <c r="B16" s="167" t="s">
        <v>1056</v>
      </c>
      <c r="C16" s="14" t="s">
        <v>2279</v>
      </c>
      <c r="D16" s="14">
        <v>3</v>
      </c>
      <c r="E16" s="14">
        <v>6</v>
      </c>
      <c r="F16" s="14">
        <v>15</v>
      </c>
      <c r="G16" s="168">
        <v>13</v>
      </c>
      <c r="H16" s="168">
        <v>1</v>
      </c>
      <c r="I16" s="168" t="s">
        <v>1215</v>
      </c>
      <c r="J16" s="168">
        <v>13</v>
      </c>
      <c r="K16" s="168">
        <v>1</v>
      </c>
      <c r="L16" s="207" t="s">
        <v>2238</v>
      </c>
      <c r="M16" s="168">
        <v>14</v>
      </c>
      <c r="N16" s="168">
        <v>2</v>
      </c>
      <c r="O16" s="207" t="s">
        <v>2238</v>
      </c>
      <c r="P16" s="168">
        <v>14</v>
      </c>
      <c r="Q16" s="168">
        <v>2</v>
      </c>
      <c r="R16" s="207" t="s">
        <v>2239</v>
      </c>
      <c r="S16" s="168">
        <v>14</v>
      </c>
      <c r="T16" s="168">
        <v>2</v>
      </c>
      <c r="U16" s="207" t="s">
        <v>1064</v>
      </c>
      <c r="V16" s="168">
        <v>14</v>
      </c>
      <c r="W16" s="168">
        <v>2</v>
      </c>
      <c r="X16" s="207" t="s">
        <v>1064</v>
      </c>
      <c r="Y16" s="87" t="s">
        <v>2997</v>
      </c>
      <c r="Z16" s="87" t="s">
        <v>2997</v>
      </c>
      <c r="AA16" s="87" t="s">
        <v>2997</v>
      </c>
      <c r="AB16" s="87" t="s">
        <v>2997</v>
      </c>
      <c r="AC16" s="87" t="s">
        <v>2997</v>
      </c>
      <c r="AD16" s="87" t="s">
        <v>2997</v>
      </c>
      <c r="AE16" s="87" t="s">
        <v>2997</v>
      </c>
      <c r="AF16" s="87" t="s">
        <v>2997</v>
      </c>
      <c r="AG16" s="87" t="s">
        <v>2997</v>
      </c>
      <c r="AH16" s="87" t="s">
        <v>2997</v>
      </c>
      <c r="AI16" s="87" t="s">
        <v>2997</v>
      </c>
      <c r="AJ16" s="87" t="s">
        <v>2997</v>
      </c>
      <c r="AK16" s="87" t="s">
        <v>2997</v>
      </c>
      <c r="AL16" s="87" t="s">
        <v>2997</v>
      </c>
      <c r="AM16" s="87" t="s">
        <v>2997</v>
      </c>
      <c r="AN16" s="87" t="s">
        <v>2997</v>
      </c>
      <c r="AO16" s="87" t="s">
        <v>2997</v>
      </c>
      <c r="AP16" s="87" t="s">
        <v>2997</v>
      </c>
      <c r="AQ16" s="87" t="s">
        <v>2997</v>
      </c>
      <c r="AR16" s="87" t="s">
        <v>2997</v>
      </c>
      <c r="AS16" s="87" t="s">
        <v>2997</v>
      </c>
      <c r="AT16" s="87" t="s">
        <v>2997</v>
      </c>
      <c r="AU16" s="87" t="s">
        <v>2997</v>
      </c>
      <c r="AV16" s="87" t="s">
        <v>2997</v>
      </c>
      <c r="AW16" s="87" t="s">
        <v>2997</v>
      </c>
      <c r="AX16" s="87" t="s">
        <v>2997</v>
      </c>
      <c r="AY16" s="87" t="s">
        <v>2997</v>
      </c>
      <c r="AZ16" s="21" t="e">
        <f>CHOOSE(CharGenMain!$C$206,G16,J16,M16,P16,S16,V16,Y16,AB16,AE16,AH16,AK16,AN16,AQ16,AT16,AW16)</f>
        <v>#VALUE!</v>
      </c>
      <c r="BA16" s="21" t="e">
        <f>CHOOSE(CharGenMain!$C$206,H16,K16,N16,Q16,T16,W16,Z16,AC16,AF16,AI16,AL16,AO16,AR16,AU16,AX16)</f>
        <v>#VALUE!</v>
      </c>
      <c r="BB16" s="21" t="e">
        <f>CHOOSE(CharGenMain!$C$206,I16,L16,O16,R16,U16,X16,AA16,AD16,AG16,AJ16,AM16,AP16,AS16,AV16,AY16)</f>
        <v>#VALUE!</v>
      </c>
      <c r="BC16" s="21" t="e">
        <f>CHOOSE(CharGenMain!$C$207,G16,J16,M16,P16,S16,V16,Y16,AB16,AE16,AH16,AK16,AN16,AQ16,AT16,AW16)</f>
        <v>#VALUE!</v>
      </c>
      <c r="BD16" s="21" t="e">
        <f>CHOOSE(CharGenMain!$C$207,H16,K16,N16,Q16,T16,W16,Z16,AC16,AF16,AI16,AL16,AO16,AR16,AU16,AX16)</f>
        <v>#VALUE!</v>
      </c>
      <c r="BE16" s="28" t="e">
        <f>CHOOSE(CharGenMain!$C$207,I16,L16,O16,R16,U16,X16,AA16,AD16,AG16,AJ16,AM16,AP16,AS16,AV16,AY16)</f>
        <v>#VALUE!</v>
      </c>
      <c r="BG16" s="226" t="s">
        <v>1065</v>
      </c>
      <c r="BH16" s="14" t="s">
        <v>2319</v>
      </c>
      <c r="BI16" s="14" t="s">
        <v>2667</v>
      </c>
      <c r="BJ16" s="14">
        <v>2</v>
      </c>
      <c r="BK16" s="14">
        <v>8</v>
      </c>
      <c r="BL16" s="14">
        <v>14</v>
      </c>
      <c r="BM16" s="21">
        <v>0</v>
      </c>
      <c r="BN16" s="21">
        <v>1</v>
      </c>
      <c r="BO16" s="21" t="s">
        <v>1066</v>
      </c>
      <c r="BP16" s="21">
        <v>0</v>
      </c>
      <c r="BQ16" s="21">
        <v>2</v>
      </c>
      <c r="BR16" s="21" t="s">
        <v>1066</v>
      </c>
      <c r="BS16" s="21">
        <v>0</v>
      </c>
      <c r="BT16" s="21">
        <v>3</v>
      </c>
      <c r="BU16" s="21" t="s">
        <v>1066</v>
      </c>
      <c r="BV16" s="21">
        <v>0</v>
      </c>
      <c r="BW16" s="21">
        <v>4</v>
      </c>
      <c r="BX16" s="21" t="s">
        <v>1066</v>
      </c>
      <c r="BY16" s="21">
        <v>0</v>
      </c>
      <c r="BZ16" s="21">
        <v>5</v>
      </c>
      <c r="CA16" s="21" t="s">
        <v>1066</v>
      </c>
      <c r="CB16" s="21">
        <v>0</v>
      </c>
      <c r="CC16" s="21">
        <v>6</v>
      </c>
      <c r="CD16" s="21" t="s">
        <v>1066</v>
      </c>
      <c r="CE16" s="21">
        <v>0</v>
      </c>
      <c r="CF16" s="21">
        <v>7</v>
      </c>
      <c r="CG16" s="21" t="s">
        <v>1066</v>
      </c>
      <c r="CH16" s="21">
        <v>0</v>
      </c>
      <c r="CI16" s="21">
        <v>8</v>
      </c>
      <c r="CJ16" s="21" t="s">
        <v>1066</v>
      </c>
      <c r="CK16" s="87" t="s">
        <v>2997</v>
      </c>
      <c r="CL16" s="87" t="s">
        <v>2997</v>
      </c>
      <c r="CM16" s="87" t="s">
        <v>2997</v>
      </c>
      <c r="CN16" s="87" t="s">
        <v>2997</v>
      </c>
      <c r="CO16" s="87" t="s">
        <v>2997</v>
      </c>
      <c r="CP16" s="87" t="s">
        <v>2997</v>
      </c>
      <c r="CQ16" s="87" t="s">
        <v>2997</v>
      </c>
      <c r="CR16" s="87" t="s">
        <v>2997</v>
      </c>
      <c r="CS16" s="87" t="s">
        <v>2997</v>
      </c>
      <c r="CT16" s="87" t="s">
        <v>2997</v>
      </c>
      <c r="CU16" s="87" t="s">
        <v>2997</v>
      </c>
      <c r="CV16" s="87" t="s">
        <v>2997</v>
      </c>
      <c r="CW16" s="87" t="s">
        <v>2997</v>
      </c>
      <c r="CX16" s="87" t="s">
        <v>2997</v>
      </c>
      <c r="CY16" s="87" t="s">
        <v>2997</v>
      </c>
      <c r="CZ16" s="87" t="s">
        <v>2997</v>
      </c>
      <c r="DA16" s="87" t="s">
        <v>2997</v>
      </c>
      <c r="DB16" s="87" t="s">
        <v>2997</v>
      </c>
      <c r="DC16" s="87" t="s">
        <v>2997</v>
      </c>
      <c r="DD16" s="87" t="s">
        <v>2997</v>
      </c>
      <c r="DE16" s="87" t="s">
        <v>2997</v>
      </c>
      <c r="DF16" s="21" t="e">
        <f>CHOOSE(CharGenMain!$C$209,BM16,BP16,BS16,BV16,BY16,CB16,CE16,CH16,CK16,CN16,CQ16,CT16,CW16,CZ16,DC16)</f>
        <v>#VALUE!</v>
      </c>
      <c r="DG16" s="21" t="e">
        <f>CHOOSE(CharGenMain!$C$209,BN16,BQ16,BT16,BW16,BZ16,CC16,CF16,CI16,CL16,CO16,CR16,CU16,CX16,DA16,DD16)</f>
        <v>#VALUE!</v>
      </c>
      <c r="DH16" s="21" t="e">
        <f>CHOOSE(CharGenMain!$C$209,BO16,BR16,BU16,BX16,CA16,CD16,CG16,CJ16,CM16,CP16,CS16,CV16,CY16,DB16,DE16)</f>
        <v>#VALUE!</v>
      </c>
      <c r="DI16" s="21" t="e">
        <f>CHOOSE(CharGenMain!$C$210,BM16,BP16,BS16,BV16,BY16,CB16,CE16,CH16,CK16,CN16,CQ16,CT16,CW16,CZ16,DC16)</f>
        <v>#VALUE!</v>
      </c>
      <c r="DJ16" s="21" t="e">
        <f>CHOOSE(CharGenMain!$C$210,BN16,BQ16,BT16,BW16,BZ16,CC16,CF16,CI16,CL16,CO16,CR16,CU16,CX16,DA16,DD16)</f>
        <v>#VALUE!</v>
      </c>
      <c r="DK16" s="28" t="e">
        <f>CHOOSE(CharGenMain!$C$210,BO16,BR16,BU16,BX16,CA16,CD16,CG16,CJ16,CM16,CP16,CS16,CV16,CY16,DB16,DE16)</f>
        <v>#VALUE!</v>
      </c>
    </row>
    <row r="17" spans="1:115">
      <c r="A17" s="20" t="s">
        <v>1067</v>
      </c>
      <c r="B17" s="167" t="s">
        <v>1068</v>
      </c>
      <c r="C17" s="14" t="s">
        <v>2279</v>
      </c>
      <c r="D17" s="14">
        <v>4</v>
      </c>
      <c r="E17" s="14">
        <v>7</v>
      </c>
      <c r="F17" s="14">
        <v>24</v>
      </c>
      <c r="G17" s="87">
        <v>10</v>
      </c>
      <c r="H17" s="87">
        <v>0</v>
      </c>
      <c r="I17" s="87" t="s">
        <v>1069</v>
      </c>
      <c r="J17" s="87">
        <v>10</v>
      </c>
      <c r="K17" s="87">
        <v>0</v>
      </c>
      <c r="L17" s="87" t="s">
        <v>950</v>
      </c>
      <c r="M17" s="87">
        <v>11</v>
      </c>
      <c r="N17" s="87">
        <v>0</v>
      </c>
      <c r="O17" s="87" t="s">
        <v>951</v>
      </c>
      <c r="P17" s="87">
        <v>12</v>
      </c>
      <c r="Q17" s="87">
        <v>0</v>
      </c>
      <c r="R17" s="87" t="s">
        <v>862</v>
      </c>
      <c r="S17" s="87">
        <v>13</v>
      </c>
      <c r="T17" s="87">
        <v>0</v>
      </c>
      <c r="U17" s="87" t="s">
        <v>862</v>
      </c>
      <c r="V17" s="87">
        <v>14</v>
      </c>
      <c r="W17" s="87">
        <v>0</v>
      </c>
      <c r="X17" s="87" t="s">
        <v>862</v>
      </c>
      <c r="Y17" s="87">
        <v>15</v>
      </c>
      <c r="Z17" s="87">
        <v>0</v>
      </c>
      <c r="AA17" s="87" t="s">
        <v>862</v>
      </c>
      <c r="AB17" s="87" t="s">
        <v>2997</v>
      </c>
      <c r="AC17" s="87" t="s">
        <v>2997</v>
      </c>
      <c r="AD17" s="87" t="s">
        <v>2997</v>
      </c>
      <c r="AE17" s="87" t="s">
        <v>2997</v>
      </c>
      <c r="AF17" s="87" t="s">
        <v>2997</v>
      </c>
      <c r="AG17" s="87" t="s">
        <v>2997</v>
      </c>
      <c r="AH17" s="87" t="s">
        <v>2997</v>
      </c>
      <c r="AI17" s="87" t="s">
        <v>2997</v>
      </c>
      <c r="AJ17" s="87" t="s">
        <v>2997</v>
      </c>
      <c r="AK17" s="87" t="s">
        <v>2997</v>
      </c>
      <c r="AL17" s="87" t="s">
        <v>2997</v>
      </c>
      <c r="AM17" s="87" t="s">
        <v>2997</v>
      </c>
      <c r="AN17" s="87" t="s">
        <v>2997</v>
      </c>
      <c r="AO17" s="87" t="s">
        <v>2997</v>
      </c>
      <c r="AP17" s="87" t="s">
        <v>2997</v>
      </c>
      <c r="AQ17" s="87" t="s">
        <v>2997</v>
      </c>
      <c r="AR17" s="87" t="s">
        <v>2997</v>
      </c>
      <c r="AS17" s="87" t="s">
        <v>2997</v>
      </c>
      <c r="AT17" s="87" t="s">
        <v>2997</v>
      </c>
      <c r="AU17" s="87" t="s">
        <v>2997</v>
      </c>
      <c r="AV17" s="87" t="s">
        <v>2997</v>
      </c>
      <c r="AW17" s="87" t="s">
        <v>2997</v>
      </c>
      <c r="AX17" s="87" t="s">
        <v>2997</v>
      </c>
      <c r="AY17" s="87" t="s">
        <v>2997</v>
      </c>
      <c r="AZ17" s="21" t="e">
        <f>CHOOSE(CharGenMain!$C$206,G17,J17,M17,P17,S17,V17,Y17,AB17,AE17,AH17,AK17,AN17,AQ17,AT17,AW17)</f>
        <v>#VALUE!</v>
      </c>
      <c r="BA17" s="21" t="e">
        <f>CHOOSE(CharGenMain!$C$206,H17,K17,N17,Q17,T17,W17,Z17,AC17,AF17,AI17,AL17,AO17,AR17,AU17,AX17)</f>
        <v>#VALUE!</v>
      </c>
      <c r="BB17" s="21" t="e">
        <f>CHOOSE(CharGenMain!$C$206,I17,L17,O17,R17,U17,X17,AA17,AD17,AG17,AJ17,AM17,AP17,AS17,AV17,AY17)</f>
        <v>#VALUE!</v>
      </c>
      <c r="BC17" s="21" t="e">
        <f>CHOOSE(CharGenMain!$C$207,G17,J17,M17,P17,S17,V17,Y17,AB17,AE17,AH17,AK17,AN17,AQ17,AT17,AW17)</f>
        <v>#VALUE!</v>
      </c>
      <c r="BD17" s="21" t="e">
        <f>CHOOSE(CharGenMain!$C$207,H17,K17,N17,Q17,T17,W17,Z17,AC17,AF17,AI17,AL17,AO17,AR17,AU17,AX17)</f>
        <v>#VALUE!</v>
      </c>
      <c r="BE17" s="28" t="e">
        <f>CHOOSE(CharGenMain!$C$207,I17,L17,O17,R17,U17,X17,AA17,AD17,AG17,AJ17,AM17,AP17,AS17,AV17,AY17)</f>
        <v>#VALUE!</v>
      </c>
      <c r="BG17" s="226" t="s">
        <v>863</v>
      </c>
      <c r="BH17" s="14" t="s">
        <v>1400</v>
      </c>
      <c r="BI17" s="14" t="s">
        <v>2223</v>
      </c>
      <c r="BJ17" s="14">
        <v>1</v>
      </c>
      <c r="BK17" s="14">
        <v>7</v>
      </c>
      <c r="BL17" s="14">
        <v>8</v>
      </c>
      <c r="BM17" s="21" t="s">
        <v>864</v>
      </c>
      <c r="BN17" s="21">
        <v>0</v>
      </c>
      <c r="BO17" s="21" t="s">
        <v>865</v>
      </c>
      <c r="BP17" s="21" t="s">
        <v>1082</v>
      </c>
      <c r="BQ17" s="21">
        <v>0</v>
      </c>
      <c r="BR17" s="21" t="s">
        <v>865</v>
      </c>
      <c r="BS17" s="21" t="s">
        <v>1082</v>
      </c>
      <c r="BT17" s="21">
        <v>0</v>
      </c>
      <c r="BU17" s="21" t="s">
        <v>955</v>
      </c>
      <c r="BV17" s="21" t="s">
        <v>1082</v>
      </c>
      <c r="BW17" s="21">
        <v>0</v>
      </c>
      <c r="BX17" s="21" t="s">
        <v>1088</v>
      </c>
      <c r="BY17" s="21" t="s">
        <v>1082</v>
      </c>
      <c r="BZ17" s="21">
        <v>0</v>
      </c>
      <c r="CA17" s="21" t="s">
        <v>1088</v>
      </c>
      <c r="CB17" s="21" t="s">
        <v>1203</v>
      </c>
      <c r="CC17" s="21">
        <v>0</v>
      </c>
      <c r="CD17" s="21" t="s">
        <v>1088</v>
      </c>
      <c r="CE17" s="21" t="s">
        <v>1204</v>
      </c>
      <c r="CF17" s="21">
        <v>0</v>
      </c>
      <c r="CG17" s="21" t="s">
        <v>1088</v>
      </c>
      <c r="CH17" s="87" t="s">
        <v>2997</v>
      </c>
      <c r="CI17" s="87" t="s">
        <v>2997</v>
      </c>
      <c r="CJ17" s="87" t="s">
        <v>2997</v>
      </c>
      <c r="CK17" s="87" t="s">
        <v>2997</v>
      </c>
      <c r="CL17" s="87" t="s">
        <v>2997</v>
      </c>
      <c r="CM17" s="87" t="s">
        <v>2997</v>
      </c>
      <c r="CN17" s="87" t="s">
        <v>2997</v>
      </c>
      <c r="CO17" s="87" t="s">
        <v>2997</v>
      </c>
      <c r="CP17" s="87" t="s">
        <v>2997</v>
      </c>
      <c r="CQ17" s="87" t="s">
        <v>2997</v>
      </c>
      <c r="CR17" s="87" t="s">
        <v>2997</v>
      </c>
      <c r="CS17" s="87" t="s">
        <v>2997</v>
      </c>
      <c r="CT17" s="87" t="s">
        <v>2997</v>
      </c>
      <c r="CU17" s="87" t="s">
        <v>2997</v>
      </c>
      <c r="CV17" s="87" t="s">
        <v>2997</v>
      </c>
      <c r="CW17" s="87" t="s">
        <v>2997</v>
      </c>
      <c r="CX17" s="87" t="s">
        <v>2997</v>
      </c>
      <c r="CY17" s="87" t="s">
        <v>2997</v>
      </c>
      <c r="CZ17" s="87" t="s">
        <v>2997</v>
      </c>
      <c r="DA17" s="87" t="s">
        <v>2997</v>
      </c>
      <c r="DB17" s="87" t="s">
        <v>2997</v>
      </c>
      <c r="DC17" s="87" t="s">
        <v>2997</v>
      </c>
      <c r="DD17" s="87" t="s">
        <v>2997</v>
      </c>
      <c r="DE17" s="87" t="s">
        <v>2997</v>
      </c>
      <c r="DF17" s="21" t="e">
        <f>CHOOSE(CharGenMain!$C$209,BM17,BP17,BS17,BV17,BY17,CB17,CE17,CH17,CK17,CN17,CQ17,CT17,CW17,CZ17,DC17)</f>
        <v>#VALUE!</v>
      </c>
      <c r="DG17" s="21" t="e">
        <f>CHOOSE(CharGenMain!$C$209,BN17,BQ17,BT17,BW17,BZ17,CC17,CF17,CI17,CL17,CO17,CR17,CU17,CX17,DA17,DD17)</f>
        <v>#VALUE!</v>
      </c>
      <c r="DH17" s="21" t="e">
        <f>CHOOSE(CharGenMain!$C$209,BO17,BR17,BU17,BX17,CA17,CD17,CG17,CJ17,CM17,CP17,CS17,CV17,CY17,DB17,DE17)</f>
        <v>#VALUE!</v>
      </c>
      <c r="DI17" s="21" t="e">
        <f>CHOOSE(CharGenMain!$C$210,BM17,BP17,BS17,BV17,BY17,CB17,CE17,CH17,CK17,CN17,CQ17,CT17,CW17,CZ17,DC17)</f>
        <v>#VALUE!</v>
      </c>
      <c r="DJ17" s="21" t="e">
        <f>CHOOSE(CharGenMain!$C$210,BN17,BQ17,BT17,BW17,BZ17,CC17,CF17,CI17,CL17,CO17,CR17,CU17,CX17,DA17,DD17)</f>
        <v>#VALUE!</v>
      </c>
      <c r="DK17" s="28" t="e">
        <f>CHOOSE(CharGenMain!$C$210,BO17,BR17,BU17,BX17,CA17,CD17,CG17,CJ17,CM17,CP17,CS17,CV17,CY17,DB17,DE17)</f>
        <v>#VALUE!</v>
      </c>
    </row>
    <row r="18" spans="1:115">
      <c r="A18" s="20" t="s">
        <v>1157</v>
      </c>
      <c r="B18" s="167" t="s">
        <v>1158</v>
      </c>
      <c r="C18" s="14" t="s">
        <v>2279</v>
      </c>
      <c r="D18" s="14">
        <v>1</v>
      </c>
      <c r="E18" s="14">
        <v>7</v>
      </c>
      <c r="F18" s="14">
        <v>8</v>
      </c>
      <c r="G18" s="87">
        <v>9</v>
      </c>
      <c r="H18" s="87">
        <v>0</v>
      </c>
      <c r="I18" s="87" t="s">
        <v>1215</v>
      </c>
      <c r="J18" s="87">
        <v>10</v>
      </c>
      <c r="K18" s="87">
        <v>0</v>
      </c>
      <c r="L18" s="87" t="s">
        <v>1159</v>
      </c>
      <c r="M18" s="87">
        <v>11</v>
      </c>
      <c r="N18" s="87">
        <v>0</v>
      </c>
      <c r="O18" s="87" t="s">
        <v>1159</v>
      </c>
      <c r="P18" s="87">
        <v>11</v>
      </c>
      <c r="Q18" s="87">
        <v>0</v>
      </c>
      <c r="R18" s="87" t="s">
        <v>1159</v>
      </c>
      <c r="S18" s="87">
        <v>12</v>
      </c>
      <c r="T18" s="87">
        <v>0</v>
      </c>
      <c r="U18" s="87" t="s">
        <v>1159</v>
      </c>
      <c r="V18" s="87">
        <v>12</v>
      </c>
      <c r="W18" s="87">
        <v>0</v>
      </c>
      <c r="X18" s="206" t="s">
        <v>1160</v>
      </c>
      <c r="Y18" s="87">
        <v>13</v>
      </c>
      <c r="Z18" s="87">
        <v>0</v>
      </c>
      <c r="AA18" s="206" t="s">
        <v>1161</v>
      </c>
      <c r="AB18" s="87" t="s">
        <v>2997</v>
      </c>
      <c r="AC18" s="87" t="s">
        <v>2997</v>
      </c>
      <c r="AD18" s="87" t="s">
        <v>2997</v>
      </c>
      <c r="AE18" s="87" t="s">
        <v>2997</v>
      </c>
      <c r="AF18" s="87" t="s">
        <v>2997</v>
      </c>
      <c r="AG18" s="87" t="s">
        <v>2997</v>
      </c>
      <c r="AH18" s="87" t="s">
        <v>2997</v>
      </c>
      <c r="AI18" s="87" t="s">
        <v>2997</v>
      </c>
      <c r="AJ18" s="87" t="s">
        <v>2997</v>
      </c>
      <c r="AK18" s="87" t="s">
        <v>2997</v>
      </c>
      <c r="AL18" s="87" t="s">
        <v>2997</v>
      </c>
      <c r="AM18" s="87" t="s">
        <v>2997</v>
      </c>
      <c r="AN18" s="87" t="s">
        <v>2997</v>
      </c>
      <c r="AO18" s="87" t="s">
        <v>2997</v>
      </c>
      <c r="AP18" s="87" t="s">
        <v>2997</v>
      </c>
      <c r="AQ18" s="87" t="s">
        <v>2997</v>
      </c>
      <c r="AR18" s="87" t="s">
        <v>2997</v>
      </c>
      <c r="AS18" s="87" t="s">
        <v>2997</v>
      </c>
      <c r="AT18" s="87" t="s">
        <v>2997</v>
      </c>
      <c r="AU18" s="87" t="s">
        <v>2997</v>
      </c>
      <c r="AV18" s="87" t="s">
        <v>2997</v>
      </c>
      <c r="AW18" s="87" t="s">
        <v>2997</v>
      </c>
      <c r="AX18" s="87" t="s">
        <v>2997</v>
      </c>
      <c r="AY18" s="87" t="s">
        <v>2997</v>
      </c>
      <c r="AZ18" s="21" t="e">
        <f>CHOOSE(CharGenMain!$C$206,G18,J18,M18,P18,S18,V18,Y18,AB18,AE18,AH18,AK18,AN18,AQ18,AT18,AW18)</f>
        <v>#VALUE!</v>
      </c>
      <c r="BA18" s="21" t="e">
        <f>CHOOSE(CharGenMain!$C$206,H18,K18,N18,Q18,T18,W18,Z18,AC18,AF18,AI18,AL18,AO18,AR18,AU18,AX18)</f>
        <v>#VALUE!</v>
      </c>
      <c r="BB18" s="21" t="e">
        <f>CHOOSE(CharGenMain!$C$206,I18,L18,O18,R18,U18,X18,AA18,AD18,AG18,AJ18,AM18,AP18,AS18,AV18,AY18)</f>
        <v>#VALUE!</v>
      </c>
      <c r="BC18" s="21" t="e">
        <f>CHOOSE(CharGenMain!$C$207,G18,J18,M18,P18,S18,V18,Y18,AB18,AE18,AH18,AK18,AN18,AQ18,AT18,AW18)</f>
        <v>#VALUE!</v>
      </c>
      <c r="BD18" s="21" t="e">
        <f>CHOOSE(CharGenMain!$C$207,H18,K18,N18,Q18,T18,W18,Z18,AC18,AF18,AI18,AL18,AO18,AR18,AU18,AX18)</f>
        <v>#VALUE!</v>
      </c>
      <c r="BE18" s="28" t="e">
        <f>CHOOSE(CharGenMain!$C$207,I18,L18,O18,R18,U18,X18,AA18,AD18,AG18,AJ18,AM18,AP18,AS18,AV18,AY18)</f>
        <v>#VALUE!</v>
      </c>
      <c r="BG18" s="226" t="s">
        <v>1205</v>
      </c>
      <c r="BH18" s="167" t="s">
        <v>1206</v>
      </c>
      <c r="BI18" s="14" t="s">
        <v>2667</v>
      </c>
      <c r="BJ18" s="14">
        <v>2</v>
      </c>
      <c r="BK18" s="14">
        <v>5</v>
      </c>
      <c r="BL18" s="14">
        <v>14</v>
      </c>
      <c r="BM18" s="168">
        <v>9</v>
      </c>
      <c r="BN18" s="168">
        <v>0</v>
      </c>
      <c r="BO18" s="168" t="s">
        <v>1095</v>
      </c>
      <c r="BP18" s="168">
        <v>10</v>
      </c>
      <c r="BQ18" s="168">
        <v>0</v>
      </c>
      <c r="BR18" s="168" t="s">
        <v>1095</v>
      </c>
      <c r="BS18" s="168">
        <v>10</v>
      </c>
      <c r="BT18" s="168">
        <v>0</v>
      </c>
      <c r="BU18" s="168" t="s">
        <v>1096</v>
      </c>
      <c r="BV18" s="168">
        <v>11</v>
      </c>
      <c r="BW18" s="168">
        <v>0</v>
      </c>
      <c r="BX18" s="168" t="s">
        <v>1096</v>
      </c>
      <c r="BY18" s="168">
        <v>11</v>
      </c>
      <c r="BZ18" s="168">
        <v>0</v>
      </c>
      <c r="CA18" s="168" t="s">
        <v>973</v>
      </c>
      <c r="CB18" s="87"/>
      <c r="CC18" s="87" t="s">
        <v>2997</v>
      </c>
      <c r="CD18" s="87" t="s">
        <v>2997</v>
      </c>
      <c r="CE18" s="87" t="s">
        <v>2997</v>
      </c>
      <c r="CF18" s="87" t="s">
        <v>2997</v>
      </c>
      <c r="CG18" s="87" t="s">
        <v>2997</v>
      </c>
      <c r="CH18" s="87" t="s">
        <v>2997</v>
      </c>
      <c r="CI18" s="87" t="s">
        <v>2997</v>
      </c>
      <c r="CJ18" s="87" t="s">
        <v>2997</v>
      </c>
      <c r="CK18" s="87" t="s">
        <v>2997</v>
      </c>
      <c r="CL18" s="87" t="s">
        <v>2997</v>
      </c>
      <c r="CM18" s="87" t="s">
        <v>2997</v>
      </c>
      <c r="CN18" s="87" t="s">
        <v>2997</v>
      </c>
      <c r="CO18" s="87" t="s">
        <v>2997</v>
      </c>
      <c r="CP18" s="87" t="s">
        <v>2997</v>
      </c>
      <c r="CQ18" s="87" t="s">
        <v>2997</v>
      </c>
      <c r="CR18" s="87" t="s">
        <v>2997</v>
      </c>
      <c r="CS18" s="87" t="s">
        <v>2997</v>
      </c>
      <c r="CT18" s="87" t="s">
        <v>2997</v>
      </c>
      <c r="CU18" s="87" t="s">
        <v>2997</v>
      </c>
      <c r="CV18" s="87" t="s">
        <v>2997</v>
      </c>
      <c r="CW18" s="87" t="s">
        <v>2997</v>
      </c>
      <c r="CX18" s="87" t="s">
        <v>2997</v>
      </c>
      <c r="CY18" s="87" t="s">
        <v>2997</v>
      </c>
      <c r="CZ18" s="87" t="s">
        <v>2997</v>
      </c>
      <c r="DA18" s="87" t="s">
        <v>2997</v>
      </c>
      <c r="DB18" s="87" t="s">
        <v>2997</v>
      </c>
      <c r="DC18" s="87" t="s">
        <v>2997</v>
      </c>
      <c r="DD18" s="87" t="s">
        <v>2997</v>
      </c>
      <c r="DE18" s="87" t="s">
        <v>2997</v>
      </c>
      <c r="DF18" s="21" t="e">
        <f>CHOOSE(CharGenMain!$C$209,BM18,BP18,BS18,BV18,BY18,CB18,CE18,CH18,CK18,CN18,CQ18,CT18,CW18,CZ18,DC18)</f>
        <v>#VALUE!</v>
      </c>
      <c r="DG18" s="21" t="e">
        <f>CHOOSE(CharGenMain!$C$209,BN18,BQ18,BT18,BW18,BZ18,CC18,CF18,CI18,CL18,CO18,CR18,CU18,CX18,DA18,DD18)</f>
        <v>#VALUE!</v>
      </c>
      <c r="DH18" s="21" t="e">
        <f>CHOOSE(CharGenMain!$C$209,BO18,BR18,BU18,BX18,CA18,CD18,CG18,CJ18,CM18,CP18,CS18,CV18,CY18,DB18,DE18)</f>
        <v>#VALUE!</v>
      </c>
      <c r="DI18" s="21" t="e">
        <f>CHOOSE(CharGenMain!$C$210,BM18,BP18,BS18,BV18,BY18,CB18,CE18,CH18,CK18,CN18,CQ18,CT18,CW18,CZ18,DC18)</f>
        <v>#VALUE!</v>
      </c>
      <c r="DJ18" s="21" t="e">
        <f>CHOOSE(CharGenMain!$C$210,BN18,BQ18,BT18,BW18,BZ18,CC18,CF18,CI18,CL18,CO18,CR18,CU18,CX18,DA18,DD18)</f>
        <v>#VALUE!</v>
      </c>
      <c r="DK18" s="28" t="e">
        <f>CHOOSE(CharGenMain!$C$210,BO18,BR18,BU18,BX18,CA18,CD18,CG18,CJ18,CM18,CP18,CS18,CV18,CY18,DB18,DE18)</f>
        <v>#VALUE!</v>
      </c>
    </row>
    <row r="19" spans="1:115">
      <c r="A19" s="226" t="s">
        <v>5808</v>
      </c>
      <c r="B19" s="167" t="s">
        <v>531</v>
      </c>
      <c r="C19" s="14" t="s">
        <v>2667</v>
      </c>
      <c r="D19" s="14">
        <v>2</v>
      </c>
      <c r="E19" s="14">
        <v>6</v>
      </c>
      <c r="F19" s="14">
        <v>12</v>
      </c>
      <c r="G19" s="87">
        <v>11</v>
      </c>
      <c r="H19" s="87">
        <v>0</v>
      </c>
      <c r="I19" s="87" t="s">
        <v>3706</v>
      </c>
      <c r="J19" s="87">
        <v>11</v>
      </c>
      <c r="K19" s="87">
        <v>0</v>
      </c>
      <c r="L19" s="87" t="s">
        <v>3706</v>
      </c>
      <c r="M19" s="87">
        <v>11</v>
      </c>
      <c r="N19" s="87">
        <v>0</v>
      </c>
      <c r="O19" s="87" t="s">
        <v>3706</v>
      </c>
      <c r="P19" s="87">
        <v>12</v>
      </c>
      <c r="Q19" s="87">
        <v>0</v>
      </c>
      <c r="R19" s="87" t="s">
        <v>3706</v>
      </c>
      <c r="S19" s="87">
        <v>12</v>
      </c>
      <c r="T19" s="87">
        <v>0</v>
      </c>
      <c r="U19" s="87" t="s">
        <v>3706</v>
      </c>
      <c r="V19" s="87">
        <v>13</v>
      </c>
      <c r="W19" s="87">
        <v>0</v>
      </c>
      <c r="X19" s="87" t="s">
        <v>3706</v>
      </c>
      <c r="Y19" s="87" t="s">
        <v>2997</v>
      </c>
      <c r="Z19" s="87" t="s">
        <v>2997</v>
      </c>
      <c r="AA19" s="87" t="s">
        <v>2997</v>
      </c>
      <c r="AB19" s="87" t="s">
        <v>2997</v>
      </c>
      <c r="AC19" s="87" t="s">
        <v>2997</v>
      </c>
      <c r="AD19" s="87" t="s">
        <v>2997</v>
      </c>
      <c r="AE19" s="87" t="s">
        <v>2997</v>
      </c>
      <c r="AF19" s="87" t="s">
        <v>2997</v>
      </c>
      <c r="AG19" s="87" t="s">
        <v>2997</v>
      </c>
      <c r="AH19" s="87" t="s">
        <v>2997</v>
      </c>
      <c r="AI19" s="87" t="s">
        <v>2997</v>
      </c>
      <c r="AJ19" s="87" t="s">
        <v>2997</v>
      </c>
      <c r="AK19" s="87" t="s">
        <v>2997</v>
      </c>
      <c r="AL19" s="87" t="s">
        <v>2997</v>
      </c>
      <c r="AM19" s="87" t="s">
        <v>2997</v>
      </c>
      <c r="AN19" s="87" t="s">
        <v>2997</v>
      </c>
      <c r="AO19" s="87" t="s">
        <v>2997</v>
      </c>
      <c r="AP19" s="87" t="s">
        <v>2997</v>
      </c>
      <c r="AQ19" s="87" t="s">
        <v>2997</v>
      </c>
      <c r="AR19" s="87" t="s">
        <v>2997</v>
      </c>
      <c r="AS19" s="87" t="s">
        <v>2997</v>
      </c>
      <c r="AT19" s="87" t="s">
        <v>2997</v>
      </c>
      <c r="AU19" s="87" t="s">
        <v>2997</v>
      </c>
      <c r="AV19" s="87" t="s">
        <v>2997</v>
      </c>
      <c r="AW19" s="87" t="s">
        <v>2997</v>
      </c>
      <c r="AX19" s="87" t="s">
        <v>2997</v>
      </c>
      <c r="AY19" s="87" t="s">
        <v>2997</v>
      </c>
      <c r="AZ19" s="21" t="e">
        <f>CHOOSE(CharGenMain!$C$206,G19,J19,M19,P19,S19,V19,Y19,AB19,AE19,AH19,AK19,AN19,AQ19,AT19,AW19)</f>
        <v>#VALUE!</v>
      </c>
      <c r="BA19" s="21" t="e">
        <f>CHOOSE(CharGenMain!$C$206,H19,K19,N19,Q19,T19,W19,Z19,AC19,AF19,AI19,AL19,AO19,AR19,AU19,AX19)</f>
        <v>#VALUE!</v>
      </c>
      <c r="BB19" s="21" t="e">
        <f>CHOOSE(CharGenMain!$C$206,I19,L19,O19,R19,U19,X19,AA19,AD19,AG19,AJ19,AM19,AP19,AS19,AV19,AY19)</f>
        <v>#VALUE!</v>
      </c>
      <c r="BC19" s="21" t="e">
        <f>CHOOSE(CharGenMain!$C$207,G19,J19,M19,P19,S19,V19,Y19,AB19,AE19,AH19,AK19,AN19,AQ19,AT19,AW19)</f>
        <v>#VALUE!</v>
      </c>
      <c r="BD19" s="21" t="e">
        <f>CHOOSE(CharGenMain!$C$207,H19,K19,N19,Q19,T19,W19,Z19,AC19,AF19,AI19,AL19,AO19,AR19,AU19,AX19)</f>
        <v>#VALUE!</v>
      </c>
      <c r="BE19" s="28" t="e">
        <f>CHOOSE(CharGenMain!$C$207,I19,L19,O19,R19,U19,X19,AA19,AD19,AG19,AJ19,AM19,AP19,AS19,AV19,AY19)</f>
        <v>#VALUE!</v>
      </c>
      <c r="BG19" s="20" t="s">
        <v>976</v>
      </c>
      <c r="BH19" s="167" t="s">
        <v>343</v>
      </c>
      <c r="BI19" s="14" t="s">
        <v>2279</v>
      </c>
      <c r="BJ19" s="14">
        <v>2</v>
      </c>
      <c r="BK19" s="14">
        <v>4</v>
      </c>
      <c r="BL19" s="14">
        <v>13</v>
      </c>
      <c r="BM19" s="168">
        <v>5</v>
      </c>
      <c r="BN19" s="168">
        <v>0</v>
      </c>
      <c r="BO19" s="168" t="s">
        <v>1215</v>
      </c>
      <c r="BP19" s="168">
        <v>6</v>
      </c>
      <c r="BQ19" s="168">
        <v>0</v>
      </c>
      <c r="BR19" s="168" t="s">
        <v>1122</v>
      </c>
      <c r="BS19" s="168">
        <v>7</v>
      </c>
      <c r="BT19" s="168">
        <v>0</v>
      </c>
      <c r="BU19" s="168" t="s">
        <v>1123</v>
      </c>
      <c r="BV19" s="168">
        <v>8</v>
      </c>
      <c r="BW19" s="168">
        <v>0</v>
      </c>
      <c r="BX19" s="168" t="s">
        <v>977</v>
      </c>
      <c r="BY19" s="231" t="s">
        <v>2997</v>
      </c>
      <c r="BZ19" s="231" t="s">
        <v>2997</v>
      </c>
      <c r="CA19" s="231" t="s">
        <v>2997</v>
      </c>
      <c r="CB19" s="231" t="s">
        <v>2997</v>
      </c>
      <c r="CC19" s="231" t="s">
        <v>2997</v>
      </c>
      <c r="CD19" s="231" t="s">
        <v>2997</v>
      </c>
      <c r="CE19" s="231" t="s">
        <v>2997</v>
      </c>
      <c r="CF19" s="231" t="s">
        <v>2997</v>
      </c>
      <c r="CG19" s="231" t="s">
        <v>2997</v>
      </c>
      <c r="CH19" s="231" t="s">
        <v>2997</v>
      </c>
      <c r="CI19" s="231" t="s">
        <v>2997</v>
      </c>
      <c r="CJ19" s="231" t="s">
        <v>2997</v>
      </c>
      <c r="CK19" s="231" t="s">
        <v>2997</v>
      </c>
      <c r="CL19" s="231" t="s">
        <v>2997</v>
      </c>
      <c r="CM19" s="231" t="s">
        <v>2997</v>
      </c>
      <c r="CN19" s="231" t="s">
        <v>2997</v>
      </c>
      <c r="CO19" s="231" t="s">
        <v>2997</v>
      </c>
      <c r="CP19" s="231" t="s">
        <v>2997</v>
      </c>
      <c r="CQ19" s="231" t="s">
        <v>2997</v>
      </c>
      <c r="CR19" s="231" t="s">
        <v>2997</v>
      </c>
      <c r="CS19" s="231" t="s">
        <v>2997</v>
      </c>
      <c r="CT19" s="231" t="s">
        <v>2997</v>
      </c>
      <c r="CU19" s="231" t="s">
        <v>2997</v>
      </c>
      <c r="CV19" s="231" t="s">
        <v>2997</v>
      </c>
      <c r="CW19" s="231" t="s">
        <v>2997</v>
      </c>
      <c r="CX19" s="231" t="s">
        <v>2997</v>
      </c>
      <c r="CY19" s="231" t="s">
        <v>2997</v>
      </c>
      <c r="CZ19" s="231" t="s">
        <v>2997</v>
      </c>
      <c r="DA19" s="231" t="s">
        <v>2997</v>
      </c>
      <c r="DB19" s="231" t="s">
        <v>2997</v>
      </c>
      <c r="DC19" s="231" t="s">
        <v>2997</v>
      </c>
      <c r="DD19" s="231" t="s">
        <v>2997</v>
      </c>
      <c r="DE19" s="231" t="s">
        <v>2997</v>
      </c>
      <c r="DF19" s="21" t="e">
        <f>CHOOSE(CharGenMain!$C$209,BM19,BP19,BS19,BV19,BY19,CB19,CE19,CH19,CK19,CN19,CQ19,CT19,CW19,CZ19,DC19)</f>
        <v>#VALUE!</v>
      </c>
      <c r="DG19" s="21" t="e">
        <f>CHOOSE(CharGenMain!$C$209,BN19,BQ19,BT19,BW19,BZ19,CC19,CF19,CI19,CL19,CO19,CR19,CU19,CX19,DA19,DD19)</f>
        <v>#VALUE!</v>
      </c>
      <c r="DH19" s="21" t="e">
        <f>CHOOSE(CharGenMain!$C$209,BO19,BR19,BU19,BX19,CA19,CD19,CG19,CJ19,CM19,CP19,CS19,CV19,CY19,DB19,DE19)</f>
        <v>#VALUE!</v>
      </c>
      <c r="DI19" s="21" t="e">
        <f>CHOOSE(CharGenMain!$C$210,BM19,BP19,BS19,BV19,BY19,CB19,CE19,CH19,CK19,CN19,CQ19,CT19,CW19,CZ19,DC19)</f>
        <v>#VALUE!</v>
      </c>
      <c r="DJ19" s="21" t="e">
        <f>CHOOSE(CharGenMain!$C$210,BN19,BQ19,BT19,BW19,BZ19,CC19,CF19,CI19,CL19,CO19,CR19,CU19,CX19,DA19,DD19)</f>
        <v>#VALUE!</v>
      </c>
      <c r="DK19" s="28" t="e">
        <f>CHOOSE(CharGenMain!$C$210,BO19,BR19,BU19,BX19,CA19,CD19,CG19,CJ19,CM19,CP19,CS19,CV19,CY19,DB19,DE19)</f>
        <v>#VALUE!</v>
      </c>
    </row>
    <row r="20" spans="1:115">
      <c r="A20" s="226" t="s">
        <v>974</v>
      </c>
      <c r="B20" s="167" t="s">
        <v>2681</v>
      </c>
      <c r="C20" s="14" t="s">
        <v>2667</v>
      </c>
      <c r="D20" s="14">
        <v>3</v>
      </c>
      <c r="E20" s="14">
        <v>5</v>
      </c>
      <c r="F20" s="14">
        <v>18</v>
      </c>
      <c r="G20" s="87">
        <v>9</v>
      </c>
      <c r="H20" s="87">
        <v>0</v>
      </c>
      <c r="I20" s="87" t="s">
        <v>1125</v>
      </c>
      <c r="J20" s="87">
        <v>10</v>
      </c>
      <c r="K20" s="87">
        <v>0</v>
      </c>
      <c r="L20" s="87" t="s">
        <v>975</v>
      </c>
      <c r="M20" s="87">
        <v>11</v>
      </c>
      <c r="N20" s="87">
        <v>0</v>
      </c>
      <c r="O20" s="87" t="s">
        <v>975</v>
      </c>
      <c r="P20" s="87">
        <v>12</v>
      </c>
      <c r="Q20" s="87">
        <v>0</v>
      </c>
      <c r="R20" s="87" t="s">
        <v>975</v>
      </c>
      <c r="S20" s="87">
        <v>13</v>
      </c>
      <c r="T20" s="87">
        <v>0</v>
      </c>
      <c r="U20" s="87" t="s">
        <v>975</v>
      </c>
      <c r="V20" s="87" t="s">
        <v>2997</v>
      </c>
      <c r="W20" s="87" t="s">
        <v>2997</v>
      </c>
      <c r="X20" s="87" t="s">
        <v>2997</v>
      </c>
      <c r="Y20" s="87" t="s">
        <v>2997</v>
      </c>
      <c r="Z20" s="87" t="s">
        <v>2997</v>
      </c>
      <c r="AA20" s="87" t="s">
        <v>2997</v>
      </c>
      <c r="AB20" s="87" t="s">
        <v>2997</v>
      </c>
      <c r="AC20" s="87" t="s">
        <v>2997</v>
      </c>
      <c r="AD20" s="87" t="s">
        <v>2997</v>
      </c>
      <c r="AE20" s="87" t="s">
        <v>2997</v>
      </c>
      <c r="AF20" s="87" t="s">
        <v>2997</v>
      </c>
      <c r="AG20" s="87" t="s">
        <v>2997</v>
      </c>
      <c r="AH20" s="87" t="s">
        <v>2997</v>
      </c>
      <c r="AI20" s="87" t="s">
        <v>2997</v>
      </c>
      <c r="AJ20" s="87" t="s">
        <v>2997</v>
      </c>
      <c r="AK20" s="87" t="s">
        <v>2997</v>
      </c>
      <c r="AL20" s="87" t="s">
        <v>2997</v>
      </c>
      <c r="AM20" s="87" t="s">
        <v>2997</v>
      </c>
      <c r="AN20" s="87" t="s">
        <v>2997</v>
      </c>
      <c r="AO20" s="87" t="s">
        <v>2997</v>
      </c>
      <c r="AP20" s="87" t="s">
        <v>2997</v>
      </c>
      <c r="AQ20" s="87" t="s">
        <v>2997</v>
      </c>
      <c r="AR20" s="87" t="s">
        <v>2997</v>
      </c>
      <c r="AS20" s="87" t="s">
        <v>2997</v>
      </c>
      <c r="AT20" s="87" t="s">
        <v>2997</v>
      </c>
      <c r="AU20" s="87" t="s">
        <v>2997</v>
      </c>
      <c r="AV20" s="87" t="s">
        <v>2997</v>
      </c>
      <c r="AW20" s="87" t="s">
        <v>2997</v>
      </c>
      <c r="AX20" s="87" t="s">
        <v>2997</v>
      </c>
      <c r="AY20" s="87" t="s">
        <v>2997</v>
      </c>
      <c r="AZ20" s="21" t="e">
        <f>CHOOSE(CharGenMain!$C$206,G20,J20,M20,P20,S20,V20,Y20,AB20,AE20,AH20,AK20,AN20,AQ20,AT20,AW20)</f>
        <v>#VALUE!</v>
      </c>
      <c r="BA20" s="21" t="e">
        <f>CHOOSE(CharGenMain!$C$206,H20,K20,N20,Q20,T20,W20,Z20,AC20,AF20,AI20,AL20,AO20,AR20,AU20,AX20)</f>
        <v>#VALUE!</v>
      </c>
      <c r="BB20" s="21" t="e">
        <f>CHOOSE(CharGenMain!$C$206,I20,L20,O20,R20,U20,X20,AA20,AD20,AG20,AJ20,AM20,AP20,AS20,AV20,AY20)</f>
        <v>#VALUE!</v>
      </c>
      <c r="BC20" s="21" t="e">
        <f>CHOOSE(CharGenMain!$C$207,G20,J20,M20,P20,S20,V20,Y20,AB20,AE20,AH20,AK20,AN20,AQ20,AT20,AW20)</f>
        <v>#VALUE!</v>
      </c>
      <c r="BD20" s="21" t="e">
        <f>CHOOSE(CharGenMain!$C$207,H20,K20,N20,Q20,T20,W20,Z20,AC20,AF20,AI20,AL20,AO20,AR20,AU20,AX20)</f>
        <v>#VALUE!</v>
      </c>
      <c r="BE20" s="28" t="e">
        <f>CHOOSE(CharGenMain!$C$207,I20,L20,O20,R20,U20,X20,AA20,AD20,AG20,AJ20,AM20,AP20,AS20,AV20,AY20)</f>
        <v>#VALUE!</v>
      </c>
      <c r="BG20" s="226" t="s">
        <v>884</v>
      </c>
      <c r="BH20" s="14" t="s">
        <v>1046</v>
      </c>
      <c r="BI20" s="14" t="s">
        <v>2223</v>
      </c>
      <c r="BJ20" s="14">
        <v>2</v>
      </c>
      <c r="BK20" s="14">
        <v>5</v>
      </c>
      <c r="BL20" s="14">
        <v>12</v>
      </c>
      <c r="BM20" s="21">
        <v>11</v>
      </c>
      <c r="BN20" s="21">
        <v>0</v>
      </c>
      <c r="BO20" s="21" t="s">
        <v>1215</v>
      </c>
      <c r="BP20" s="21">
        <v>12</v>
      </c>
      <c r="BQ20" s="21">
        <v>0</v>
      </c>
      <c r="BR20" s="21" t="s">
        <v>885</v>
      </c>
      <c r="BS20" s="21">
        <v>13</v>
      </c>
      <c r="BT20" s="21">
        <v>0</v>
      </c>
      <c r="BU20" s="21" t="s">
        <v>886</v>
      </c>
      <c r="BV20" s="21">
        <v>13</v>
      </c>
      <c r="BW20" s="21">
        <v>1</v>
      </c>
      <c r="BX20" s="21" t="s">
        <v>887</v>
      </c>
      <c r="BY20" s="21">
        <v>13</v>
      </c>
      <c r="BZ20" s="21">
        <v>0</v>
      </c>
      <c r="CA20" s="21" t="s">
        <v>888</v>
      </c>
      <c r="CB20" s="87" t="s">
        <v>2997</v>
      </c>
      <c r="CC20" s="87" t="s">
        <v>2997</v>
      </c>
      <c r="CD20" s="87" t="s">
        <v>2997</v>
      </c>
      <c r="CE20" s="87" t="s">
        <v>2997</v>
      </c>
      <c r="CF20" s="87" t="s">
        <v>2997</v>
      </c>
      <c r="CG20" s="87" t="s">
        <v>2997</v>
      </c>
      <c r="CH20" s="87" t="s">
        <v>2997</v>
      </c>
      <c r="CI20" s="87" t="s">
        <v>2997</v>
      </c>
      <c r="CJ20" s="87" t="s">
        <v>2997</v>
      </c>
      <c r="CK20" s="87" t="s">
        <v>2997</v>
      </c>
      <c r="CL20" s="87" t="s">
        <v>2997</v>
      </c>
      <c r="CM20" s="87" t="s">
        <v>2997</v>
      </c>
      <c r="CN20" s="87" t="s">
        <v>2997</v>
      </c>
      <c r="CO20" s="87" t="s">
        <v>2997</v>
      </c>
      <c r="CP20" s="87" t="s">
        <v>2997</v>
      </c>
      <c r="CQ20" s="87" t="s">
        <v>2997</v>
      </c>
      <c r="CR20" s="87" t="s">
        <v>2997</v>
      </c>
      <c r="CS20" s="87" t="s">
        <v>2997</v>
      </c>
      <c r="CT20" s="87" t="s">
        <v>2997</v>
      </c>
      <c r="CU20" s="87" t="s">
        <v>2997</v>
      </c>
      <c r="CV20" s="87" t="s">
        <v>2997</v>
      </c>
      <c r="CW20" s="87" t="s">
        <v>2997</v>
      </c>
      <c r="CX20" s="87" t="s">
        <v>2997</v>
      </c>
      <c r="CY20" s="87" t="s">
        <v>2997</v>
      </c>
      <c r="CZ20" s="87" t="s">
        <v>2997</v>
      </c>
      <c r="DA20" s="87" t="s">
        <v>2997</v>
      </c>
      <c r="DB20" s="87" t="s">
        <v>2997</v>
      </c>
      <c r="DC20" s="87" t="s">
        <v>2997</v>
      </c>
      <c r="DD20" s="87" t="s">
        <v>2997</v>
      </c>
      <c r="DE20" s="87" t="s">
        <v>2997</v>
      </c>
      <c r="DF20" s="21" t="e">
        <f>CHOOSE(CharGenMain!$C$209,BM20,BP20,BS20,BV20,BY20,CB20,CE20,CH20,CK20,CN20,CQ20,CT20,CW20,CZ20,DC20)</f>
        <v>#VALUE!</v>
      </c>
      <c r="DG20" s="21" t="e">
        <f>CHOOSE(CharGenMain!$C$209,BN20,BQ20,BT20,BW20,BZ20,CC20,CF20,CI20,CL20,CO20,CR20,CU20,CX20,DA20,DD20)</f>
        <v>#VALUE!</v>
      </c>
      <c r="DH20" s="21" t="e">
        <f>CHOOSE(CharGenMain!$C$209,BO20,BR20,BU20,BX20,CA20,CD20,CG20,CJ20,CM20,CP20,CS20,CV20,CY20,DB20,DE20)</f>
        <v>#VALUE!</v>
      </c>
      <c r="DI20" s="21" t="e">
        <f>CHOOSE(CharGenMain!$C$210,BM20,BP20,BS20,BV20,BY20,CB20,CE20,CH20,CK20,CN20,CQ20,CT20,CW20,CZ20,DC20)</f>
        <v>#VALUE!</v>
      </c>
      <c r="DJ20" s="21" t="e">
        <f>CHOOSE(CharGenMain!$C$210,BN20,BQ20,BT20,BW20,BZ20,CC20,CF20,CI20,CL20,CO20,CR20,CU20,CX20,DA20,DD20)</f>
        <v>#VALUE!</v>
      </c>
      <c r="DK20" s="28" t="e">
        <f>CHOOSE(CharGenMain!$C$210,BO20,BR20,BU20,BX20,CA20,CD20,CG20,CJ20,CM20,CP20,CS20,CV20,CY20,DB20,DE20)</f>
        <v>#VALUE!</v>
      </c>
    </row>
    <row r="21" spans="1:115">
      <c r="A21" s="20" t="s">
        <v>978</v>
      </c>
      <c r="B21" s="167" t="s">
        <v>305</v>
      </c>
      <c r="C21" s="14" t="s">
        <v>2279</v>
      </c>
      <c r="D21" s="14">
        <v>1</v>
      </c>
      <c r="E21" s="14">
        <v>5</v>
      </c>
      <c r="F21" s="14">
        <v>10</v>
      </c>
      <c r="G21" s="87">
        <v>6</v>
      </c>
      <c r="H21" s="87">
        <v>0</v>
      </c>
      <c r="I21" s="87" t="s">
        <v>1215</v>
      </c>
      <c r="J21" s="87">
        <v>7</v>
      </c>
      <c r="K21" s="87">
        <v>0</v>
      </c>
      <c r="L21" s="87" t="s">
        <v>1215</v>
      </c>
      <c r="M21" s="87">
        <v>7</v>
      </c>
      <c r="N21" s="87">
        <v>0</v>
      </c>
      <c r="O21" s="87" t="s">
        <v>882</v>
      </c>
      <c r="P21" s="87">
        <v>8</v>
      </c>
      <c r="Q21" s="87">
        <v>0</v>
      </c>
      <c r="R21" s="87" t="s">
        <v>882</v>
      </c>
      <c r="S21" s="87">
        <v>8</v>
      </c>
      <c r="T21" s="87">
        <v>0</v>
      </c>
      <c r="U21" s="87" t="s">
        <v>883</v>
      </c>
      <c r="V21" s="87" t="s">
        <v>2997</v>
      </c>
      <c r="W21" s="87" t="s">
        <v>2997</v>
      </c>
      <c r="X21" s="87" t="s">
        <v>2997</v>
      </c>
      <c r="Y21" s="87" t="s">
        <v>2997</v>
      </c>
      <c r="Z21" s="87" t="s">
        <v>2997</v>
      </c>
      <c r="AA21" s="87" t="s">
        <v>2997</v>
      </c>
      <c r="AB21" s="87" t="s">
        <v>2997</v>
      </c>
      <c r="AC21" s="87" t="s">
        <v>2997</v>
      </c>
      <c r="AD21" s="87" t="s">
        <v>2997</v>
      </c>
      <c r="AE21" s="87" t="s">
        <v>2997</v>
      </c>
      <c r="AF21" s="87" t="s">
        <v>2997</v>
      </c>
      <c r="AG21" s="87" t="s">
        <v>2997</v>
      </c>
      <c r="AH21" s="87" t="s">
        <v>2997</v>
      </c>
      <c r="AI21" s="87" t="s">
        <v>2997</v>
      </c>
      <c r="AJ21" s="87" t="s">
        <v>2997</v>
      </c>
      <c r="AK21" s="87" t="s">
        <v>2997</v>
      </c>
      <c r="AL21" s="87" t="s">
        <v>2997</v>
      </c>
      <c r="AM21" s="87" t="s">
        <v>2997</v>
      </c>
      <c r="AN21" s="87" t="s">
        <v>2997</v>
      </c>
      <c r="AO21" s="87" t="s">
        <v>2997</v>
      </c>
      <c r="AP21" s="87" t="s">
        <v>2997</v>
      </c>
      <c r="AQ21" s="87" t="s">
        <v>2997</v>
      </c>
      <c r="AR21" s="87" t="s">
        <v>2997</v>
      </c>
      <c r="AS21" s="87" t="s">
        <v>2997</v>
      </c>
      <c r="AT21" s="87" t="s">
        <v>2997</v>
      </c>
      <c r="AU21" s="87" t="s">
        <v>2997</v>
      </c>
      <c r="AV21" s="87" t="s">
        <v>2997</v>
      </c>
      <c r="AW21" s="87" t="s">
        <v>2997</v>
      </c>
      <c r="AX21" s="87" t="s">
        <v>2997</v>
      </c>
      <c r="AY21" s="87" t="s">
        <v>2997</v>
      </c>
      <c r="AZ21" s="21" t="e">
        <f>CHOOSE(CharGenMain!$C$206,G21,J21,M21,P21,S21,V21,Y21,AB21,AE21,AH21,AK21,AN21,AQ21,AT21,AW21)</f>
        <v>#VALUE!</v>
      </c>
      <c r="BA21" s="21" t="e">
        <f>CHOOSE(CharGenMain!$C$206,H21,K21,N21,Q21,T21,W21,Z21,AC21,AF21,AI21,AL21,AO21,AR21,AU21,AX21)</f>
        <v>#VALUE!</v>
      </c>
      <c r="BB21" s="21" t="e">
        <f>CHOOSE(CharGenMain!$C$206,I21,L21,O21,R21,U21,X21,AA21,AD21,AG21,AJ21,AM21,AP21,AS21,AV21,AY21)</f>
        <v>#VALUE!</v>
      </c>
      <c r="BC21" s="21" t="e">
        <f>CHOOSE(CharGenMain!$C$207,G21,J21,M21,P21,S21,V21,Y21,AB21,AE21,AH21,AK21,AN21,AQ21,AT21,AW21)</f>
        <v>#VALUE!</v>
      </c>
      <c r="BD21" s="21" t="e">
        <f>CHOOSE(CharGenMain!$C$207,H21,K21,N21,Q21,T21,W21,Z21,AC21,AF21,AI21,AL21,AO21,AR21,AU21,AX21)</f>
        <v>#VALUE!</v>
      </c>
      <c r="BE21" s="28" t="e">
        <f>CHOOSE(CharGenMain!$C$207,I21,L21,O21,R21,U21,X21,AA21,AD21,AG21,AJ21,AM21,AP21,AS21,AV21,AY21)</f>
        <v>#VALUE!</v>
      </c>
      <c r="BG21" s="205" t="s">
        <v>805</v>
      </c>
      <c r="BH21" s="167" t="s">
        <v>344</v>
      </c>
      <c r="BI21" s="14" t="s">
        <v>2279</v>
      </c>
      <c r="BJ21" s="14">
        <v>3</v>
      </c>
      <c r="BK21" s="14">
        <v>8</v>
      </c>
      <c r="BL21" s="14">
        <v>18</v>
      </c>
      <c r="BM21" s="168">
        <v>5</v>
      </c>
      <c r="BN21" s="168">
        <v>0</v>
      </c>
      <c r="BO21" s="168" t="s">
        <v>1215</v>
      </c>
      <c r="BP21" s="168">
        <v>5</v>
      </c>
      <c r="BQ21" s="168">
        <v>0</v>
      </c>
      <c r="BR21" s="168" t="s">
        <v>806</v>
      </c>
      <c r="BS21" s="168">
        <v>6</v>
      </c>
      <c r="BT21" s="168">
        <v>0</v>
      </c>
      <c r="BU21" s="168" t="s">
        <v>806</v>
      </c>
      <c r="BV21" s="168">
        <v>6</v>
      </c>
      <c r="BW21" s="168">
        <v>0</v>
      </c>
      <c r="BX21" s="168" t="s">
        <v>807</v>
      </c>
      <c r="BY21" s="168">
        <v>7</v>
      </c>
      <c r="BZ21" s="168">
        <v>0</v>
      </c>
      <c r="CA21" s="168" t="s">
        <v>807</v>
      </c>
      <c r="CB21" s="168">
        <v>7</v>
      </c>
      <c r="CC21" s="168">
        <v>0</v>
      </c>
      <c r="CD21" s="168" t="s">
        <v>891</v>
      </c>
      <c r="CE21" s="168">
        <v>7</v>
      </c>
      <c r="CF21" s="168">
        <v>0</v>
      </c>
      <c r="CG21" s="168" t="s">
        <v>982</v>
      </c>
      <c r="CH21" s="168">
        <v>7</v>
      </c>
      <c r="CI21" s="168">
        <v>0</v>
      </c>
      <c r="CJ21" s="168" t="s">
        <v>983</v>
      </c>
      <c r="CK21" s="87"/>
      <c r="CL21" s="87" t="s">
        <v>2997</v>
      </c>
      <c r="CM21" s="87" t="s">
        <v>2997</v>
      </c>
      <c r="CN21" s="87" t="s">
        <v>2997</v>
      </c>
      <c r="CO21" s="87" t="s">
        <v>2997</v>
      </c>
      <c r="CP21" s="87" t="s">
        <v>2997</v>
      </c>
      <c r="CQ21" s="87" t="s">
        <v>2997</v>
      </c>
      <c r="CR21" s="87" t="s">
        <v>2997</v>
      </c>
      <c r="CS21" s="87" t="s">
        <v>2997</v>
      </c>
      <c r="CT21" s="87" t="s">
        <v>2997</v>
      </c>
      <c r="CU21" s="87" t="s">
        <v>2997</v>
      </c>
      <c r="CV21" s="87" t="s">
        <v>2997</v>
      </c>
      <c r="CW21" s="87" t="s">
        <v>2997</v>
      </c>
      <c r="CX21" s="87" t="s">
        <v>2997</v>
      </c>
      <c r="CY21" s="87" t="s">
        <v>2997</v>
      </c>
      <c r="CZ21" s="87" t="s">
        <v>2997</v>
      </c>
      <c r="DA21" s="87" t="s">
        <v>2997</v>
      </c>
      <c r="DB21" s="87" t="s">
        <v>2997</v>
      </c>
      <c r="DC21" s="87" t="s">
        <v>2997</v>
      </c>
      <c r="DD21" s="87" t="s">
        <v>2997</v>
      </c>
      <c r="DE21" s="87" t="s">
        <v>2997</v>
      </c>
      <c r="DF21" s="21" t="e">
        <f>CHOOSE(CharGenMain!$C$209,BM21,BP21,BS21,BV21,BY21,CB21,CE21,CH21,CK21,CN21,CQ21,CT21,CW21,CZ21,DC21)</f>
        <v>#VALUE!</v>
      </c>
      <c r="DG21" s="21" t="e">
        <f>CHOOSE(CharGenMain!$C$209,BN21,BQ21,BT21,BW21,BZ21,CC21,CF21,CI21,CL21,CO21,CR21,CU21,CX21,DA21,DD21)</f>
        <v>#VALUE!</v>
      </c>
      <c r="DH21" s="21" t="e">
        <f>CHOOSE(CharGenMain!$C$209,BO21,BR21,BU21,BX21,CA21,CD21,CG21,CJ21,CM21,CP21,CS21,CV21,CY21,DB21,DE21)</f>
        <v>#VALUE!</v>
      </c>
      <c r="DI21" s="21" t="e">
        <f>CHOOSE(CharGenMain!$C$210,BM21,BP21,BS21,BV21,BY21,CB21,CE21,CH21,CK21,CN21,CQ21,CT21,CW21,CZ21,DC21)</f>
        <v>#VALUE!</v>
      </c>
      <c r="DJ21" s="21" t="e">
        <f>CHOOSE(CharGenMain!$C$210,BN21,BQ21,BT21,BW21,BZ21,CC21,CF21,CI21,CL21,CO21,CR21,CU21,CX21,DA21,DD21)</f>
        <v>#VALUE!</v>
      </c>
      <c r="DK21" s="28" t="e">
        <f>CHOOSE(CharGenMain!$C$210,BO21,BR21,BU21,BX21,CA21,CD21,CG21,CJ21,CM21,CP21,CS21,CV21,CY21,DB21,DE21)</f>
        <v>#VALUE!</v>
      </c>
    </row>
    <row r="22" spans="1:115">
      <c r="A22" s="226" t="s">
        <v>889</v>
      </c>
      <c r="B22" s="167" t="s">
        <v>890</v>
      </c>
      <c r="C22" s="14" t="s">
        <v>2667</v>
      </c>
      <c r="D22" s="14">
        <v>2</v>
      </c>
      <c r="E22" s="14">
        <v>6</v>
      </c>
      <c r="F22" s="14">
        <v>14</v>
      </c>
      <c r="G22" s="168">
        <v>8</v>
      </c>
      <c r="H22" s="87">
        <v>0</v>
      </c>
      <c r="I22" s="168" t="s">
        <v>306</v>
      </c>
      <c r="J22" s="87">
        <v>9</v>
      </c>
      <c r="K22" s="87">
        <v>0</v>
      </c>
      <c r="L22" s="168" t="s">
        <v>307</v>
      </c>
      <c r="M22" s="168">
        <v>11</v>
      </c>
      <c r="N22" s="168">
        <v>0</v>
      </c>
      <c r="O22" s="168" t="s">
        <v>264</v>
      </c>
      <c r="P22" s="168">
        <v>12</v>
      </c>
      <c r="Q22" s="168">
        <v>0</v>
      </c>
      <c r="R22" s="207" t="s">
        <v>265</v>
      </c>
      <c r="S22" s="168">
        <v>13</v>
      </c>
      <c r="T22" s="168">
        <v>0</v>
      </c>
      <c r="U22" s="207" t="s">
        <v>981</v>
      </c>
      <c r="V22" s="168">
        <v>13</v>
      </c>
      <c r="W22" s="168">
        <v>0</v>
      </c>
      <c r="X22" s="207" t="s">
        <v>804</v>
      </c>
      <c r="Y22" s="113" t="s">
        <v>2997</v>
      </c>
      <c r="Z22" s="113" t="s">
        <v>2997</v>
      </c>
      <c r="AA22" s="113" t="s">
        <v>2997</v>
      </c>
      <c r="AB22" s="113" t="s">
        <v>2997</v>
      </c>
      <c r="AC22" s="113" t="s">
        <v>2997</v>
      </c>
      <c r="AD22" s="113" t="s">
        <v>2997</v>
      </c>
      <c r="AE22" s="113" t="s">
        <v>2997</v>
      </c>
      <c r="AF22" s="113" t="s">
        <v>2997</v>
      </c>
      <c r="AG22" s="113" t="s">
        <v>2997</v>
      </c>
      <c r="AH22" s="113" t="s">
        <v>2997</v>
      </c>
      <c r="AI22" s="113" t="s">
        <v>2997</v>
      </c>
      <c r="AJ22" s="113" t="s">
        <v>2997</v>
      </c>
      <c r="AK22" s="113" t="s">
        <v>2997</v>
      </c>
      <c r="AL22" s="113" t="s">
        <v>2997</v>
      </c>
      <c r="AM22" s="113" t="s">
        <v>2997</v>
      </c>
      <c r="AN22" s="113" t="s">
        <v>2997</v>
      </c>
      <c r="AO22" s="113" t="s">
        <v>2997</v>
      </c>
      <c r="AP22" s="113" t="s">
        <v>2997</v>
      </c>
      <c r="AQ22" s="113" t="s">
        <v>2997</v>
      </c>
      <c r="AR22" s="113" t="s">
        <v>2997</v>
      </c>
      <c r="AS22" s="113" t="s">
        <v>2997</v>
      </c>
      <c r="AT22" s="113" t="s">
        <v>2997</v>
      </c>
      <c r="AU22" s="113" t="s">
        <v>2997</v>
      </c>
      <c r="AV22" s="113" t="s">
        <v>2997</v>
      </c>
      <c r="AW22" s="113" t="s">
        <v>2997</v>
      </c>
      <c r="AX22" s="113" t="s">
        <v>2997</v>
      </c>
      <c r="AY22" s="113" t="s">
        <v>2997</v>
      </c>
      <c r="AZ22" s="21" t="e">
        <f>CHOOSE(CharGenMain!$C$206,G22,J22,M22,P22,S22,V22,Y22,AB22,AE22,AH22,AK22,AN22,AQ22,AT22,AW22)</f>
        <v>#VALUE!</v>
      </c>
      <c r="BA22" s="21" t="e">
        <f>CHOOSE(CharGenMain!$C$206,H22,K22,N22,Q22,T22,W22,Z22,AC22,AF22,AI22,AL22,AO22,AR22,AU22,AX22)</f>
        <v>#VALUE!</v>
      </c>
      <c r="BB22" s="21" t="e">
        <f>CHOOSE(CharGenMain!$C$206,I22,L22,O22,R22,U22,X22,AA22,AD22,AG22,AJ22,AM22,AP22,AS22,AV22,AY22)</f>
        <v>#VALUE!</v>
      </c>
      <c r="BC22" s="21" t="e">
        <f>CHOOSE(CharGenMain!$C$207,G22,J22,M22,P22,S22,V22,Y22,AB22,AE22,AH22,AK22,AN22,AQ22,AT22,AW22)</f>
        <v>#VALUE!</v>
      </c>
      <c r="BD22" s="21" t="e">
        <f>CHOOSE(CharGenMain!$C$207,H22,K22,N22,Q22,T22,W22,Z22,AC22,AF22,AI22,AL22,AO22,AR22,AU22,AX22)</f>
        <v>#VALUE!</v>
      </c>
      <c r="BE22" s="28" t="e">
        <f>CHOOSE(CharGenMain!$C$207,I22,L22,O22,R22,U22,X22,AA22,AD22,AG22,AJ22,AM22,AP22,AS22,AV22,AY22)</f>
        <v>#VALUE!</v>
      </c>
      <c r="BG22" s="226" t="s">
        <v>5809</v>
      </c>
      <c r="BH22" s="167" t="s">
        <v>534</v>
      </c>
      <c r="BI22" s="14" t="s">
        <v>2667</v>
      </c>
      <c r="BJ22" s="14">
        <v>1</v>
      </c>
      <c r="BK22" s="14">
        <v>4</v>
      </c>
      <c r="BL22" s="14">
        <v>8</v>
      </c>
      <c r="BM22" s="168">
        <v>6</v>
      </c>
      <c r="BN22" s="168">
        <v>0</v>
      </c>
      <c r="BO22" s="168" t="s">
        <v>1215</v>
      </c>
      <c r="BP22" s="168">
        <v>6</v>
      </c>
      <c r="BQ22" s="168">
        <v>1</v>
      </c>
      <c r="BR22" s="168" t="s">
        <v>1215</v>
      </c>
      <c r="BS22" s="168">
        <v>7</v>
      </c>
      <c r="BT22" s="168">
        <v>1</v>
      </c>
      <c r="BU22" s="168" t="s">
        <v>1215</v>
      </c>
      <c r="BV22" s="168">
        <v>7</v>
      </c>
      <c r="BW22" s="168">
        <v>2</v>
      </c>
      <c r="BX22" s="168" t="s">
        <v>1215</v>
      </c>
      <c r="BY22" s="87" t="s">
        <v>2997</v>
      </c>
      <c r="BZ22" s="87" t="s">
        <v>2997</v>
      </c>
      <c r="CA22" s="87" t="s">
        <v>2997</v>
      </c>
      <c r="CB22" s="87" t="s">
        <v>2997</v>
      </c>
      <c r="CC22" s="87" t="s">
        <v>2997</v>
      </c>
      <c r="CD22" s="87" t="s">
        <v>2997</v>
      </c>
      <c r="CE22" s="87" t="s">
        <v>2997</v>
      </c>
      <c r="CF22" s="87" t="s">
        <v>2997</v>
      </c>
      <c r="CG22" s="87" t="s">
        <v>2997</v>
      </c>
      <c r="CH22" s="87" t="s">
        <v>2997</v>
      </c>
      <c r="CI22" s="87" t="s">
        <v>2997</v>
      </c>
      <c r="CJ22" s="87" t="s">
        <v>2997</v>
      </c>
      <c r="CK22" s="87" t="s">
        <v>2997</v>
      </c>
      <c r="CL22" s="87" t="s">
        <v>2997</v>
      </c>
      <c r="CM22" s="87" t="s">
        <v>2997</v>
      </c>
      <c r="CN22" s="87" t="s">
        <v>2997</v>
      </c>
      <c r="CO22" s="87" t="s">
        <v>2997</v>
      </c>
      <c r="CP22" s="87" t="s">
        <v>2997</v>
      </c>
      <c r="CQ22" s="87" t="s">
        <v>2997</v>
      </c>
      <c r="CR22" s="87" t="s">
        <v>2997</v>
      </c>
      <c r="CS22" s="87" t="s">
        <v>2997</v>
      </c>
      <c r="CT22" s="87" t="s">
        <v>2997</v>
      </c>
      <c r="CU22" s="87" t="s">
        <v>2997</v>
      </c>
      <c r="CV22" s="87" t="s">
        <v>2997</v>
      </c>
      <c r="CW22" s="87" t="s">
        <v>2997</v>
      </c>
      <c r="CX22" s="87" t="s">
        <v>2997</v>
      </c>
      <c r="CY22" s="87" t="s">
        <v>2997</v>
      </c>
      <c r="CZ22" s="87" t="s">
        <v>2997</v>
      </c>
      <c r="DA22" s="87" t="s">
        <v>2997</v>
      </c>
      <c r="DB22" s="87" t="s">
        <v>2997</v>
      </c>
      <c r="DC22" s="87" t="s">
        <v>2997</v>
      </c>
      <c r="DD22" s="87" t="s">
        <v>2997</v>
      </c>
      <c r="DE22" s="87" t="s">
        <v>2997</v>
      </c>
      <c r="DF22" s="21" t="e">
        <f>CHOOSE(CharGenMain!$C$209,BM22,BP22,BS22,BV22,BY22,CB22,CE22,CH22,CK22,CN22,CQ22,CT22,CW22,CZ22,DC22)</f>
        <v>#VALUE!</v>
      </c>
      <c r="DG22" s="21" t="e">
        <f>CHOOSE(CharGenMain!$C$209,BN22,BQ22,BT22,BW22,BZ22,CC22,CF22,CI22,CL22,CO22,CR22,CU22,CX22,DA22,DD22)</f>
        <v>#VALUE!</v>
      </c>
      <c r="DH22" s="21" t="e">
        <f>CHOOSE(CharGenMain!$C$209,BO22,BR22,BU22,BX22,CA22,CD22,CG22,CJ22,CM22,CP22,CS22,CV22,CY22,DB22,DE22)</f>
        <v>#VALUE!</v>
      </c>
      <c r="DI22" s="21" t="e">
        <f>CHOOSE(CharGenMain!$C$210,BM22,BP22,BS22,BV22,BY22,CB22,CE22,CH22,CK22,CN22,CQ22,CT22,CW22,CZ22,DC22)</f>
        <v>#VALUE!</v>
      </c>
      <c r="DJ22" s="21" t="e">
        <f>CHOOSE(CharGenMain!$C$210,BN22,BQ22,BT22,BW22,BZ22,CC22,CF22,CI22,CL22,CO22,CR22,CU22,CX22,DA22,DD22)</f>
        <v>#VALUE!</v>
      </c>
      <c r="DK22" s="28" t="e">
        <f>CHOOSE(CharGenMain!$C$210,BO22,BR22,BU22,BX22,CA22,CD22,CG22,CJ22,CM22,CP22,CS22,CV22,CY22,DB22,DE22)</f>
        <v>#VALUE!</v>
      </c>
    </row>
    <row r="23" spans="1:115">
      <c r="A23" s="20" t="s">
        <v>984</v>
      </c>
      <c r="B23" s="167" t="s">
        <v>985</v>
      </c>
      <c r="C23" s="14" t="s">
        <v>2279</v>
      </c>
      <c r="D23" s="14">
        <v>2</v>
      </c>
      <c r="E23" s="14">
        <v>5</v>
      </c>
      <c r="F23" s="14">
        <v>12</v>
      </c>
      <c r="G23" s="168">
        <v>3</v>
      </c>
      <c r="H23" s="168">
        <v>0</v>
      </c>
      <c r="I23" s="207" t="s">
        <v>986</v>
      </c>
      <c r="J23" s="168">
        <v>3</v>
      </c>
      <c r="K23" s="168">
        <v>0</v>
      </c>
      <c r="L23" s="207" t="s">
        <v>987</v>
      </c>
      <c r="M23" s="168">
        <v>4</v>
      </c>
      <c r="N23" s="168">
        <v>0</v>
      </c>
      <c r="O23" s="207" t="s">
        <v>988</v>
      </c>
      <c r="P23" s="168">
        <v>4</v>
      </c>
      <c r="Q23" s="168">
        <v>0</v>
      </c>
      <c r="R23" s="207" t="s">
        <v>989</v>
      </c>
      <c r="S23" s="168">
        <v>4</v>
      </c>
      <c r="T23" s="168">
        <v>0</v>
      </c>
      <c r="U23" s="207" t="s">
        <v>990</v>
      </c>
      <c r="V23" s="87" t="s">
        <v>2997</v>
      </c>
      <c r="W23" s="87" t="s">
        <v>2997</v>
      </c>
      <c r="X23" s="87" t="s">
        <v>2997</v>
      </c>
      <c r="Y23" s="87" t="s">
        <v>2997</v>
      </c>
      <c r="Z23" s="87" t="s">
        <v>2997</v>
      </c>
      <c r="AA23" s="87" t="s">
        <v>2997</v>
      </c>
      <c r="AB23" s="87" t="s">
        <v>2997</v>
      </c>
      <c r="AC23" s="87" t="s">
        <v>2997</v>
      </c>
      <c r="AD23" s="87" t="s">
        <v>2997</v>
      </c>
      <c r="AE23" s="87" t="s">
        <v>2997</v>
      </c>
      <c r="AF23" s="87" t="s">
        <v>2997</v>
      </c>
      <c r="AG23" s="87" t="s">
        <v>2997</v>
      </c>
      <c r="AH23" s="87" t="s">
        <v>2997</v>
      </c>
      <c r="AI23" s="87" t="s">
        <v>2997</v>
      </c>
      <c r="AJ23" s="87" t="s">
        <v>2997</v>
      </c>
      <c r="AK23" s="87" t="s">
        <v>2997</v>
      </c>
      <c r="AL23" s="87" t="s">
        <v>2997</v>
      </c>
      <c r="AM23" s="87" t="s">
        <v>2997</v>
      </c>
      <c r="AN23" s="87" t="s">
        <v>2997</v>
      </c>
      <c r="AO23" s="87" t="s">
        <v>2997</v>
      </c>
      <c r="AP23" s="87" t="s">
        <v>2997</v>
      </c>
      <c r="AQ23" s="87" t="s">
        <v>2997</v>
      </c>
      <c r="AR23" s="87" t="s">
        <v>2997</v>
      </c>
      <c r="AS23" s="87" t="s">
        <v>2997</v>
      </c>
      <c r="AT23" s="87" t="s">
        <v>2997</v>
      </c>
      <c r="AU23" s="87" t="s">
        <v>2997</v>
      </c>
      <c r="AV23" s="87" t="s">
        <v>2997</v>
      </c>
      <c r="AW23" s="87" t="s">
        <v>2997</v>
      </c>
      <c r="AX23" s="87" t="s">
        <v>2997</v>
      </c>
      <c r="AY23" s="87" t="s">
        <v>2997</v>
      </c>
      <c r="AZ23" s="21" t="e">
        <f>CHOOSE(CharGenMain!$C$206,G23,J23,M23,P23,S23,V23,Y23,AB23,AE23,AH23,AK23,AN23,AQ23,AT23,AW23)</f>
        <v>#VALUE!</v>
      </c>
      <c r="BA23" s="21" t="e">
        <f>CHOOSE(CharGenMain!$C$206,H23,K23,N23,Q23,T23,W23,Z23,AC23,AF23,AI23,AL23,AO23,AR23,AU23,AX23)</f>
        <v>#VALUE!</v>
      </c>
      <c r="BB23" s="21" t="e">
        <f>CHOOSE(CharGenMain!$C$206,I23,L23,O23,R23,U23,X23,AA23,AD23,AG23,AJ23,AM23,AP23,AS23,AV23,AY23)</f>
        <v>#VALUE!</v>
      </c>
      <c r="BC23" s="21" t="e">
        <f>CHOOSE(CharGenMain!$C$207,G23,J23,M23,P23,S23,V23,Y23,AB23,AE23,AH23,AK23,AN23,AQ23,AT23,AW23)</f>
        <v>#VALUE!</v>
      </c>
      <c r="BD23" s="21" t="e">
        <f>CHOOSE(CharGenMain!$C$207,H23,K23,N23,Q23,T23,W23,Z23,AC23,AF23,AI23,AL23,AO23,AR23,AU23,AX23)</f>
        <v>#VALUE!</v>
      </c>
      <c r="BE23" s="28" t="e">
        <f>CHOOSE(CharGenMain!$C$207,I23,L23,O23,R23,U23,X23,AA23,AD23,AG23,AJ23,AM23,AP23,AS23,AV23,AY23)</f>
        <v>#VALUE!</v>
      </c>
      <c r="BG23" s="232" t="s">
        <v>991</v>
      </c>
      <c r="BH23" s="23" t="s">
        <v>1344</v>
      </c>
      <c r="BI23" s="23" t="s">
        <v>2667</v>
      </c>
      <c r="BJ23" s="23">
        <v>2</v>
      </c>
      <c r="BK23" s="23">
        <v>4</v>
      </c>
      <c r="BL23" s="23">
        <v>13</v>
      </c>
      <c r="BM23" s="29">
        <v>7</v>
      </c>
      <c r="BN23" s="29">
        <v>0</v>
      </c>
      <c r="BO23" s="29" t="s">
        <v>1215</v>
      </c>
      <c r="BP23" s="29">
        <v>7</v>
      </c>
      <c r="BQ23" s="29">
        <v>0</v>
      </c>
      <c r="BR23" s="29" t="s">
        <v>992</v>
      </c>
      <c r="BS23" s="29">
        <v>8</v>
      </c>
      <c r="BT23" s="29">
        <v>0</v>
      </c>
      <c r="BU23" s="29" t="s">
        <v>992</v>
      </c>
      <c r="BV23" s="29">
        <v>9</v>
      </c>
      <c r="BW23" s="29">
        <v>0</v>
      </c>
      <c r="BX23" s="29" t="s">
        <v>992</v>
      </c>
      <c r="BY23" s="117" t="s">
        <v>2997</v>
      </c>
      <c r="BZ23" s="117" t="s">
        <v>2997</v>
      </c>
      <c r="CA23" s="117" t="s">
        <v>2997</v>
      </c>
      <c r="CB23" s="117" t="s">
        <v>2997</v>
      </c>
      <c r="CC23" s="117" t="s">
        <v>2997</v>
      </c>
      <c r="CD23" s="117" t="s">
        <v>2997</v>
      </c>
      <c r="CE23" s="117" t="s">
        <v>2997</v>
      </c>
      <c r="CF23" s="117" t="s">
        <v>2997</v>
      </c>
      <c r="CG23" s="117" t="s">
        <v>2997</v>
      </c>
      <c r="CH23" s="117" t="s">
        <v>2997</v>
      </c>
      <c r="CI23" s="117" t="s">
        <v>2997</v>
      </c>
      <c r="CJ23" s="117" t="s">
        <v>2997</v>
      </c>
      <c r="CK23" s="117" t="s">
        <v>2997</v>
      </c>
      <c r="CL23" s="117" t="s">
        <v>2997</v>
      </c>
      <c r="CM23" s="117" t="s">
        <v>2997</v>
      </c>
      <c r="CN23" s="117" t="s">
        <v>2997</v>
      </c>
      <c r="CO23" s="117" t="s">
        <v>2997</v>
      </c>
      <c r="CP23" s="117" t="s">
        <v>2997</v>
      </c>
      <c r="CQ23" s="117" t="s">
        <v>2997</v>
      </c>
      <c r="CR23" s="117" t="s">
        <v>2997</v>
      </c>
      <c r="CS23" s="117" t="s">
        <v>2997</v>
      </c>
      <c r="CT23" s="117" t="s">
        <v>2997</v>
      </c>
      <c r="CU23" s="117" t="s">
        <v>2997</v>
      </c>
      <c r="CV23" s="117" t="s">
        <v>2997</v>
      </c>
      <c r="CW23" s="117" t="s">
        <v>2997</v>
      </c>
      <c r="CX23" s="117" t="s">
        <v>2997</v>
      </c>
      <c r="CY23" s="117" t="s">
        <v>2997</v>
      </c>
      <c r="CZ23" s="117" t="s">
        <v>2997</v>
      </c>
      <c r="DA23" s="117" t="s">
        <v>2997</v>
      </c>
      <c r="DB23" s="117" t="s">
        <v>2997</v>
      </c>
      <c r="DC23" s="117" t="s">
        <v>2997</v>
      </c>
      <c r="DD23" s="117" t="s">
        <v>2997</v>
      </c>
      <c r="DE23" s="117" t="s">
        <v>2997</v>
      </c>
      <c r="DF23" s="29" t="e">
        <f>CHOOSE(CharGenMain!$C$209,BM23,BP23,BS23,BV23,BY23,CB23,CE23,CH23,CK23,CN23,CQ23,CT23,CW23,CZ23,DC23)</f>
        <v>#VALUE!</v>
      </c>
      <c r="DG23" s="29" t="e">
        <f>CHOOSE(CharGenMain!$C$209,BN23,BQ23,BT23,BW23,BZ23,CC23,CF23,CI23,CL23,CO23,CR23,CU23,CX23,DA23,DD23)</f>
        <v>#VALUE!</v>
      </c>
      <c r="DH23" s="29" t="e">
        <f>CHOOSE(CharGenMain!$C$209,BO23,BR23,BU23,BX23,CA23,CD23,CG23,CJ23,CM23,CP23,CS23,CV23,CY23,DB23,DE23)</f>
        <v>#VALUE!</v>
      </c>
      <c r="DI23" s="29" t="e">
        <f>CHOOSE(CharGenMain!$C$210,BM23,BP23,BS23,BV23,BY23,CB23,CE23,CH23,CK23,CN23,CQ23,CT23,CW23,CZ23,DC23)</f>
        <v>#VALUE!</v>
      </c>
      <c r="DJ23" s="29" t="e">
        <f>CHOOSE(CharGenMain!$C$210,BN23,BQ23,BT23,BW23,BZ23,CC23,CF23,CI23,CL23,CO23,CR23,CU23,CX23,DA23,DD23)</f>
        <v>#VALUE!</v>
      </c>
      <c r="DK23" s="61" t="e">
        <f>CHOOSE(CharGenMain!$C$210,BO23,BR23,BU23,BX23,CA23,CD23,CG23,CJ23,CM23,CP23,CS23,CV23,CY23,DB23,DE23)</f>
        <v>#VALUE!</v>
      </c>
    </row>
    <row r="24" spans="1:115">
      <c r="A24" s="20" t="s">
        <v>993</v>
      </c>
      <c r="B24" s="167" t="s">
        <v>994</v>
      </c>
      <c r="C24" s="14" t="s">
        <v>2279</v>
      </c>
      <c r="D24" s="14">
        <v>4</v>
      </c>
      <c r="E24" s="14">
        <v>6</v>
      </c>
      <c r="F24" s="14">
        <v>26</v>
      </c>
      <c r="G24" s="87">
        <v>16</v>
      </c>
      <c r="H24" s="87">
        <v>0</v>
      </c>
      <c r="I24" s="87" t="s">
        <v>1215</v>
      </c>
      <c r="J24" s="87">
        <v>18</v>
      </c>
      <c r="K24" s="87">
        <v>0</v>
      </c>
      <c r="L24" s="87" t="s">
        <v>1215</v>
      </c>
      <c r="M24" s="87">
        <v>18</v>
      </c>
      <c r="N24" s="87">
        <v>0</v>
      </c>
      <c r="O24" s="87" t="s">
        <v>905</v>
      </c>
      <c r="P24" s="87">
        <v>18</v>
      </c>
      <c r="Q24" s="87">
        <v>0</v>
      </c>
      <c r="R24" s="87" t="s">
        <v>906</v>
      </c>
      <c r="S24" s="87">
        <v>18</v>
      </c>
      <c r="T24" s="87">
        <v>0</v>
      </c>
      <c r="U24" s="87" t="s">
        <v>820</v>
      </c>
      <c r="V24" s="87">
        <v>18</v>
      </c>
      <c r="W24" s="87">
        <v>0</v>
      </c>
      <c r="X24" s="87" t="s">
        <v>821</v>
      </c>
      <c r="Y24" s="113" t="s">
        <v>2997</v>
      </c>
      <c r="Z24" s="113" t="s">
        <v>2997</v>
      </c>
      <c r="AA24" s="87" t="s">
        <v>2997</v>
      </c>
      <c r="AB24" s="87" t="s">
        <v>2997</v>
      </c>
      <c r="AC24" s="87" t="s">
        <v>2997</v>
      </c>
      <c r="AD24" s="87" t="s">
        <v>2997</v>
      </c>
      <c r="AE24" s="87" t="s">
        <v>2997</v>
      </c>
      <c r="AF24" s="87" t="s">
        <v>2997</v>
      </c>
      <c r="AG24" s="87" t="s">
        <v>2997</v>
      </c>
      <c r="AH24" s="87" t="s">
        <v>2997</v>
      </c>
      <c r="AI24" s="87" t="s">
        <v>2997</v>
      </c>
      <c r="AJ24" s="87" t="s">
        <v>2997</v>
      </c>
      <c r="AK24" s="87" t="s">
        <v>2997</v>
      </c>
      <c r="AL24" s="87" t="s">
        <v>2997</v>
      </c>
      <c r="AM24" s="87" t="s">
        <v>2997</v>
      </c>
      <c r="AN24" s="87" t="s">
        <v>2997</v>
      </c>
      <c r="AO24" s="87" t="s">
        <v>2997</v>
      </c>
      <c r="AP24" s="87" t="s">
        <v>2997</v>
      </c>
      <c r="AQ24" s="87" t="s">
        <v>2997</v>
      </c>
      <c r="AR24" s="87" t="s">
        <v>2997</v>
      </c>
      <c r="AS24" s="87" t="s">
        <v>2997</v>
      </c>
      <c r="AT24" s="87" t="s">
        <v>2997</v>
      </c>
      <c r="AU24" s="87" t="s">
        <v>2997</v>
      </c>
      <c r="AV24" s="87" t="s">
        <v>2997</v>
      </c>
      <c r="AW24" s="87" t="s">
        <v>2997</v>
      </c>
      <c r="AX24" s="87" t="s">
        <v>2997</v>
      </c>
      <c r="AY24" s="87" t="s">
        <v>2997</v>
      </c>
      <c r="AZ24" s="21" t="e">
        <f>CHOOSE(CharGenMain!$C$206,G24,J24,M24,P24,S24,V24,Y24,AB24,AE24,AH24,AK24,AN24,AQ24,AT24,AW24)</f>
        <v>#VALUE!</v>
      </c>
      <c r="BA24" s="21" t="e">
        <f>CHOOSE(CharGenMain!$C$206,H24,K24,N24,Q24,T24,W24,Z24,AC24,AF24,AI24,AL24,AO24,AR24,AU24,AX24)</f>
        <v>#VALUE!</v>
      </c>
      <c r="BB24" s="21" t="e">
        <f>CHOOSE(CharGenMain!$C$206,I24,L24,O24,R24,U24,X24,AA24,AD24,AG24,AJ24,AM24,AP24,AS24,AV24,AY24)</f>
        <v>#VALUE!</v>
      </c>
      <c r="BC24" s="21" t="e">
        <f>CHOOSE(CharGenMain!$C$207,G24,J24,M24,P24,S24,V24,Y24,AB24,AE24,AH24,AK24,AN24,AQ24,AT24,AW24)</f>
        <v>#VALUE!</v>
      </c>
      <c r="BD24" s="21" t="e">
        <f>CHOOSE(CharGenMain!$C$207,H24,K24,N24,Q24,T24,W24,Z24,AC24,AF24,AI24,AL24,AO24,AR24,AU24,AX24)</f>
        <v>#VALUE!</v>
      </c>
      <c r="BE24" s="28" t="e">
        <f>CHOOSE(CharGenMain!$C$207,I24,L24,O24,R24,U24,X24,AA24,AD24,AG24,AJ24,AM24,AP24,AS24,AV24,AY24)</f>
        <v>#VALUE!</v>
      </c>
    </row>
    <row r="25" spans="1:115">
      <c r="A25" s="20" t="s">
        <v>916</v>
      </c>
      <c r="B25" s="167" t="s">
        <v>917</v>
      </c>
      <c r="C25" s="14" t="s">
        <v>2279</v>
      </c>
      <c r="D25" s="14">
        <v>3</v>
      </c>
      <c r="E25" s="14">
        <v>8</v>
      </c>
      <c r="F25" s="14">
        <v>14</v>
      </c>
      <c r="G25" s="168">
        <v>8</v>
      </c>
      <c r="H25" s="168">
        <v>0</v>
      </c>
      <c r="I25" s="168" t="s">
        <v>918</v>
      </c>
      <c r="J25" s="168">
        <v>9</v>
      </c>
      <c r="K25" s="168">
        <v>0</v>
      </c>
      <c r="L25" s="168" t="s">
        <v>918</v>
      </c>
      <c r="M25" s="168">
        <v>9</v>
      </c>
      <c r="N25" s="168">
        <v>0</v>
      </c>
      <c r="O25" s="168" t="s">
        <v>909</v>
      </c>
      <c r="P25" s="168">
        <v>10</v>
      </c>
      <c r="Q25" s="168">
        <v>0</v>
      </c>
      <c r="R25" s="168" t="s">
        <v>909</v>
      </c>
      <c r="S25" s="168">
        <v>9</v>
      </c>
      <c r="T25" s="168">
        <v>0</v>
      </c>
      <c r="U25" s="168" t="s">
        <v>1018</v>
      </c>
      <c r="V25" s="168">
        <v>10</v>
      </c>
      <c r="W25" s="168">
        <v>0</v>
      </c>
      <c r="X25" s="168" t="s">
        <v>1018</v>
      </c>
      <c r="Y25" s="168">
        <v>11</v>
      </c>
      <c r="Z25" s="168">
        <v>0</v>
      </c>
      <c r="AA25" s="168" t="s">
        <v>1018</v>
      </c>
      <c r="AB25" s="168">
        <v>12</v>
      </c>
      <c r="AC25" s="168">
        <v>0</v>
      </c>
      <c r="AD25" s="168" t="s">
        <v>1018</v>
      </c>
      <c r="AE25" s="168">
        <v>12</v>
      </c>
      <c r="AF25" s="168">
        <v>0</v>
      </c>
      <c r="AG25" s="168" t="s">
        <v>1028</v>
      </c>
      <c r="AH25" s="87" t="s">
        <v>2997</v>
      </c>
      <c r="AI25" s="87" t="s">
        <v>2997</v>
      </c>
      <c r="AJ25" s="87" t="s">
        <v>2997</v>
      </c>
      <c r="AK25" s="87" t="s">
        <v>2997</v>
      </c>
      <c r="AL25" s="87" t="s">
        <v>2997</v>
      </c>
      <c r="AM25" s="87" t="s">
        <v>2997</v>
      </c>
      <c r="AN25" s="87" t="s">
        <v>2997</v>
      </c>
      <c r="AO25" s="87" t="s">
        <v>2997</v>
      </c>
      <c r="AP25" s="87" t="s">
        <v>2997</v>
      </c>
      <c r="AQ25" s="87" t="s">
        <v>2997</v>
      </c>
      <c r="AR25" s="87" t="s">
        <v>2997</v>
      </c>
      <c r="AS25" s="87" t="s">
        <v>2997</v>
      </c>
      <c r="AT25" s="87" t="s">
        <v>2997</v>
      </c>
      <c r="AU25" s="87" t="s">
        <v>2997</v>
      </c>
      <c r="AV25" s="87" t="s">
        <v>2997</v>
      </c>
      <c r="AW25" s="87" t="s">
        <v>2997</v>
      </c>
      <c r="AX25" s="87" t="s">
        <v>2997</v>
      </c>
      <c r="AY25" s="87" t="s">
        <v>2997</v>
      </c>
      <c r="AZ25" s="21" t="e">
        <f>CHOOSE(CharGenMain!$C$206,G25,J25,M25,P25,S25,V25,Y25,AB25,AE25,AH25,AK25,AN25,AQ25,AT25,AW25)</f>
        <v>#VALUE!</v>
      </c>
      <c r="BA25" s="21" t="e">
        <f>CHOOSE(CharGenMain!$C$206,H25,K25,N25,Q25,T25,W25,Z25,AC25,AF25,AI25,AL25,AO25,AR25,AU25,AX25)</f>
        <v>#VALUE!</v>
      </c>
      <c r="BB25" s="21" t="e">
        <f>CHOOSE(CharGenMain!$C$206,I25,L25,O25,R25,U25,X25,AA25,AD25,AG25,AJ25,AM25,AP25,AS25,AV25,AY25)</f>
        <v>#VALUE!</v>
      </c>
      <c r="BC25" s="21" t="e">
        <f>CHOOSE(CharGenMain!$C$207,G25,J25,M25,P25,S25,V25,Y25,AB25,AE25,AH25,AK25,AN25,AQ25,AT25,AW25)</f>
        <v>#VALUE!</v>
      </c>
      <c r="BD25" s="21" t="e">
        <f>CHOOSE(CharGenMain!$C$207,H25,K25,N25,Q25,T25,W25,Z25,AC25,AF25,AI25,AL25,AO25,AR25,AU25,AX25)</f>
        <v>#VALUE!</v>
      </c>
      <c r="BE25" s="28" t="e">
        <f>CHOOSE(CharGenMain!$C$207,I25,L25,O25,R25,U25,X25,AA25,AD25,AG25,AJ25,AM25,AP25,AS25,AV25,AY25)</f>
        <v>#VALUE!</v>
      </c>
    </row>
    <row r="26" spans="1:115">
      <c r="A26" s="227" t="s">
        <v>1029</v>
      </c>
      <c r="B26" s="167" t="s">
        <v>1964</v>
      </c>
      <c r="C26" s="14" t="s">
        <v>2279</v>
      </c>
      <c r="D26" s="14">
        <v>3</v>
      </c>
      <c r="E26" s="14">
        <v>5</v>
      </c>
      <c r="F26" s="14">
        <v>20</v>
      </c>
      <c r="G26" s="87">
        <v>15</v>
      </c>
      <c r="H26" s="87">
        <v>0</v>
      </c>
      <c r="I26" s="87" t="s">
        <v>1030</v>
      </c>
      <c r="J26" s="87">
        <v>16</v>
      </c>
      <c r="K26" s="87">
        <v>0</v>
      </c>
      <c r="L26" s="87" t="s">
        <v>1027</v>
      </c>
      <c r="M26" s="87">
        <v>16</v>
      </c>
      <c r="N26" s="87">
        <v>0</v>
      </c>
      <c r="O26" s="87" t="s">
        <v>1035</v>
      </c>
      <c r="P26" s="87">
        <v>18</v>
      </c>
      <c r="Q26" s="87">
        <v>0</v>
      </c>
      <c r="R26" s="87" t="s">
        <v>928</v>
      </c>
      <c r="S26" s="87">
        <v>20</v>
      </c>
      <c r="T26" s="87">
        <v>0</v>
      </c>
      <c r="U26" s="87" t="s">
        <v>833</v>
      </c>
      <c r="V26" s="87" t="s">
        <v>2997</v>
      </c>
      <c r="W26" s="87" t="s">
        <v>2997</v>
      </c>
      <c r="X26" s="87" t="s">
        <v>2997</v>
      </c>
      <c r="Y26" s="87" t="s">
        <v>2997</v>
      </c>
      <c r="Z26" s="87" t="s">
        <v>2997</v>
      </c>
      <c r="AA26" s="87" t="s">
        <v>2997</v>
      </c>
      <c r="AB26" s="87" t="s">
        <v>2997</v>
      </c>
      <c r="AC26" s="87" t="s">
        <v>2997</v>
      </c>
      <c r="AD26" s="87" t="s">
        <v>2997</v>
      </c>
      <c r="AE26" s="87" t="s">
        <v>2997</v>
      </c>
      <c r="AF26" s="87" t="s">
        <v>2997</v>
      </c>
      <c r="AG26" s="87" t="s">
        <v>2997</v>
      </c>
      <c r="AH26" s="87" t="s">
        <v>2997</v>
      </c>
      <c r="AI26" s="87" t="s">
        <v>2997</v>
      </c>
      <c r="AJ26" s="87" t="s">
        <v>2997</v>
      </c>
      <c r="AK26" s="87" t="s">
        <v>2997</v>
      </c>
      <c r="AL26" s="87" t="s">
        <v>2997</v>
      </c>
      <c r="AM26" s="87" t="s">
        <v>2997</v>
      </c>
      <c r="AN26" s="87" t="s">
        <v>2997</v>
      </c>
      <c r="AO26" s="87" t="s">
        <v>2997</v>
      </c>
      <c r="AP26" s="87" t="s">
        <v>2997</v>
      </c>
      <c r="AQ26" s="87" t="s">
        <v>2997</v>
      </c>
      <c r="AR26" s="87" t="s">
        <v>2997</v>
      </c>
      <c r="AS26" s="87" t="s">
        <v>2997</v>
      </c>
      <c r="AT26" s="87" t="s">
        <v>2997</v>
      </c>
      <c r="AU26" s="87" t="s">
        <v>2997</v>
      </c>
      <c r="AV26" s="87" t="s">
        <v>2997</v>
      </c>
      <c r="AW26" s="87" t="s">
        <v>2997</v>
      </c>
      <c r="AX26" s="87" t="s">
        <v>2997</v>
      </c>
      <c r="AY26" s="87" t="s">
        <v>2997</v>
      </c>
      <c r="AZ26" s="21" t="e">
        <f>CHOOSE(CharGenMain!$C$206,G26,J26,M26,P26,S26,V26,Y26,AB26,AE26,AH26,AK26,AN26,AQ26,AT26,AW26)</f>
        <v>#VALUE!</v>
      </c>
      <c r="BA26" s="21" t="e">
        <f>CHOOSE(CharGenMain!$C$206,H26,K26,N26,Q26,T26,W26,Z26,AC26,AF26,AI26,AL26,AO26,AR26,AU26,AX26)</f>
        <v>#VALUE!</v>
      </c>
      <c r="BB26" s="21" t="e">
        <f>CHOOSE(CharGenMain!$C$206,I26,L26,O26,R26,U26,X26,AA26,AD26,AG26,AJ26,AM26,AP26,AS26,AV26,AY26)</f>
        <v>#VALUE!</v>
      </c>
      <c r="BC26" s="21" t="e">
        <f>CHOOSE(CharGenMain!$C$207,G26,J26,M26,P26,S26,V26,Y26,AB26,AE26,AH26,AK26,AN26,AQ26,AT26,AW26)</f>
        <v>#VALUE!</v>
      </c>
      <c r="BD26" s="21" t="e">
        <f>CHOOSE(CharGenMain!$C$207,H26,K26,N26,Q26,T26,W26,Z26,AC26,AF26,AI26,AL26,AO26,AR26,AU26,AX26)</f>
        <v>#VALUE!</v>
      </c>
      <c r="BE26" s="28" t="e">
        <f>CHOOSE(CharGenMain!$C$207,I26,L26,O26,R26,U26,X26,AA26,AD26,AG26,AJ26,AM26,AP26,AS26,AV26,AY26)</f>
        <v>#VALUE!</v>
      </c>
      <c r="BH26" s="167"/>
      <c r="BI26" s="14"/>
    </row>
    <row r="27" spans="1:115">
      <c r="A27" s="227" t="s">
        <v>834</v>
      </c>
      <c r="B27" s="167" t="s">
        <v>1906</v>
      </c>
      <c r="C27" s="14" t="s">
        <v>2279</v>
      </c>
      <c r="D27" s="14">
        <v>4</v>
      </c>
      <c r="E27" s="14">
        <v>8</v>
      </c>
      <c r="F27" s="14">
        <v>18</v>
      </c>
      <c r="G27" s="87">
        <v>14</v>
      </c>
      <c r="H27" s="87">
        <v>0</v>
      </c>
      <c r="I27" s="87" t="s">
        <v>1215</v>
      </c>
      <c r="J27" s="87">
        <v>14</v>
      </c>
      <c r="K27" s="87">
        <v>0</v>
      </c>
      <c r="L27" s="206" t="s">
        <v>835</v>
      </c>
      <c r="M27" s="87">
        <v>14</v>
      </c>
      <c r="N27" s="87">
        <v>0</v>
      </c>
      <c r="O27" s="206" t="s">
        <v>836</v>
      </c>
      <c r="P27" s="87">
        <v>14</v>
      </c>
      <c r="Q27" s="87">
        <v>0</v>
      </c>
      <c r="R27" s="206" t="s">
        <v>837</v>
      </c>
      <c r="S27" s="87">
        <v>15</v>
      </c>
      <c r="T27" s="87">
        <v>0</v>
      </c>
      <c r="U27" s="206" t="s">
        <v>838</v>
      </c>
      <c r="V27" s="87">
        <v>15</v>
      </c>
      <c r="W27" s="87">
        <v>0</v>
      </c>
      <c r="X27" s="206" t="s">
        <v>839</v>
      </c>
      <c r="Y27" s="87">
        <v>16</v>
      </c>
      <c r="Z27" s="87">
        <v>0</v>
      </c>
      <c r="AA27" s="206" t="s">
        <v>840</v>
      </c>
      <c r="AB27" s="87">
        <v>17</v>
      </c>
      <c r="AC27" s="87">
        <v>0</v>
      </c>
      <c r="AD27" s="206" t="s">
        <v>841</v>
      </c>
      <c r="AE27" s="87" t="s">
        <v>2997</v>
      </c>
      <c r="AF27" s="87" t="s">
        <v>2997</v>
      </c>
      <c r="AG27" s="87" t="s">
        <v>2997</v>
      </c>
      <c r="AH27" s="87" t="s">
        <v>2997</v>
      </c>
      <c r="AI27" s="87" t="s">
        <v>2997</v>
      </c>
      <c r="AJ27" s="87" t="s">
        <v>2997</v>
      </c>
      <c r="AK27" s="87" t="s">
        <v>2997</v>
      </c>
      <c r="AL27" s="87" t="s">
        <v>2997</v>
      </c>
      <c r="AM27" s="87" t="s">
        <v>2997</v>
      </c>
      <c r="AN27" s="87" t="s">
        <v>2997</v>
      </c>
      <c r="AO27" s="87" t="s">
        <v>2997</v>
      </c>
      <c r="AP27" s="87" t="s">
        <v>2997</v>
      </c>
      <c r="AQ27" s="87" t="s">
        <v>2997</v>
      </c>
      <c r="AR27" s="87" t="s">
        <v>2997</v>
      </c>
      <c r="AS27" s="87" t="s">
        <v>2997</v>
      </c>
      <c r="AT27" s="87" t="s">
        <v>2997</v>
      </c>
      <c r="AU27" s="87" t="s">
        <v>2997</v>
      </c>
      <c r="AV27" s="87" t="s">
        <v>2997</v>
      </c>
      <c r="AW27" s="87" t="s">
        <v>2997</v>
      </c>
      <c r="AX27" s="87" t="s">
        <v>2997</v>
      </c>
      <c r="AY27" s="87" t="s">
        <v>2997</v>
      </c>
      <c r="AZ27" s="21" t="e">
        <f>CHOOSE(CharGenMain!$C$206,G27,J27,M27,P27,S27,V27,Y27,AB27,AE27,AH27,AK27,AN27,AQ27,AT27,AW27)</f>
        <v>#VALUE!</v>
      </c>
      <c r="BA27" s="21" t="e">
        <f>CHOOSE(CharGenMain!$C$206,H27,K27,N27,Q27,T27,W27,Z27,AC27,AF27,AI27,AL27,AO27,AR27,AU27,AX27)</f>
        <v>#VALUE!</v>
      </c>
      <c r="BB27" s="21" t="e">
        <f>CHOOSE(CharGenMain!$C$206,I27,L27,O27,R27,U27,X27,AA27,AD27,AG27,AJ27,AM27,AP27,AS27,AV27,AY27)</f>
        <v>#VALUE!</v>
      </c>
      <c r="BC27" s="21" t="e">
        <f>CHOOSE(CharGenMain!$C$207,G27,J27,M27,P27,S27,V27,Y27,AB27,AE27,AH27,AK27,AN27,AQ27,AT27,AW27)</f>
        <v>#VALUE!</v>
      </c>
      <c r="BD27" s="21" t="e">
        <f>CHOOSE(CharGenMain!$C$207,H27,K27,N27,Q27,T27,W27,Z27,AC27,AF27,AI27,AL27,AO27,AR27,AU27,AX27)</f>
        <v>#VALUE!</v>
      </c>
      <c r="BE27" s="28" t="e">
        <f>CHOOSE(CharGenMain!$C$207,I27,L27,O27,R27,U27,X27,AA27,AD27,AG27,AJ27,AM27,AP27,AS27,AV27,AY27)</f>
        <v>#VALUE!</v>
      </c>
      <c r="BH27" s="167"/>
      <c r="BI27" s="14"/>
    </row>
    <row r="28" spans="1:115">
      <c r="A28" s="20" t="s">
        <v>266</v>
      </c>
      <c r="B28" s="167" t="s">
        <v>935</v>
      </c>
      <c r="C28" s="14" t="s">
        <v>2279</v>
      </c>
      <c r="D28" s="14">
        <v>2</v>
      </c>
      <c r="E28" s="14">
        <v>7</v>
      </c>
      <c r="F28" s="14">
        <v>14</v>
      </c>
      <c r="G28" s="87">
        <v>4</v>
      </c>
      <c r="H28" s="87">
        <v>0</v>
      </c>
      <c r="I28" s="206" t="s">
        <v>750</v>
      </c>
      <c r="J28" s="87">
        <v>4</v>
      </c>
      <c r="K28" s="87">
        <v>0</v>
      </c>
      <c r="L28" s="206" t="s">
        <v>843</v>
      </c>
      <c r="M28" s="87">
        <v>4</v>
      </c>
      <c r="N28" s="87">
        <v>0</v>
      </c>
      <c r="O28" s="206" t="s">
        <v>755</v>
      </c>
      <c r="P28" s="87">
        <v>4</v>
      </c>
      <c r="Q28" s="87">
        <v>0</v>
      </c>
      <c r="R28" s="206" t="s">
        <v>842</v>
      </c>
      <c r="S28" s="87">
        <v>4</v>
      </c>
      <c r="T28" s="87">
        <v>0</v>
      </c>
      <c r="U28" s="206" t="s">
        <v>941</v>
      </c>
      <c r="V28" s="87">
        <v>4</v>
      </c>
      <c r="W28" s="87">
        <v>0</v>
      </c>
      <c r="X28" s="206" t="s">
        <v>942</v>
      </c>
      <c r="Y28" s="87">
        <v>4</v>
      </c>
      <c r="Z28" s="87">
        <v>0</v>
      </c>
      <c r="AA28" s="206" t="s">
        <v>943</v>
      </c>
      <c r="AB28" s="87"/>
      <c r="AC28" s="87" t="s">
        <v>2997</v>
      </c>
      <c r="AD28" s="87" t="s">
        <v>2997</v>
      </c>
      <c r="AE28" s="87" t="s">
        <v>2997</v>
      </c>
      <c r="AF28" s="87" t="s">
        <v>2997</v>
      </c>
      <c r="AG28" s="87" t="s">
        <v>2997</v>
      </c>
      <c r="AH28" s="87" t="s">
        <v>2997</v>
      </c>
      <c r="AI28" s="87" t="s">
        <v>2997</v>
      </c>
      <c r="AJ28" s="87" t="s">
        <v>2997</v>
      </c>
      <c r="AK28" s="87" t="s">
        <v>2997</v>
      </c>
      <c r="AL28" s="87" t="s">
        <v>2997</v>
      </c>
      <c r="AM28" s="87" t="s">
        <v>2997</v>
      </c>
      <c r="AN28" s="87" t="s">
        <v>2997</v>
      </c>
      <c r="AO28" s="87" t="s">
        <v>2997</v>
      </c>
      <c r="AP28" s="87" t="s">
        <v>2997</v>
      </c>
      <c r="AQ28" s="87" t="s">
        <v>2997</v>
      </c>
      <c r="AR28" s="87" t="s">
        <v>2997</v>
      </c>
      <c r="AS28" s="87" t="s">
        <v>2997</v>
      </c>
      <c r="AT28" s="87" t="s">
        <v>2997</v>
      </c>
      <c r="AU28" s="87" t="s">
        <v>2997</v>
      </c>
      <c r="AV28" s="87" t="s">
        <v>2997</v>
      </c>
      <c r="AW28" s="87" t="s">
        <v>2997</v>
      </c>
      <c r="AX28" s="87" t="s">
        <v>2997</v>
      </c>
      <c r="AY28" s="87" t="s">
        <v>2997</v>
      </c>
      <c r="AZ28" s="21" t="e">
        <f>CHOOSE(CharGenMain!$C$206,G28,J28,M28,P28,S28,V28,Y28,AB28,AE28,AH28,AK28,AN28,AQ28,AT28,AW28)</f>
        <v>#VALUE!</v>
      </c>
      <c r="BA28" s="21" t="e">
        <f>CHOOSE(CharGenMain!$C$206,H28,K28,N28,Q28,T28,W28,Z28,AC28,AF28,AI28,AL28,AO28,AR28,AU28,AX28)</f>
        <v>#VALUE!</v>
      </c>
      <c r="BB28" s="21" t="e">
        <f>CHOOSE(CharGenMain!$C$206,I28,L28,O28,R28,U28,X28,AA28,AD28,AG28,AJ28,AM28,AP28,AS28,AV28,AY28)</f>
        <v>#VALUE!</v>
      </c>
      <c r="BC28" s="21" t="e">
        <f>CHOOSE(CharGenMain!$C$207,G28,J28,M28,P28,S28,V28,Y28,AB28,AE28,AH28,AK28,AN28,AQ28,AT28,AW28)</f>
        <v>#VALUE!</v>
      </c>
      <c r="BD28" s="21" t="e">
        <f>CHOOSE(CharGenMain!$C$207,H28,K28,N28,Q28,T28,W28,Z28,AC28,AF28,AI28,AL28,AO28,AR28,AU28,AX28)</f>
        <v>#VALUE!</v>
      </c>
      <c r="BE28" s="28" t="e">
        <f>CHOOSE(CharGenMain!$C$207,I28,L28,O28,R28,U28,X28,AA28,AD28,AG28,AJ28,AM28,AP28,AS28,AV28,AY28)</f>
        <v>#VALUE!</v>
      </c>
    </row>
    <row r="29" spans="1:115">
      <c r="A29" s="205" t="s">
        <v>944</v>
      </c>
      <c r="B29" s="167" t="s">
        <v>1419</v>
      </c>
      <c r="C29" s="14" t="s">
        <v>2279</v>
      </c>
      <c r="D29" s="14">
        <v>2</v>
      </c>
      <c r="E29" s="14">
        <v>12</v>
      </c>
      <c r="F29" s="14">
        <v>18</v>
      </c>
      <c r="G29" s="168">
        <v>13</v>
      </c>
      <c r="H29" s="168">
        <v>0</v>
      </c>
      <c r="I29" s="168" t="s">
        <v>1215</v>
      </c>
      <c r="J29" s="168">
        <v>13</v>
      </c>
      <c r="K29" s="168">
        <v>0</v>
      </c>
      <c r="L29" s="207" t="s">
        <v>945</v>
      </c>
      <c r="M29" s="168">
        <v>13</v>
      </c>
      <c r="N29" s="168">
        <v>0</v>
      </c>
      <c r="O29" s="207" t="s">
        <v>1070</v>
      </c>
      <c r="P29" s="168">
        <v>13</v>
      </c>
      <c r="Q29" s="168">
        <v>0</v>
      </c>
      <c r="R29" s="207" t="s">
        <v>1071</v>
      </c>
      <c r="S29" s="168">
        <v>14</v>
      </c>
      <c r="T29" s="168">
        <v>0</v>
      </c>
      <c r="U29" s="207" t="s">
        <v>1071</v>
      </c>
      <c r="V29" s="168">
        <v>14</v>
      </c>
      <c r="W29" s="168">
        <v>0</v>
      </c>
      <c r="X29" s="207" t="s">
        <v>1072</v>
      </c>
      <c r="Y29" s="168">
        <v>14</v>
      </c>
      <c r="Z29" s="168">
        <v>0</v>
      </c>
      <c r="AA29" s="207" t="s">
        <v>947</v>
      </c>
      <c r="AB29" s="168">
        <v>14</v>
      </c>
      <c r="AC29" s="168">
        <v>0</v>
      </c>
      <c r="AD29" s="207" t="s">
        <v>948</v>
      </c>
      <c r="AE29" s="168">
        <v>15</v>
      </c>
      <c r="AF29" s="168">
        <v>0</v>
      </c>
      <c r="AG29" s="207" t="s">
        <v>948</v>
      </c>
      <c r="AH29" s="168">
        <v>15</v>
      </c>
      <c r="AI29" s="168">
        <v>0</v>
      </c>
      <c r="AJ29" s="207" t="s">
        <v>949</v>
      </c>
      <c r="AK29" s="168">
        <v>15</v>
      </c>
      <c r="AL29" s="168">
        <v>0</v>
      </c>
      <c r="AM29" s="207" t="s">
        <v>858</v>
      </c>
      <c r="AN29" s="168">
        <v>15</v>
      </c>
      <c r="AO29" s="168">
        <v>0</v>
      </c>
      <c r="AP29" s="207" t="s">
        <v>858</v>
      </c>
      <c r="AQ29" s="87" t="s">
        <v>2997</v>
      </c>
      <c r="AR29" s="87" t="s">
        <v>2997</v>
      </c>
      <c r="AS29" s="87" t="s">
        <v>2997</v>
      </c>
      <c r="AT29" s="87" t="s">
        <v>2997</v>
      </c>
      <c r="AU29" s="87" t="s">
        <v>2997</v>
      </c>
      <c r="AV29" s="87" t="s">
        <v>2997</v>
      </c>
      <c r="AW29" s="87" t="s">
        <v>2997</v>
      </c>
      <c r="AX29" s="87" t="s">
        <v>2997</v>
      </c>
      <c r="AY29" s="87" t="s">
        <v>2997</v>
      </c>
      <c r="AZ29" s="21" t="e">
        <f>CHOOSE(CharGenMain!$C$206,G29,J29,M29,P29,S29,V29,Y29,AB29,AE29,AH29,AK29,AN29,AQ29,AT29,AW29)</f>
        <v>#VALUE!</v>
      </c>
      <c r="BA29" s="21" t="e">
        <f>CHOOSE(CharGenMain!$C$206,H29,K29,N29,Q29,T29,W29,Z29,AC29,AF29,AI29,AL29,AO29,AR29,AU29,AX29)</f>
        <v>#VALUE!</v>
      </c>
      <c r="BB29" s="21" t="e">
        <f>CHOOSE(CharGenMain!$C$206,I29,L29,O29,R29,U29,X29,AA29,AD29,AG29,AJ29,AM29,AP29,AS29,AV29,AY29)</f>
        <v>#VALUE!</v>
      </c>
      <c r="BC29" s="21" t="e">
        <f>CHOOSE(CharGenMain!$C$207,G29,J29,M29,P29,S29,V29,Y29,AB29,AE29,AH29,AK29,AN29,AQ29,AT29,AW29)</f>
        <v>#VALUE!</v>
      </c>
      <c r="BD29" s="21" t="e">
        <f>CHOOSE(CharGenMain!$C$207,H29,K29,N29,Q29,T29,W29,Z29,AC29,AF29,AI29,AL29,AO29,AR29,AU29,AX29)</f>
        <v>#VALUE!</v>
      </c>
      <c r="BE29" s="28" t="e">
        <f>CHOOSE(CharGenMain!$C$207,I29,L29,O29,R29,U29,X29,AA29,AD29,AG29,AJ29,AM29,AP29,AS29,AV29,AY29)</f>
        <v>#VALUE!</v>
      </c>
    </row>
    <row r="30" spans="1:115">
      <c r="A30" s="226" t="s">
        <v>859</v>
      </c>
      <c r="B30" s="167" t="s">
        <v>860</v>
      </c>
      <c r="C30" s="112" t="s">
        <v>2667</v>
      </c>
      <c r="D30" s="14">
        <v>3</v>
      </c>
      <c r="E30" s="14">
        <v>4</v>
      </c>
      <c r="F30" s="14">
        <v>15</v>
      </c>
      <c r="G30" s="168">
        <v>11</v>
      </c>
      <c r="H30" s="168">
        <v>0</v>
      </c>
      <c r="I30" s="168" t="s">
        <v>267</v>
      </c>
      <c r="J30" s="168">
        <v>12</v>
      </c>
      <c r="K30" s="168">
        <v>0</v>
      </c>
      <c r="L30" s="168" t="s">
        <v>268</v>
      </c>
      <c r="M30" s="168">
        <v>13</v>
      </c>
      <c r="N30" s="168">
        <v>0</v>
      </c>
      <c r="O30" s="168" t="s">
        <v>269</v>
      </c>
      <c r="P30" s="168">
        <v>14</v>
      </c>
      <c r="Q30" s="168">
        <v>0</v>
      </c>
      <c r="R30" s="168" t="s">
        <v>270</v>
      </c>
      <c r="S30" s="87" t="s">
        <v>2997</v>
      </c>
      <c r="T30" s="87" t="s">
        <v>2997</v>
      </c>
      <c r="U30" s="87" t="s">
        <v>2997</v>
      </c>
      <c r="V30" s="87" t="s">
        <v>2997</v>
      </c>
      <c r="W30" s="87" t="s">
        <v>2997</v>
      </c>
      <c r="X30" s="87" t="s">
        <v>2997</v>
      </c>
      <c r="Y30" s="87" t="s">
        <v>2997</v>
      </c>
      <c r="Z30" s="87" t="s">
        <v>2997</v>
      </c>
      <c r="AA30" s="87" t="s">
        <v>2997</v>
      </c>
      <c r="AB30" s="87" t="s">
        <v>2997</v>
      </c>
      <c r="AC30" s="87" t="s">
        <v>2997</v>
      </c>
      <c r="AD30" s="87" t="s">
        <v>2997</v>
      </c>
      <c r="AE30" s="87" t="s">
        <v>2997</v>
      </c>
      <c r="AF30" s="87" t="s">
        <v>2997</v>
      </c>
      <c r="AG30" s="87" t="s">
        <v>2997</v>
      </c>
      <c r="AH30" s="87" t="s">
        <v>2997</v>
      </c>
      <c r="AI30" s="87" t="s">
        <v>2997</v>
      </c>
      <c r="AJ30" s="87" t="s">
        <v>2997</v>
      </c>
      <c r="AK30" s="87" t="s">
        <v>2997</v>
      </c>
      <c r="AL30" s="87" t="s">
        <v>2997</v>
      </c>
      <c r="AM30" s="87" t="s">
        <v>2997</v>
      </c>
      <c r="AN30" s="87" t="s">
        <v>2997</v>
      </c>
      <c r="AO30" s="87" t="s">
        <v>2997</v>
      </c>
      <c r="AP30" s="87" t="s">
        <v>2997</v>
      </c>
      <c r="AQ30" s="87" t="s">
        <v>2997</v>
      </c>
      <c r="AR30" s="87" t="s">
        <v>2997</v>
      </c>
      <c r="AS30" s="87" t="s">
        <v>2997</v>
      </c>
      <c r="AT30" s="87" t="s">
        <v>2997</v>
      </c>
      <c r="AU30" s="87" t="s">
        <v>2997</v>
      </c>
      <c r="AV30" s="87" t="s">
        <v>2997</v>
      </c>
      <c r="AW30" s="87" t="s">
        <v>2997</v>
      </c>
      <c r="AX30" s="87" t="s">
        <v>2997</v>
      </c>
      <c r="AY30" s="87" t="s">
        <v>2997</v>
      </c>
      <c r="AZ30" s="21" t="e">
        <f>CHOOSE(CharGenMain!$C$206,G30,J30,M30,P30,S30,V30,Y30,AB30,AE30,AH30,AK30,AN30,AQ30,AT30,AW30)</f>
        <v>#VALUE!</v>
      </c>
      <c r="BA30" s="21" t="e">
        <f>CHOOSE(CharGenMain!$C$206,H30,K30,N30,Q30,T30,W30,Z30,AC30,AF30,AI30,AL30,AO30,AR30,AU30,AX30)</f>
        <v>#VALUE!</v>
      </c>
      <c r="BB30" s="21" t="e">
        <f>CHOOSE(CharGenMain!$C$206,I30,L30,O30,R30,U30,X30,AA30,AD30,AG30,AJ30,AM30,AP30,AS30,AV30,AY30)</f>
        <v>#VALUE!</v>
      </c>
      <c r="BC30" s="21" t="e">
        <f>CHOOSE(CharGenMain!$C$207,G30,J30,M30,P30,S30,V30,Y30,AB30,AE30,AH30,AK30,AN30,AQ30,AT30,AW30)</f>
        <v>#VALUE!</v>
      </c>
      <c r="BD30" s="21" t="e">
        <f>CHOOSE(CharGenMain!$C$207,H30,K30,N30,Q30,T30,W30,Z30,AC30,AF30,AI30,AL30,AO30,AR30,AU30,AX30)</f>
        <v>#VALUE!</v>
      </c>
      <c r="BE30" s="28" t="e">
        <f>CHOOSE(CharGenMain!$C$207,I30,L30,O30,R30,U30,X30,AA30,AD30,AG30,AJ30,AM30,AP30,AS30,AV30,AY30)</f>
        <v>#VALUE!</v>
      </c>
    </row>
    <row r="31" spans="1:115">
      <c r="A31" s="20" t="s">
        <v>861</v>
      </c>
      <c r="B31" s="167" t="s">
        <v>866</v>
      </c>
      <c r="C31" s="14" t="s">
        <v>2279</v>
      </c>
      <c r="D31" s="14">
        <v>2</v>
      </c>
      <c r="E31" s="14">
        <v>6</v>
      </c>
      <c r="F31" s="14">
        <v>13</v>
      </c>
      <c r="G31" s="87">
        <v>17</v>
      </c>
      <c r="H31" s="87">
        <v>0</v>
      </c>
      <c r="I31" s="87" t="s">
        <v>1215</v>
      </c>
      <c r="J31" s="87">
        <v>18</v>
      </c>
      <c r="K31" s="87">
        <v>0</v>
      </c>
      <c r="L31" s="87" t="s">
        <v>867</v>
      </c>
      <c r="M31" s="87">
        <v>18</v>
      </c>
      <c r="N31" s="87">
        <v>0</v>
      </c>
      <c r="O31" s="206" t="s">
        <v>868</v>
      </c>
      <c r="P31" s="87">
        <v>18</v>
      </c>
      <c r="Q31" s="87">
        <v>0</v>
      </c>
      <c r="R31" s="206" t="s">
        <v>964</v>
      </c>
      <c r="S31" s="87">
        <v>19</v>
      </c>
      <c r="T31" s="87">
        <v>0</v>
      </c>
      <c r="U31" s="206" t="s">
        <v>964</v>
      </c>
      <c r="V31" s="87">
        <v>19</v>
      </c>
      <c r="W31" s="87">
        <v>0</v>
      </c>
      <c r="X31" s="206" t="s">
        <v>960</v>
      </c>
      <c r="Y31" s="87" t="s">
        <v>2997</v>
      </c>
      <c r="Z31" s="87" t="s">
        <v>2997</v>
      </c>
      <c r="AA31" s="87" t="s">
        <v>2997</v>
      </c>
      <c r="AB31" s="87" t="s">
        <v>2997</v>
      </c>
      <c r="AC31" s="87" t="s">
        <v>2997</v>
      </c>
      <c r="AD31" s="87" t="s">
        <v>2997</v>
      </c>
      <c r="AE31" s="87" t="s">
        <v>2997</v>
      </c>
      <c r="AF31" s="87" t="s">
        <v>2997</v>
      </c>
      <c r="AG31" s="87" t="s">
        <v>2997</v>
      </c>
      <c r="AH31" s="87" t="s">
        <v>2997</v>
      </c>
      <c r="AI31" s="87" t="s">
        <v>2997</v>
      </c>
      <c r="AJ31" s="87" t="s">
        <v>2997</v>
      </c>
      <c r="AK31" s="87" t="s">
        <v>2997</v>
      </c>
      <c r="AL31" s="87" t="s">
        <v>2997</v>
      </c>
      <c r="AM31" s="87" t="s">
        <v>2997</v>
      </c>
      <c r="AN31" s="87" t="s">
        <v>2997</v>
      </c>
      <c r="AO31" s="87" t="s">
        <v>2997</v>
      </c>
      <c r="AP31" s="87" t="s">
        <v>2997</v>
      </c>
      <c r="AQ31" s="87" t="s">
        <v>2997</v>
      </c>
      <c r="AR31" s="87" t="s">
        <v>2997</v>
      </c>
      <c r="AS31" s="87" t="s">
        <v>2997</v>
      </c>
      <c r="AT31" s="87" t="s">
        <v>2997</v>
      </c>
      <c r="AU31" s="87" t="s">
        <v>2997</v>
      </c>
      <c r="AV31" s="87" t="s">
        <v>2997</v>
      </c>
      <c r="AW31" s="87" t="s">
        <v>2997</v>
      </c>
      <c r="AX31" s="87" t="s">
        <v>2997</v>
      </c>
      <c r="AY31" s="87" t="s">
        <v>2997</v>
      </c>
      <c r="AZ31" s="21" t="e">
        <f>CHOOSE(CharGenMain!$C$206,G31,J31,M31,P31,S31,V31,Y31,AB31,AE31,AH31,AK31,AN31,AQ31,AT31,AW31)</f>
        <v>#VALUE!</v>
      </c>
      <c r="BA31" s="21" t="e">
        <f>CHOOSE(CharGenMain!$C$206,H31,K31,N31,Q31,T31,W31,Z31,AC31,AF31,AI31,AL31,AO31,AR31,AU31,AX31)</f>
        <v>#VALUE!</v>
      </c>
      <c r="BB31" s="21" t="e">
        <f>CHOOSE(CharGenMain!$C$206,I31,L31,O31,R31,U31,X31,AA31,AD31,AG31,AJ31,AM31,AP31,AS31,AV31,AY31)</f>
        <v>#VALUE!</v>
      </c>
      <c r="BC31" s="21" t="e">
        <f>CHOOSE(CharGenMain!$C$207,G31,J31,M31,P31,S31,V31,Y31,AB31,AE31,AH31,AK31,AN31,AQ31,AT31,AW31)</f>
        <v>#VALUE!</v>
      </c>
      <c r="BD31" s="21" t="e">
        <f>CHOOSE(CharGenMain!$C$207,H31,K31,N31,Q31,T31,W31,Z31,AC31,AF31,AI31,AL31,AO31,AR31,AU31,AX31)</f>
        <v>#VALUE!</v>
      </c>
      <c r="BE31" s="28" t="e">
        <f>CHOOSE(CharGenMain!$C$207,I31,L31,O31,R31,U31,X31,AA31,AD31,AG31,AJ31,AM31,AP31,AS31,AV31,AY31)</f>
        <v>#VALUE!</v>
      </c>
    </row>
    <row r="32" spans="1:115">
      <c r="A32" s="20" t="s">
        <v>961</v>
      </c>
      <c r="B32" s="167" t="s">
        <v>4742</v>
      </c>
      <c r="C32" s="14" t="s">
        <v>2279</v>
      </c>
      <c r="D32" s="14">
        <v>3</v>
      </c>
      <c r="E32" s="14">
        <v>9</v>
      </c>
      <c r="F32" s="14">
        <v>15</v>
      </c>
      <c r="G32" s="168">
        <v>7</v>
      </c>
      <c r="H32" s="87">
        <v>1</v>
      </c>
      <c r="I32" s="87" t="s">
        <v>1089</v>
      </c>
      <c r="J32" s="168">
        <v>8</v>
      </c>
      <c r="K32" s="87">
        <v>2</v>
      </c>
      <c r="L32" s="87" t="s">
        <v>1090</v>
      </c>
      <c r="M32" s="168">
        <v>9</v>
      </c>
      <c r="N32" s="87">
        <v>3</v>
      </c>
      <c r="O32" s="87" t="s">
        <v>1093</v>
      </c>
      <c r="P32" s="168">
        <v>10</v>
      </c>
      <c r="Q32" s="87">
        <v>4</v>
      </c>
      <c r="R32" s="87" t="s">
        <v>1094</v>
      </c>
      <c r="S32" s="168">
        <v>11</v>
      </c>
      <c r="T32" s="87">
        <v>5</v>
      </c>
      <c r="U32" s="87" t="s">
        <v>1092</v>
      </c>
      <c r="V32" s="168">
        <v>12</v>
      </c>
      <c r="W32" s="87">
        <v>6</v>
      </c>
      <c r="X32" s="87" t="s">
        <v>971</v>
      </c>
      <c r="Y32" s="168">
        <v>13</v>
      </c>
      <c r="Z32" s="87">
        <v>7</v>
      </c>
      <c r="AA32" s="87" t="s">
        <v>972</v>
      </c>
      <c r="AB32" s="168">
        <v>14</v>
      </c>
      <c r="AC32" s="87">
        <v>8</v>
      </c>
      <c r="AD32" s="87" t="s">
        <v>970</v>
      </c>
      <c r="AE32" s="168">
        <v>15</v>
      </c>
      <c r="AF32" s="87">
        <v>9</v>
      </c>
      <c r="AG32" s="87" t="s">
        <v>878</v>
      </c>
      <c r="AH32" s="87" t="s">
        <v>2997</v>
      </c>
      <c r="AI32" s="87" t="s">
        <v>2997</v>
      </c>
      <c r="AJ32" s="87" t="s">
        <v>2997</v>
      </c>
      <c r="AK32" s="87" t="s">
        <v>2997</v>
      </c>
      <c r="AL32" s="87" t="s">
        <v>2997</v>
      </c>
      <c r="AM32" s="87" t="s">
        <v>2997</v>
      </c>
      <c r="AN32" s="87" t="s">
        <v>2997</v>
      </c>
      <c r="AO32" s="87" t="s">
        <v>2997</v>
      </c>
      <c r="AP32" s="87" t="s">
        <v>2997</v>
      </c>
      <c r="AQ32" s="87" t="s">
        <v>2997</v>
      </c>
      <c r="AR32" s="87" t="s">
        <v>2997</v>
      </c>
      <c r="AS32" s="87" t="s">
        <v>2997</v>
      </c>
      <c r="AT32" s="87" t="s">
        <v>2997</v>
      </c>
      <c r="AU32" s="87" t="s">
        <v>2997</v>
      </c>
      <c r="AV32" s="87" t="s">
        <v>2997</v>
      </c>
      <c r="AW32" s="87" t="s">
        <v>2997</v>
      </c>
      <c r="AX32" s="87" t="s">
        <v>2997</v>
      </c>
      <c r="AY32" s="87" t="s">
        <v>2997</v>
      </c>
      <c r="AZ32" s="21" t="e">
        <f>CHOOSE(CharGenMain!$C$206,G32,J32,M32,P32,S32,V32,Y32,AB32,AE32,AH32,AK32,AN32,AQ32,AT32,AW32)</f>
        <v>#VALUE!</v>
      </c>
      <c r="BA32" s="21" t="e">
        <f>CHOOSE(CharGenMain!$C$206,H32,K32,N32,Q32,T32,W32,Z32,AC32,AF32,AI32,AL32,AO32,AR32,AU32,AX32)</f>
        <v>#VALUE!</v>
      </c>
      <c r="BB32" s="21" t="e">
        <f>CHOOSE(CharGenMain!$C$206,I32,L32,O32,R32,U32,X32,AA32,AD32,AG32,AJ32,AM32,AP32,AS32,AV32,AY32)</f>
        <v>#VALUE!</v>
      </c>
      <c r="BC32" s="21" t="e">
        <f>CHOOSE(CharGenMain!$C$207,G32,J32,M32,P32,S32,V32,Y32,AB32,AE32,AH32,AK32,AN32,AQ32,AT32,AW32)</f>
        <v>#VALUE!</v>
      </c>
      <c r="BD32" s="21" t="e">
        <f>CHOOSE(CharGenMain!$C$207,H32,K32,N32,Q32,T32,W32,Z32,AC32,AF32,AI32,AL32,AO32,AR32,AU32,AX32)</f>
        <v>#VALUE!</v>
      </c>
      <c r="BE32" s="28" t="e">
        <f>CHOOSE(CharGenMain!$C$207,I32,L32,O32,R32,U32,X32,AA32,AD32,AG32,AJ32,AM32,AP32,AS32,AV32,AY32)</f>
        <v>#VALUE!</v>
      </c>
    </row>
    <row r="33" spans="1:57">
      <c r="A33" s="20" t="s">
        <v>879</v>
      </c>
      <c r="B33" s="167" t="s">
        <v>1520</v>
      </c>
      <c r="C33" s="14" t="s">
        <v>2279</v>
      </c>
      <c r="D33" s="14">
        <v>4</v>
      </c>
      <c r="E33" s="14">
        <v>5</v>
      </c>
      <c r="F33" s="14">
        <v>13</v>
      </c>
      <c r="G33" s="168">
        <v>8</v>
      </c>
      <c r="H33" s="87">
        <v>0</v>
      </c>
      <c r="I33" s="87" t="s">
        <v>880</v>
      </c>
      <c r="J33" s="168">
        <v>9</v>
      </c>
      <c r="K33" s="87">
        <v>0</v>
      </c>
      <c r="L33" s="206" t="s">
        <v>881</v>
      </c>
      <c r="M33" s="168">
        <v>9</v>
      </c>
      <c r="N33" s="87">
        <v>0</v>
      </c>
      <c r="O33" s="206" t="s">
        <v>795</v>
      </c>
      <c r="P33" s="168">
        <v>10</v>
      </c>
      <c r="Q33" s="87">
        <v>0</v>
      </c>
      <c r="R33" s="206" t="s">
        <v>796</v>
      </c>
      <c r="S33" s="168">
        <v>11</v>
      </c>
      <c r="T33" s="87">
        <v>0</v>
      </c>
      <c r="U33" s="206" t="s">
        <v>797</v>
      </c>
      <c r="V33" s="168"/>
      <c r="W33" s="87"/>
      <c r="X33" s="87" t="s">
        <v>2997</v>
      </c>
      <c r="Y33" s="87" t="s">
        <v>2997</v>
      </c>
      <c r="Z33" s="87" t="s">
        <v>2997</v>
      </c>
      <c r="AA33" s="87" t="s">
        <v>2997</v>
      </c>
      <c r="AB33" s="87" t="s">
        <v>2997</v>
      </c>
      <c r="AC33" s="87" t="s">
        <v>2997</v>
      </c>
      <c r="AD33" s="87" t="s">
        <v>2997</v>
      </c>
      <c r="AE33" s="87" t="s">
        <v>2997</v>
      </c>
      <c r="AF33" s="87" t="s">
        <v>2997</v>
      </c>
      <c r="AG33" s="87" t="s">
        <v>2997</v>
      </c>
      <c r="AH33" s="87" t="s">
        <v>2997</v>
      </c>
      <c r="AI33" s="87" t="s">
        <v>2997</v>
      </c>
      <c r="AJ33" s="87" t="s">
        <v>2997</v>
      </c>
      <c r="AK33" s="87" t="s">
        <v>2997</v>
      </c>
      <c r="AL33" s="87" t="s">
        <v>2997</v>
      </c>
      <c r="AM33" s="87" t="s">
        <v>2997</v>
      </c>
      <c r="AN33" s="87" t="s">
        <v>2997</v>
      </c>
      <c r="AO33" s="87" t="s">
        <v>2997</v>
      </c>
      <c r="AP33" s="87" t="s">
        <v>2997</v>
      </c>
      <c r="AQ33" s="87" t="s">
        <v>2997</v>
      </c>
      <c r="AR33" s="87" t="s">
        <v>2997</v>
      </c>
      <c r="AS33" s="87" t="s">
        <v>2997</v>
      </c>
      <c r="AT33" s="87" t="s">
        <v>2997</v>
      </c>
      <c r="AU33" s="87" t="s">
        <v>2997</v>
      </c>
      <c r="AV33" s="87" t="s">
        <v>2997</v>
      </c>
      <c r="AW33" s="87" t="s">
        <v>2997</v>
      </c>
      <c r="AX33" s="87" t="s">
        <v>2997</v>
      </c>
      <c r="AY33" s="87" t="s">
        <v>2997</v>
      </c>
      <c r="AZ33" s="21" t="e">
        <f>CHOOSE(CharGenMain!$C$206,G33,J33,M33,P33,S33,V33,Y33,AB33,AE33,AH33,AK33,AN33,AQ33,AT33,AW33)</f>
        <v>#VALUE!</v>
      </c>
      <c r="BA33" s="21" t="e">
        <f>CHOOSE(CharGenMain!$C$206,H33,K33,N33,Q33,T33,W33,Z33,AC33,AF33,AI33,AL33,AO33,AR33,AU33,AX33)</f>
        <v>#VALUE!</v>
      </c>
      <c r="BB33" s="21" t="e">
        <f>CHOOSE(CharGenMain!$C$206,I33,L33,O33,R33,U33,X33,AA33,AD33,AG33,AJ33,AM33,AP33,AS33,AV33,AY33)</f>
        <v>#VALUE!</v>
      </c>
      <c r="BC33" s="21" t="e">
        <f>CHOOSE(CharGenMain!$C$207,G33,J33,M33,P33,S33,V33,Y33,AB33,AE33,AH33,AK33,AN33,AQ33,AT33,AW33)</f>
        <v>#VALUE!</v>
      </c>
      <c r="BD33" s="21" t="e">
        <f>CHOOSE(CharGenMain!$C$207,H33,K33,N33,Q33,T33,W33,Z33,AC33,AF33,AI33,AL33,AO33,AR33,AU33,AX33)</f>
        <v>#VALUE!</v>
      </c>
      <c r="BE33" s="28" t="e">
        <f>CHOOSE(CharGenMain!$C$207,I33,L33,O33,R33,U33,X33,AA33,AD33,AG33,AJ33,AM33,AP33,AS33,AV33,AY33)</f>
        <v>#VALUE!</v>
      </c>
    </row>
    <row r="34" spans="1:57">
      <c r="A34" s="226" t="s">
        <v>798</v>
      </c>
      <c r="B34" s="167" t="s">
        <v>1542</v>
      </c>
      <c r="C34" s="14" t="s">
        <v>2223</v>
      </c>
      <c r="D34" s="14">
        <v>2</v>
      </c>
      <c r="E34" s="14">
        <v>8</v>
      </c>
      <c r="F34" s="14">
        <v>14</v>
      </c>
      <c r="G34" s="87">
        <v>9</v>
      </c>
      <c r="H34" s="87">
        <v>0</v>
      </c>
      <c r="I34" s="87" t="s">
        <v>799</v>
      </c>
      <c r="J34" s="87">
        <v>10</v>
      </c>
      <c r="K34" s="87">
        <v>0</v>
      </c>
      <c r="L34" s="87" t="s">
        <v>800</v>
      </c>
      <c r="M34" s="87">
        <v>11</v>
      </c>
      <c r="N34" s="87">
        <v>0</v>
      </c>
      <c r="O34" s="87" t="s">
        <v>801</v>
      </c>
      <c r="P34" s="87">
        <v>12</v>
      </c>
      <c r="Q34" s="87">
        <v>0</v>
      </c>
      <c r="R34" s="87" t="s">
        <v>802</v>
      </c>
      <c r="S34" s="87">
        <v>12</v>
      </c>
      <c r="T34" s="87">
        <v>0</v>
      </c>
      <c r="U34" s="87" t="s">
        <v>803</v>
      </c>
      <c r="V34" s="87">
        <v>12</v>
      </c>
      <c r="W34" s="87">
        <v>0</v>
      </c>
      <c r="X34" s="206" t="s">
        <v>697</v>
      </c>
      <c r="Y34" s="87">
        <v>15</v>
      </c>
      <c r="Z34" s="87">
        <v>0</v>
      </c>
      <c r="AA34" s="206" t="s">
        <v>892</v>
      </c>
      <c r="AB34" s="87">
        <v>15</v>
      </c>
      <c r="AC34" s="87">
        <v>0</v>
      </c>
      <c r="AD34" s="206" t="s">
        <v>893</v>
      </c>
      <c r="AE34" s="87" t="s">
        <v>2997</v>
      </c>
      <c r="AF34" s="87" t="s">
        <v>2997</v>
      </c>
      <c r="AG34" s="87" t="s">
        <v>2997</v>
      </c>
      <c r="AH34" s="87" t="s">
        <v>2997</v>
      </c>
      <c r="AI34" s="87" t="s">
        <v>2997</v>
      </c>
      <c r="AJ34" s="87" t="s">
        <v>2997</v>
      </c>
      <c r="AK34" s="87" t="s">
        <v>2997</v>
      </c>
      <c r="AL34" s="87" t="s">
        <v>2997</v>
      </c>
      <c r="AM34" s="87" t="s">
        <v>2997</v>
      </c>
      <c r="AN34" s="87" t="s">
        <v>2997</v>
      </c>
      <c r="AO34" s="87" t="s">
        <v>2997</v>
      </c>
      <c r="AP34" s="87" t="s">
        <v>2997</v>
      </c>
      <c r="AQ34" s="87" t="s">
        <v>2997</v>
      </c>
      <c r="AR34" s="87" t="s">
        <v>2997</v>
      </c>
      <c r="AS34" s="87" t="s">
        <v>2997</v>
      </c>
      <c r="AT34" s="87" t="s">
        <v>2997</v>
      </c>
      <c r="AU34" s="87" t="s">
        <v>2997</v>
      </c>
      <c r="AV34" s="87" t="s">
        <v>2997</v>
      </c>
      <c r="AW34" s="87" t="s">
        <v>2997</v>
      </c>
      <c r="AX34" s="87" t="s">
        <v>2997</v>
      </c>
      <c r="AY34" s="87" t="s">
        <v>2997</v>
      </c>
      <c r="AZ34" s="21" t="e">
        <f>CHOOSE(CharGenMain!$C$206,G34,J34,M34,P34,S34,V34,Y34,AB34,AE34,AH34,AK34,AN34,AQ34,AT34,AW34)</f>
        <v>#VALUE!</v>
      </c>
      <c r="BA34" s="21" t="e">
        <f>CHOOSE(CharGenMain!$C$206,H34,K34,N34,Q34,T34,W34,Z34,AC34,AF34,AI34,AL34,AO34,AR34,AU34,AX34)</f>
        <v>#VALUE!</v>
      </c>
      <c r="BB34" s="21" t="e">
        <f>CHOOSE(CharGenMain!$C$206,I34,L34,O34,R34,U34,X34,AA34,AD34,AG34,AJ34,AM34,AP34,AS34,AV34,AY34)</f>
        <v>#VALUE!</v>
      </c>
      <c r="BC34" s="21" t="e">
        <f>CHOOSE(CharGenMain!$C$207,G34,J34,M34,P34,S34,V34,Y34,AB34,AE34,AH34,AK34,AN34,AQ34,AT34,AW34)</f>
        <v>#VALUE!</v>
      </c>
      <c r="BD34" s="21" t="e">
        <f>CHOOSE(CharGenMain!$C$207,H34,K34,N34,Q34,T34,W34,Z34,AC34,AF34,AI34,AL34,AO34,AR34,AU34,AX34)</f>
        <v>#VALUE!</v>
      </c>
      <c r="BE34" s="28" t="e">
        <f>CHOOSE(CharGenMain!$C$207,I34,L34,O34,R34,U34,X34,AA34,AD34,AG34,AJ34,AM34,AP34,AS34,AV34,AY34)</f>
        <v>#VALUE!</v>
      </c>
    </row>
    <row r="35" spans="1:57">
      <c r="A35" s="20" t="s">
        <v>999</v>
      </c>
      <c r="B35" s="167" t="s">
        <v>866</v>
      </c>
      <c r="C35" s="14" t="s">
        <v>2279</v>
      </c>
      <c r="D35" s="14">
        <v>1</v>
      </c>
      <c r="E35" s="14">
        <v>5</v>
      </c>
      <c r="F35" s="14">
        <v>7</v>
      </c>
      <c r="G35" s="87">
        <v>13</v>
      </c>
      <c r="H35" s="87">
        <v>0</v>
      </c>
      <c r="I35" s="87" t="s">
        <v>1215</v>
      </c>
      <c r="J35" s="87">
        <v>14</v>
      </c>
      <c r="K35" s="87">
        <v>0</v>
      </c>
      <c r="L35" s="87" t="s">
        <v>1215</v>
      </c>
      <c r="M35" s="87">
        <v>14</v>
      </c>
      <c r="N35" s="87">
        <v>0</v>
      </c>
      <c r="O35" s="206" t="s">
        <v>1000</v>
      </c>
      <c r="P35" s="87">
        <v>15</v>
      </c>
      <c r="Q35" s="87">
        <v>0</v>
      </c>
      <c r="R35" s="206" t="s">
        <v>1001</v>
      </c>
      <c r="S35" s="87">
        <v>15</v>
      </c>
      <c r="T35" s="87">
        <v>0</v>
      </c>
      <c r="U35" s="206" t="s">
        <v>895</v>
      </c>
      <c r="V35" s="87"/>
      <c r="W35" s="87" t="s">
        <v>2997</v>
      </c>
      <c r="X35" s="87" t="s">
        <v>2997</v>
      </c>
      <c r="Y35" s="87" t="s">
        <v>2997</v>
      </c>
      <c r="Z35" s="87" t="s">
        <v>2997</v>
      </c>
      <c r="AA35" s="87" t="s">
        <v>2997</v>
      </c>
      <c r="AB35" s="87" t="s">
        <v>2997</v>
      </c>
      <c r="AC35" s="87" t="s">
        <v>2997</v>
      </c>
      <c r="AD35" s="87" t="s">
        <v>2997</v>
      </c>
      <c r="AE35" s="87" t="s">
        <v>2997</v>
      </c>
      <c r="AF35" s="87" t="s">
        <v>2997</v>
      </c>
      <c r="AG35" s="87" t="s">
        <v>2997</v>
      </c>
      <c r="AH35" s="87" t="s">
        <v>2997</v>
      </c>
      <c r="AI35" s="87" t="s">
        <v>2997</v>
      </c>
      <c r="AJ35" s="87" t="s">
        <v>2997</v>
      </c>
      <c r="AK35" s="87" t="s">
        <v>2997</v>
      </c>
      <c r="AL35" s="87" t="s">
        <v>2997</v>
      </c>
      <c r="AM35" s="87" t="s">
        <v>2997</v>
      </c>
      <c r="AN35" s="87" t="s">
        <v>2997</v>
      </c>
      <c r="AO35" s="87" t="s">
        <v>2997</v>
      </c>
      <c r="AP35" s="87" t="s">
        <v>2997</v>
      </c>
      <c r="AQ35" s="87" t="s">
        <v>2997</v>
      </c>
      <c r="AR35" s="87" t="s">
        <v>2997</v>
      </c>
      <c r="AS35" s="87" t="s">
        <v>2997</v>
      </c>
      <c r="AT35" s="87" t="s">
        <v>2997</v>
      </c>
      <c r="AU35" s="87" t="s">
        <v>2997</v>
      </c>
      <c r="AV35" s="87" t="s">
        <v>2997</v>
      </c>
      <c r="AW35" s="87" t="s">
        <v>2997</v>
      </c>
      <c r="AX35" s="87" t="s">
        <v>2997</v>
      </c>
      <c r="AY35" s="87" t="s">
        <v>2997</v>
      </c>
      <c r="AZ35" s="21" t="e">
        <f>CHOOSE(CharGenMain!$C$206,G35,J35,M35,P35,S35,V35,Y35,AB35,AE35,AH35,AK35,AN35,AQ35,AT35,AW35)</f>
        <v>#VALUE!</v>
      </c>
      <c r="BA35" s="21" t="e">
        <f>CHOOSE(CharGenMain!$C$206,H35,K35,N35,Q35,T35,W35,Z35,AC35,AF35,AI35,AL35,AO35,AR35,AU35,AX35)</f>
        <v>#VALUE!</v>
      </c>
      <c r="BB35" s="21" t="e">
        <f>CHOOSE(CharGenMain!$C$206,I35,L35,O35,R35,U35,X35,AA35,AD35,AG35,AJ35,AM35,AP35,AS35,AV35,AY35)</f>
        <v>#VALUE!</v>
      </c>
      <c r="BC35" s="21" t="e">
        <f>CHOOSE(CharGenMain!$C$207,G35,J35,M35,P35,S35,V35,Y35,AB35,AE35,AH35,AK35,AN35,AQ35,AT35,AW35)</f>
        <v>#VALUE!</v>
      </c>
      <c r="BD35" s="21" t="e">
        <f>CHOOSE(CharGenMain!$C$207,H35,K35,N35,Q35,T35,W35,Z35,AC35,AF35,AI35,AL35,AO35,AR35,AU35,AX35)</f>
        <v>#VALUE!</v>
      </c>
      <c r="BE35" s="28" t="e">
        <f>CHOOSE(CharGenMain!$C$207,I35,L35,O35,R35,U35,X35,AA35,AD35,AG35,AJ35,AM35,AP35,AS35,AV35,AY35)</f>
        <v>#VALUE!</v>
      </c>
    </row>
    <row r="36" spans="1:57">
      <c r="A36" s="226" t="s">
        <v>896</v>
      </c>
      <c r="B36" s="167" t="s">
        <v>998</v>
      </c>
      <c r="C36" s="14" t="s">
        <v>2667</v>
      </c>
      <c r="D36" s="14">
        <v>1</v>
      </c>
      <c r="E36" s="14">
        <v>4</v>
      </c>
      <c r="F36" s="14">
        <v>9</v>
      </c>
      <c r="G36" s="87">
        <v>15</v>
      </c>
      <c r="H36" s="87">
        <v>0</v>
      </c>
      <c r="I36" s="87" t="s">
        <v>1215</v>
      </c>
      <c r="J36" s="87">
        <v>15</v>
      </c>
      <c r="K36" s="87">
        <v>0</v>
      </c>
      <c r="L36" s="206" t="s">
        <v>897</v>
      </c>
      <c r="M36" s="87">
        <v>15</v>
      </c>
      <c r="N36" s="87">
        <v>0</v>
      </c>
      <c r="O36" s="206" t="s">
        <v>898</v>
      </c>
      <c r="P36" s="87">
        <v>16</v>
      </c>
      <c r="Q36" s="87">
        <v>0</v>
      </c>
      <c r="R36" s="206" t="s">
        <v>899</v>
      </c>
      <c r="S36" s="87" t="s">
        <v>2997</v>
      </c>
      <c r="T36" s="87" t="s">
        <v>2997</v>
      </c>
      <c r="U36" s="87" t="s">
        <v>2997</v>
      </c>
      <c r="V36" s="87" t="s">
        <v>2997</v>
      </c>
      <c r="W36" s="87" t="s">
        <v>2997</v>
      </c>
      <c r="X36" s="87" t="s">
        <v>2997</v>
      </c>
      <c r="Y36" s="87" t="s">
        <v>2997</v>
      </c>
      <c r="Z36" s="87" t="s">
        <v>2997</v>
      </c>
      <c r="AA36" s="87" t="s">
        <v>2997</v>
      </c>
      <c r="AB36" s="87" t="s">
        <v>2997</v>
      </c>
      <c r="AC36" s="87" t="s">
        <v>2997</v>
      </c>
      <c r="AD36" s="87" t="s">
        <v>2997</v>
      </c>
      <c r="AE36" s="87" t="s">
        <v>2997</v>
      </c>
      <c r="AF36" s="87" t="s">
        <v>2997</v>
      </c>
      <c r="AG36" s="87" t="s">
        <v>2997</v>
      </c>
      <c r="AH36" s="87" t="s">
        <v>2997</v>
      </c>
      <c r="AI36" s="87" t="s">
        <v>2997</v>
      </c>
      <c r="AJ36" s="87" t="s">
        <v>2997</v>
      </c>
      <c r="AK36" s="87" t="s">
        <v>2997</v>
      </c>
      <c r="AL36" s="87" t="s">
        <v>2997</v>
      </c>
      <c r="AM36" s="87" t="s">
        <v>2997</v>
      </c>
      <c r="AN36" s="87" t="s">
        <v>2997</v>
      </c>
      <c r="AO36" s="87" t="s">
        <v>2997</v>
      </c>
      <c r="AP36" s="87" t="s">
        <v>2997</v>
      </c>
      <c r="AQ36" s="87" t="s">
        <v>2997</v>
      </c>
      <c r="AR36" s="87" t="s">
        <v>2997</v>
      </c>
      <c r="AS36" s="87" t="s">
        <v>2997</v>
      </c>
      <c r="AT36" s="87" t="s">
        <v>2997</v>
      </c>
      <c r="AU36" s="87" t="s">
        <v>2997</v>
      </c>
      <c r="AV36" s="87" t="s">
        <v>2997</v>
      </c>
      <c r="AW36" s="87" t="s">
        <v>2997</v>
      </c>
      <c r="AX36" s="87" t="s">
        <v>2997</v>
      </c>
      <c r="AY36" s="87" t="s">
        <v>2997</v>
      </c>
      <c r="AZ36" s="21" t="e">
        <f>CHOOSE(CharGenMain!$C$206,G36,J36,M36,P36,S36,V36,Y36,AB36,AE36,AH36,AK36,AN36,AQ36,AT36,AW36)</f>
        <v>#VALUE!</v>
      </c>
      <c r="BA36" s="21" t="e">
        <f>CHOOSE(CharGenMain!$C$206,H36,K36,N36,Q36,T36,W36,Z36,AC36,AF36,AI36,AL36,AO36,AR36,AU36,AX36)</f>
        <v>#VALUE!</v>
      </c>
      <c r="BB36" s="21" t="e">
        <f>CHOOSE(CharGenMain!$C$206,I36,L36,O36,R36,U36,X36,AA36,AD36,AG36,AJ36,AM36,AP36,AS36,AV36,AY36)</f>
        <v>#VALUE!</v>
      </c>
      <c r="BC36" s="21" t="e">
        <f>CHOOSE(CharGenMain!$C$207,G36,J36,M36,P36,S36,V36,Y36,AB36,AE36,AH36,AK36,AN36,AQ36,AT36,AW36)</f>
        <v>#VALUE!</v>
      </c>
      <c r="BD36" s="21" t="e">
        <f>CHOOSE(CharGenMain!$C$207,H36,K36,N36,Q36,T36,W36,Z36,AC36,AF36,AI36,AL36,AO36,AR36,AU36,AX36)</f>
        <v>#VALUE!</v>
      </c>
      <c r="BE36" s="28" t="e">
        <f>CHOOSE(CharGenMain!$C$207,I36,L36,O36,R36,U36,X36,AA36,AD36,AG36,AJ36,AM36,AP36,AS36,AV36,AY36)</f>
        <v>#VALUE!</v>
      </c>
    </row>
    <row r="37" spans="1:57">
      <c r="A37" s="226" t="s">
        <v>271</v>
      </c>
      <c r="B37" s="167" t="s">
        <v>272</v>
      </c>
      <c r="C37" s="14" t="s">
        <v>2667</v>
      </c>
      <c r="D37" s="14">
        <v>1</v>
      </c>
      <c r="E37" s="14">
        <v>15</v>
      </c>
      <c r="F37" s="14">
        <v>14</v>
      </c>
      <c r="G37" s="87">
        <v>4</v>
      </c>
      <c r="H37" s="87">
        <v>0</v>
      </c>
      <c r="I37" s="87" t="s">
        <v>283</v>
      </c>
      <c r="J37" s="87">
        <v>5</v>
      </c>
      <c r="K37" s="87">
        <v>0</v>
      </c>
      <c r="L37" s="87" t="s">
        <v>273</v>
      </c>
      <c r="M37" s="87">
        <v>5</v>
      </c>
      <c r="N37" s="87">
        <v>0</v>
      </c>
      <c r="O37" s="87" t="s">
        <v>325</v>
      </c>
      <c r="P37" s="87">
        <v>5</v>
      </c>
      <c r="Q37" s="87">
        <v>0</v>
      </c>
      <c r="R37" s="87" t="s">
        <v>326</v>
      </c>
      <c r="S37" s="87">
        <v>6</v>
      </c>
      <c r="T37" s="87">
        <v>0</v>
      </c>
      <c r="U37" s="87" t="s">
        <v>327</v>
      </c>
      <c r="V37" s="87">
        <v>6</v>
      </c>
      <c r="W37" s="87">
        <v>0</v>
      </c>
      <c r="X37" s="87" t="s">
        <v>282</v>
      </c>
      <c r="Y37" s="87">
        <v>6</v>
      </c>
      <c r="Z37" s="87">
        <v>0</v>
      </c>
      <c r="AA37" s="87" t="s">
        <v>209</v>
      </c>
      <c r="AB37" s="87">
        <v>6</v>
      </c>
      <c r="AC37" s="87">
        <v>0</v>
      </c>
      <c r="AD37" s="87" t="s">
        <v>210</v>
      </c>
      <c r="AE37" s="87">
        <v>7</v>
      </c>
      <c r="AF37" s="87">
        <v>0</v>
      </c>
      <c r="AG37" s="87" t="s">
        <v>286</v>
      </c>
      <c r="AH37" s="87">
        <v>7</v>
      </c>
      <c r="AI37" s="87">
        <v>0</v>
      </c>
      <c r="AJ37" s="87" t="s">
        <v>287</v>
      </c>
      <c r="AK37" s="87">
        <v>7</v>
      </c>
      <c r="AL37" s="87">
        <v>0</v>
      </c>
      <c r="AM37" s="231" t="s">
        <v>349</v>
      </c>
      <c r="AN37" s="231">
        <v>7</v>
      </c>
      <c r="AO37" s="87">
        <v>0</v>
      </c>
      <c r="AP37" s="231" t="s">
        <v>291</v>
      </c>
      <c r="AQ37" s="87">
        <v>8</v>
      </c>
      <c r="AR37" s="87">
        <v>0</v>
      </c>
      <c r="AS37" s="231" t="s">
        <v>292</v>
      </c>
      <c r="AT37" s="87">
        <v>8</v>
      </c>
      <c r="AU37" s="87">
        <v>0</v>
      </c>
      <c r="AV37" s="231" t="s">
        <v>238</v>
      </c>
      <c r="AW37" s="87">
        <v>8</v>
      </c>
      <c r="AX37" s="87">
        <v>0</v>
      </c>
      <c r="AY37" s="231" t="s">
        <v>295</v>
      </c>
      <c r="AZ37" s="21" t="e">
        <f>CHOOSE(CharGenMain!$C$206,G37,J37,M37,P37,S37,V37,Y37,AB37,AE37,AH37,AK37,AN37,AQ37,AT37,AW37)</f>
        <v>#VALUE!</v>
      </c>
      <c r="BA37" s="21" t="e">
        <f>CHOOSE(CharGenMain!$C$206,H37,K37,N37,Q37,T37,W37,Z37,AC37,AF37,AI37,AL37,AO37,AR37,AU37,AX37)</f>
        <v>#VALUE!</v>
      </c>
      <c r="BB37" s="21" t="e">
        <f>CHOOSE(CharGenMain!$C$206,I37,L37,O37,R37,U37,X37,AA37,AD37,AG37,AJ37,AM37,AP37,AS37,AV37,AY37)</f>
        <v>#VALUE!</v>
      </c>
      <c r="BC37" s="21" t="e">
        <f>CHOOSE(CharGenMain!$C$207,G37,J37,M37,P37,S37,V37,Y37,AB37,AE37,AH37,AK37,AN37,AQ37,AT37,AW37)</f>
        <v>#VALUE!</v>
      </c>
      <c r="BD37" s="21" t="e">
        <f>CHOOSE(CharGenMain!$C$207,H37,K37,N37,Q37,T37,W37,Z37,AC37,AF37,AI37,AL37,AO37,AR37,AU37,AX37)</f>
        <v>#VALUE!</v>
      </c>
      <c r="BE37" s="28" t="e">
        <f>CHOOSE(CharGenMain!$C$207,I37,L37,O37,R37,U37,X37,AA37,AD37,AG37,AJ37,AM37,AP37,AS37,AV37,AY37)</f>
        <v>#VALUE!</v>
      </c>
    </row>
    <row r="38" spans="1:57">
      <c r="A38" s="20" t="s">
        <v>900</v>
      </c>
      <c r="B38" s="167" t="s">
        <v>901</v>
      </c>
      <c r="C38" s="14" t="s">
        <v>2279</v>
      </c>
      <c r="D38" s="14">
        <v>4</v>
      </c>
      <c r="E38" s="14">
        <v>6</v>
      </c>
      <c r="F38" s="14">
        <v>25</v>
      </c>
      <c r="G38" s="87">
        <v>7</v>
      </c>
      <c r="H38" s="87">
        <v>0</v>
      </c>
      <c r="I38" s="87" t="s">
        <v>1215</v>
      </c>
      <c r="J38" s="87">
        <v>9</v>
      </c>
      <c r="K38" s="87">
        <v>0</v>
      </c>
      <c r="L38" s="87" t="s">
        <v>902</v>
      </c>
      <c r="M38" s="87">
        <v>10</v>
      </c>
      <c r="N38" s="87">
        <v>0</v>
      </c>
      <c r="O38" s="87" t="s">
        <v>903</v>
      </c>
      <c r="P38" s="87">
        <v>11</v>
      </c>
      <c r="Q38" s="87">
        <v>0</v>
      </c>
      <c r="R38" s="87" t="s">
        <v>903</v>
      </c>
      <c r="S38" s="87">
        <v>11</v>
      </c>
      <c r="T38" s="87">
        <v>0</v>
      </c>
      <c r="U38" s="87" t="s">
        <v>903</v>
      </c>
      <c r="V38" s="87">
        <v>11</v>
      </c>
      <c r="W38" s="87">
        <v>0</v>
      </c>
      <c r="X38" s="87" t="s">
        <v>903</v>
      </c>
      <c r="Y38" s="87" t="s">
        <v>2997</v>
      </c>
      <c r="Z38" s="87" t="s">
        <v>2997</v>
      </c>
      <c r="AA38" s="87" t="s">
        <v>2997</v>
      </c>
      <c r="AB38" s="87" t="s">
        <v>2997</v>
      </c>
      <c r="AC38" s="87" t="s">
        <v>2997</v>
      </c>
      <c r="AD38" s="87" t="s">
        <v>2997</v>
      </c>
      <c r="AE38" s="87" t="s">
        <v>2997</v>
      </c>
      <c r="AF38" s="87" t="s">
        <v>2997</v>
      </c>
      <c r="AG38" s="87" t="s">
        <v>2997</v>
      </c>
      <c r="AH38" s="87" t="s">
        <v>2997</v>
      </c>
      <c r="AI38" s="87" t="s">
        <v>2997</v>
      </c>
      <c r="AJ38" s="87" t="s">
        <v>2997</v>
      </c>
      <c r="AK38" s="87" t="s">
        <v>2997</v>
      </c>
      <c r="AL38" s="87" t="s">
        <v>2997</v>
      </c>
      <c r="AM38" s="87" t="s">
        <v>2997</v>
      </c>
      <c r="AN38" s="87" t="s">
        <v>2997</v>
      </c>
      <c r="AO38" s="87" t="s">
        <v>2997</v>
      </c>
      <c r="AP38" s="87" t="s">
        <v>2997</v>
      </c>
      <c r="AQ38" s="87" t="s">
        <v>2997</v>
      </c>
      <c r="AR38" s="87" t="s">
        <v>2997</v>
      </c>
      <c r="AS38" s="87" t="s">
        <v>2997</v>
      </c>
      <c r="AT38" s="87" t="s">
        <v>2997</v>
      </c>
      <c r="AU38" s="87" t="s">
        <v>2997</v>
      </c>
      <c r="AV38" s="87" t="s">
        <v>2997</v>
      </c>
      <c r="AW38" s="87" t="s">
        <v>2997</v>
      </c>
      <c r="AX38" s="87" t="s">
        <v>2997</v>
      </c>
      <c r="AY38" s="87" t="s">
        <v>2997</v>
      </c>
      <c r="AZ38" s="21" t="e">
        <f>CHOOSE(CharGenMain!$C$206,G38,J38,M38,P38,S38,V38,Y38,AB38,AE38,AH38,AK38,AN38,AQ38,AT38,AW38)</f>
        <v>#VALUE!</v>
      </c>
      <c r="BA38" s="21" t="e">
        <f>CHOOSE(CharGenMain!$C$206,H38,K38,N38,Q38,T38,W38,Z38,AC38,AF38,AI38,AL38,AO38,AR38,AU38,AX38)</f>
        <v>#VALUE!</v>
      </c>
      <c r="BB38" s="21" t="e">
        <f>CHOOSE(CharGenMain!$C$206,I38,L38,O38,R38,U38,X38,AA38,AD38,AG38,AJ38,AM38,AP38,AS38,AV38,AY38)</f>
        <v>#VALUE!</v>
      </c>
      <c r="BC38" s="21" t="e">
        <f>CHOOSE(CharGenMain!$C$207,G38,J38,M38,P38,S38,V38,Y38,AB38,AE38,AH38,AK38,AN38,AQ38,AT38,AW38)</f>
        <v>#VALUE!</v>
      </c>
      <c r="BD38" s="21" t="e">
        <f>CHOOSE(CharGenMain!$C$207,H38,K38,N38,Q38,T38,W38,Z38,AC38,AF38,AI38,AL38,AO38,AR38,AU38,AX38)</f>
        <v>#VALUE!</v>
      </c>
      <c r="BE38" s="28" t="e">
        <f>CHOOSE(CharGenMain!$C$207,I38,L38,O38,R38,U38,X38,AA38,AD38,AG38,AJ38,AM38,AP38,AS38,AV38,AY38)</f>
        <v>#VALUE!</v>
      </c>
    </row>
    <row r="39" spans="1:57">
      <c r="A39" s="20" t="s">
        <v>904</v>
      </c>
      <c r="B39" s="167" t="s">
        <v>296</v>
      </c>
      <c r="C39" s="14" t="s">
        <v>2279</v>
      </c>
      <c r="D39" s="14">
        <v>4</v>
      </c>
      <c r="E39" s="14">
        <v>3</v>
      </c>
      <c r="F39" s="14">
        <v>16</v>
      </c>
      <c r="G39" s="168">
        <v>14</v>
      </c>
      <c r="H39" s="168">
        <v>0</v>
      </c>
      <c r="I39" s="168" t="s">
        <v>1215</v>
      </c>
      <c r="J39" s="168">
        <v>14</v>
      </c>
      <c r="K39" s="168">
        <v>0</v>
      </c>
      <c r="L39" s="168" t="s">
        <v>716</v>
      </c>
      <c r="M39" s="168">
        <v>14</v>
      </c>
      <c r="N39" s="168">
        <v>0</v>
      </c>
      <c r="O39" s="168" t="s">
        <v>817</v>
      </c>
      <c r="P39" s="87" t="s">
        <v>2997</v>
      </c>
      <c r="Q39" s="87" t="s">
        <v>2997</v>
      </c>
      <c r="R39" s="87" t="s">
        <v>2997</v>
      </c>
      <c r="S39" s="87" t="s">
        <v>2997</v>
      </c>
      <c r="T39" s="87" t="s">
        <v>2997</v>
      </c>
      <c r="U39" s="87" t="s">
        <v>2997</v>
      </c>
      <c r="V39" s="87" t="s">
        <v>2997</v>
      </c>
      <c r="W39" s="87" t="s">
        <v>2997</v>
      </c>
      <c r="X39" s="87" t="s">
        <v>2997</v>
      </c>
      <c r="Y39" s="87" t="s">
        <v>2997</v>
      </c>
      <c r="Z39" s="87" t="s">
        <v>2997</v>
      </c>
      <c r="AA39" s="87" t="s">
        <v>2997</v>
      </c>
      <c r="AB39" s="87" t="s">
        <v>2997</v>
      </c>
      <c r="AC39" s="87" t="s">
        <v>2997</v>
      </c>
      <c r="AD39" s="87" t="s">
        <v>2997</v>
      </c>
      <c r="AE39" s="87" t="s">
        <v>2997</v>
      </c>
      <c r="AF39" s="87" t="s">
        <v>2997</v>
      </c>
      <c r="AG39" s="87" t="s">
        <v>2997</v>
      </c>
      <c r="AH39" s="87" t="s">
        <v>2997</v>
      </c>
      <c r="AI39" s="87" t="s">
        <v>2997</v>
      </c>
      <c r="AJ39" s="87" t="s">
        <v>2997</v>
      </c>
      <c r="AK39" s="87" t="s">
        <v>2997</v>
      </c>
      <c r="AL39" s="87" t="s">
        <v>2997</v>
      </c>
      <c r="AM39" s="87" t="s">
        <v>2997</v>
      </c>
      <c r="AN39" s="87" t="s">
        <v>2997</v>
      </c>
      <c r="AO39" s="87" t="s">
        <v>2997</v>
      </c>
      <c r="AP39" s="87" t="s">
        <v>2997</v>
      </c>
      <c r="AQ39" s="87" t="s">
        <v>2997</v>
      </c>
      <c r="AR39" s="87" t="s">
        <v>2997</v>
      </c>
      <c r="AS39" s="87" t="s">
        <v>2997</v>
      </c>
      <c r="AT39" s="87" t="s">
        <v>2997</v>
      </c>
      <c r="AU39" s="87" t="s">
        <v>2997</v>
      </c>
      <c r="AV39" s="87" t="s">
        <v>2997</v>
      </c>
      <c r="AW39" s="87" t="s">
        <v>2997</v>
      </c>
      <c r="AX39" s="87" t="s">
        <v>2997</v>
      </c>
      <c r="AY39" s="87" t="s">
        <v>2997</v>
      </c>
      <c r="AZ39" s="21" t="e">
        <f>CHOOSE(CharGenMain!$C$206,G39,J39,M39,P39,S39,V39,Y39,AB39,AE39,AH39,AK39,AN39,AQ39,AT39,AW39)</f>
        <v>#VALUE!</v>
      </c>
      <c r="BA39" s="21" t="e">
        <f>CHOOSE(CharGenMain!$C$206,H39,K39,N39,Q39,T39,W39,Z39,AC39,AF39,AI39,AL39,AO39,AR39,AU39,AX39)</f>
        <v>#VALUE!</v>
      </c>
      <c r="BB39" s="21" t="e">
        <f>CHOOSE(CharGenMain!$C$206,I39,L39,O39,R39,U39,X39,AA39,AD39,AG39,AJ39,AM39,AP39,AS39,AV39,AY39)</f>
        <v>#VALUE!</v>
      </c>
      <c r="BC39" s="21" t="e">
        <f>CHOOSE(CharGenMain!$C$207,G39,J39,M39,P39,S39,V39,Y39,AB39,AE39,AH39,AK39,AN39,AQ39,AT39,AW39)</f>
        <v>#VALUE!</v>
      </c>
      <c r="BD39" s="21" t="e">
        <f>CHOOSE(CharGenMain!$C$207,H39,K39,N39,Q39,T39,W39,Z39,AC39,AF39,AI39,AL39,AO39,AR39,AU39,AX39)</f>
        <v>#VALUE!</v>
      </c>
      <c r="BE39" s="28" t="e">
        <f>CHOOSE(CharGenMain!$C$207,I39,L39,O39,R39,U39,X39,AA39,AD39,AG39,AJ39,AM39,AP39,AS39,AV39,AY39)</f>
        <v>#VALUE!</v>
      </c>
    </row>
    <row r="40" spans="1:57">
      <c r="A40" s="226" t="s">
        <v>818</v>
      </c>
      <c r="B40" s="167" t="s">
        <v>819</v>
      </c>
      <c r="C40" s="14" t="s">
        <v>2667</v>
      </c>
      <c r="D40" s="14">
        <v>1</v>
      </c>
      <c r="E40" s="14">
        <v>5</v>
      </c>
      <c r="F40" s="14">
        <v>8</v>
      </c>
      <c r="G40" s="87">
        <v>0</v>
      </c>
      <c r="H40" s="87">
        <v>0</v>
      </c>
      <c r="I40" s="206" t="s">
        <v>823</v>
      </c>
      <c r="J40" s="87">
        <v>3</v>
      </c>
      <c r="K40" s="87">
        <v>0</v>
      </c>
      <c r="L40" s="87" t="s">
        <v>919</v>
      </c>
      <c r="M40" s="87">
        <v>3</v>
      </c>
      <c r="N40" s="87">
        <v>0</v>
      </c>
      <c r="O40" s="206" t="s">
        <v>920</v>
      </c>
      <c r="P40" s="87">
        <v>6</v>
      </c>
      <c r="Q40" s="87">
        <v>0</v>
      </c>
      <c r="R40" s="87" t="s">
        <v>910</v>
      </c>
      <c r="S40" s="87">
        <v>6</v>
      </c>
      <c r="T40" s="87">
        <v>0</v>
      </c>
      <c r="U40" s="87" t="s">
        <v>911</v>
      </c>
      <c r="V40" s="87" t="s">
        <v>2997</v>
      </c>
      <c r="W40" s="87" t="s">
        <v>2997</v>
      </c>
      <c r="X40" s="87" t="s">
        <v>2997</v>
      </c>
      <c r="Y40" s="87" t="s">
        <v>2997</v>
      </c>
      <c r="Z40" s="87" t="s">
        <v>2997</v>
      </c>
      <c r="AA40" s="87" t="s">
        <v>2997</v>
      </c>
      <c r="AB40" s="87" t="s">
        <v>2997</v>
      </c>
      <c r="AC40" s="87" t="s">
        <v>2997</v>
      </c>
      <c r="AD40" s="87" t="s">
        <v>2997</v>
      </c>
      <c r="AE40" s="87" t="s">
        <v>2997</v>
      </c>
      <c r="AF40" s="87" t="s">
        <v>2997</v>
      </c>
      <c r="AG40" s="87" t="s">
        <v>2997</v>
      </c>
      <c r="AH40" s="87" t="s">
        <v>2997</v>
      </c>
      <c r="AI40" s="87" t="s">
        <v>2997</v>
      </c>
      <c r="AJ40" s="87" t="s">
        <v>2997</v>
      </c>
      <c r="AK40" s="87" t="s">
        <v>2997</v>
      </c>
      <c r="AL40" s="87" t="s">
        <v>2997</v>
      </c>
      <c r="AM40" s="87" t="s">
        <v>2997</v>
      </c>
      <c r="AN40" s="87" t="s">
        <v>2997</v>
      </c>
      <c r="AO40" s="87" t="s">
        <v>2997</v>
      </c>
      <c r="AP40" s="87" t="s">
        <v>2997</v>
      </c>
      <c r="AQ40" s="87" t="s">
        <v>2997</v>
      </c>
      <c r="AR40" s="87" t="s">
        <v>2997</v>
      </c>
      <c r="AS40" s="87" t="s">
        <v>2997</v>
      </c>
      <c r="AT40" s="87" t="s">
        <v>2997</v>
      </c>
      <c r="AU40" s="87" t="s">
        <v>2997</v>
      </c>
      <c r="AV40" s="87" t="s">
        <v>2997</v>
      </c>
      <c r="AW40" s="87" t="s">
        <v>2997</v>
      </c>
      <c r="AX40" s="87" t="s">
        <v>2997</v>
      </c>
      <c r="AY40" s="87" t="s">
        <v>2997</v>
      </c>
      <c r="AZ40" s="21" t="e">
        <f>CHOOSE(CharGenMain!$C$206,G40,J40,M40,P40,S40,V40,Y40,AB40,AE40,AH40,AK40,AN40,AQ40,AT40,AW40)</f>
        <v>#VALUE!</v>
      </c>
      <c r="BA40" s="21" t="e">
        <f>CHOOSE(CharGenMain!$C$206,H40,K40,N40,Q40,T40,W40,Z40,AC40,AF40,AI40,AL40,AO40,AR40,AU40,AX40)</f>
        <v>#VALUE!</v>
      </c>
      <c r="BB40" s="21" t="e">
        <f>CHOOSE(CharGenMain!$C$206,I40,L40,O40,R40,U40,X40,AA40,AD40,AG40,AJ40,AM40,AP40,AS40,AV40,AY40)</f>
        <v>#VALUE!</v>
      </c>
      <c r="BC40" s="21" t="e">
        <f>CHOOSE(CharGenMain!$C$207,G40,J40,M40,P40,S40,V40,Y40,AB40,AE40,AH40,AK40,AN40,AQ40,AT40,AW40)</f>
        <v>#VALUE!</v>
      </c>
      <c r="BD40" s="21" t="e">
        <f>CHOOSE(CharGenMain!$C$207,H40,K40,N40,Q40,T40,W40,Z40,AC40,AF40,AI40,AL40,AO40,AR40,AU40,AX40)</f>
        <v>#VALUE!</v>
      </c>
      <c r="BE40" s="28" t="e">
        <f>CHOOSE(CharGenMain!$C$207,I40,L40,O40,R40,U40,X40,AA40,AD40,AG40,AJ40,AM40,AP40,AS40,AV40,AY40)</f>
        <v>#VALUE!</v>
      </c>
    </row>
    <row r="41" spans="1:57">
      <c r="A41" s="226" t="s">
        <v>912</v>
      </c>
      <c r="B41" s="167" t="s">
        <v>819</v>
      </c>
      <c r="C41" s="14" t="s">
        <v>2667</v>
      </c>
      <c r="D41" s="14">
        <v>1</v>
      </c>
      <c r="E41" s="14">
        <v>5</v>
      </c>
      <c r="F41" s="14">
        <v>8</v>
      </c>
      <c r="G41" s="87">
        <v>0</v>
      </c>
      <c r="H41" s="87">
        <v>0</v>
      </c>
      <c r="I41" s="206" t="s">
        <v>823</v>
      </c>
      <c r="J41" s="87">
        <v>0</v>
      </c>
      <c r="K41" s="87">
        <v>0</v>
      </c>
      <c r="L41" s="206" t="s">
        <v>913</v>
      </c>
      <c r="M41" s="87">
        <v>0</v>
      </c>
      <c r="N41" s="87">
        <v>0</v>
      </c>
      <c r="O41" s="206" t="s">
        <v>920</v>
      </c>
      <c r="P41" s="87">
        <v>0</v>
      </c>
      <c r="Q41" s="87">
        <v>0</v>
      </c>
      <c r="R41" s="206" t="s">
        <v>914</v>
      </c>
      <c r="S41" s="87">
        <v>0</v>
      </c>
      <c r="T41" s="87">
        <v>0</v>
      </c>
      <c r="U41" s="87" t="s">
        <v>1019</v>
      </c>
      <c r="V41" s="87"/>
      <c r="W41" s="87" t="s">
        <v>2997</v>
      </c>
      <c r="X41" s="87" t="s">
        <v>2997</v>
      </c>
      <c r="Y41" s="87" t="s">
        <v>2997</v>
      </c>
      <c r="Z41" s="87" t="s">
        <v>2997</v>
      </c>
      <c r="AA41" s="87" t="s">
        <v>2997</v>
      </c>
      <c r="AB41" s="87" t="s">
        <v>2997</v>
      </c>
      <c r="AC41" s="87" t="s">
        <v>2997</v>
      </c>
      <c r="AD41" s="87" t="s">
        <v>2997</v>
      </c>
      <c r="AE41" s="87" t="s">
        <v>2997</v>
      </c>
      <c r="AF41" s="87" t="s">
        <v>2997</v>
      </c>
      <c r="AG41" s="87" t="s">
        <v>2997</v>
      </c>
      <c r="AH41" s="87" t="s">
        <v>2997</v>
      </c>
      <c r="AI41" s="87" t="s">
        <v>2997</v>
      </c>
      <c r="AJ41" s="87" t="s">
        <v>2997</v>
      </c>
      <c r="AK41" s="87" t="s">
        <v>2997</v>
      </c>
      <c r="AL41" s="87" t="s">
        <v>2997</v>
      </c>
      <c r="AM41" s="87" t="s">
        <v>2997</v>
      </c>
      <c r="AN41" s="87" t="s">
        <v>2997</v>
      </c>
      <c r="AO41" s="87" t="s">
        <v>2997</v>
      </c>
      <c r="AP41" s="87" t="s">
        <v>2997</v>
      </c>
      <c r="AQ41" s="87" t="s">
        <v>2997</v>
      </c>
      <c r="AR41" s="87" t="s">
        <v>2997</v>
      </c>
      <c r="AS41" s="87" t="s">
        <v>2997</v>
      </c>
      <c r="AT41" s="87" t="s">
        <v>2997</v>
      </c>
      <c r="AU41" s="87" t="s">
        <v>2997</v>
      </c>
      <c r="AV41" s="87" t="s">
        <v>2997</v>
      </c>
      <c r="AW41" s="87" t="s">
        <v>2997</v>
      </c>
      <c r="AX41" s="87" t="s">
        <v>2997</v>
      </c>
      <c r="AY41" s="87" t="s">
        <v>2997</v>
      </c>
      <c r="AZ41" s="21" t="e">
        <f>CHOOSE(CharGenMain!$C$206,G41,J41,M41,P41,S41,V41,Y41,AB41,AE41,AH41,AK41,AN41,AQ41,AT41,AW41)</f>
        <v>#VALUE!</v>
      </c>
      <c r="BA41" s="21" t="e">
        <f>CHOOSE(CharGenMain!$C$206,H41,K41,N41,Q41,T41,W41,Z41,AC41,AF41,AI41,AL41,AO41,AR41,AU41,AX41)</f>
        <v>#VALUE!</v>
      </c>
      <c r="BB41" s="21" t="e">
        <f>CHOOSE(CharGenMain!$C$206,I41,L41,O41,R41,U41,X41,AA41,AD41,AG41,AJ41,AM41,AP41,AS41,AV41,AY41)</f>
        <v>#VALUE!</v>
      </c>
      <c r="BC41" s="21" t="e">
        <f>CHOOSE(CharGenMain!$C$207,G41,J41,M41,P41,S41,V41,Y41,AB41,AE41,AH41,AK41,AN41,AQ41,AT41,AW41)</f>
        <v>#VALUE!</v>
      </c>
      <c r="BD41" s="21" t="e">
        <f>CHOOSE(CharGenMain!$C$207,H41,K41,N41,Q41,T41,W41,Z41,AC41,AF41,AI41,AL41,AO41,AR41,AU41,AX41)</f>
        <v>#VALUE!</v>
      </c>
      <c r="BE41" s="28" t="e">
        <f>CHOOSE(CharGenMain!$C$207,I41,L41,O41,R41,U41,X41,AA41,AD41,AG41,AJ41,AM41,AP41,AS41,AV41,AY41)</f>
        <v>#VALUE!</v>
      </c>
    </row>
    <row r="42" spans="1:57">
      <c r="A42" s="20" t="s">
        <v>1020</v>
      </c>
      <c r="B42" s="167" t="s">
        <v>1740</v>
      </c>
      <c r="C42" s="14" t="s">
        <v>2279</v>
      </c>
      <c r="D42" s="14">
        <v>4</v>
      </c>
      <c r="E42" s="14">
        <v>5</v>
      </c>
      <c r="F42" s="14">
        <v>23</v>
      </c>
      <c r="G42" s="87">
        <v>12</v>
      </c>
      <c r="H42" s="87">
        <v>0</v>
      </c>
      <c r="I42" s="87" t="s">
        <v>1215</v>
      </c>
      <c r="J42" s="87">
        <v>12</v>
      </c>
      <c r="K42" s="87">
        <v>0</v>
      </c>
      <c r="L42" s="87" t="s">
        <v>1125</v>
      </c>
      <c r="M42" s="87">
        <v>13</v>
      </c>
      <c r="N42" s="87">
        <v>0</v>
      </c>
      <c r="O42" s="87" t="s">
        <v>1125</v>
      </c>
      <c r="P42" s="87">
        <v>13</v>
      </c>
      <c r="Q42" s="87">
        <v>0</v>
      </c>
      <c r="R42" s="87" t="s">
        <v>1125</v>
      </c>
      <c r="S42" s="87">
        <v>13</v>
      </c>
      <c r="T42" s="87">
        <v>0</v>
      </c>
      <c r="U42" s="87" t="s">
        <v>1125</v>
      </c>
      <c r="V42" s="87" t="s">
        <v>2997</v>
      </c>
      <c r="W42" s="87" t="s">
        <v>2997</v>
      </c>
      <c r="X42" s="87" t="s">
        <v>2997</v>
      </c>
      <c r="Y42" s="87" t="s">
        <v>2997</v>
      </c>
      <c r="Z42" s="87" t="s">
        <v>2997</v>
      </c>
      <c r="AA42" s="87" t="s">
        <v>2997</v>
      </c>
      <c r="AB42" s="87" t="s">
        <v>2997</v>
      </c>
      <c r="AC42" s="87" t="s">
        <v>2997</v>
      </c>
      <c r="AD42" s="87" t="s">
        <v>2997</v>
      </c>
      <c r="AE42" s="87" t="s">
        <v>2997</v>
      </c>
      <c r="AF42" s="87" t="s">
        <v>2997</v>
      </c>
      <c r="AG42" s="87" t="s">
        <v>2997</v>
      </c>
      <c r="AH42" s="87" t="s">
        <v>2997</v>
      </c>
      <c r="AI42" s="87" t="s">
        <v>2997</v>
      </c>
      <c r="AJ42" s="87" t="s">
        <v>2997</v>
      </c>
      <c r="AK42" s="87" t="s">
        <v>2997</v>
      </c>
      <c r="AL42" s="87" t="s">
        <v>2997</v>
      </c>
      <c r="AM42" s="87" t="s">
        <v>2997</v>
      </c>
      <c r="AN42" s="87" t="s">
        <v>2997</v>
      </c>
      <c r="AO42" s="87" t="s">
        <v>2997</v>
      </c>
      <c r="AP42" s="87" t="s">
        <v>2997</v>
      </c>
      <c r="AQ42" s="87" t="s">
        <v>2997</v>
      </c>
      <c r="AR42" s="87" t="s">
        <v>2997</v>
      </c>
      <c r="AS42" s="87" t="s">
        <v>2997</v>
      </c>
      <c r="AT42" s="87" t="s">
        <v>2997</v>
      </c>
      <c r="AU42" s="87" t="s">
        <v>2997</v>
      </c>
      <c r="AV42" s="87" t="s">
        <v>2997</v>
      </c>
      <c r="AW42" s="87" t="s">
        <v>2997</v>
      </c>
      <c r="AX42" s="87" t="s">
        <v>2997</v>
      </c>
      <c r="AY42" s="87" t="s">
        <v>2997</v>
      </c>
      <c r="AZ42" s="21" t="e">
        <f>CHOOSE(CharGenMain!$C$206,G42,J42,M42,P42,S42,V42,Y42,AB42,AE42,AH42,AK42,AN42,AQ42,AT42,AW42)</f>
        <v>#VALUE!</v>
      </c>
      <c r="BA42" s="21" t="e">
        <f>CHOOSE(CharGenMain!$C$206,H42,K42,N42,Q42,T42,W42,Z42,AC42,AF42,AI42,AL42,AO42,AR42,AU42,AX42)</f>
        <v>#VALUE!</v>
      </c>
      <c r="BB42" s="21" t="e">
        <f>CHOOSE(CharGenMain!$C$206,I42,L42,O42,R42,U42,X42,AA42,AD42,AG42,AJ42,AM42,AP42,AS42,AV42,AY42)</f>
        <v>#VALUE!</v>
      </c>
      <c r="BC42" s="21" t="e">
        <f>CHOOSE(CharGenMain!$C$207,G42,J42,M42,P42,S42,V42,Y42,AB42,AE42,AH42,AK42,AN42,AQ42,AT42,AW42)</f>
        <v>#VALUE!</v>
      </c>
      <c r="BD42" s="21" t="e">
        <f>CHOOSE(CharGenMain!$C$207,H42,K42,N42,Q42,T42,W42,Z42,AC42,AF42,AI42,AL42,AO42,AR42,AU42,AX42)</f>
        <v>#VALUE!</v>
      </c>
      <c r="BE42" s="28" t="e">
        <f>CHOOSE(CharGenMain!$C$207,I42,L42,O42,R42,U42,X42,AA42,AD42,AG42,AJ42,AM42,AP42,AS42,AV42,AY42)</f>
        <v>#VALUE!</v>
      </c>
    </row>
    <row r="43" spans="1:57">
      <c r="A43" s="20" t="s">
        <v>1021</v>
      </c>
      <c r="B43" s="167" t="s">
        <v>1024</v>
      </c>
      <c r="C43" s="14" t="s">
        <v>2279</v>
      </c>
      <c r="D43" s="14">
        <v>3</v>
      </c>
      <c r="E43" s="14">
        <v>9</v>
      </c>
      <c r="F43" s="14">
        <v>18</v>
      </c>
      <c r="G43" s="168">
        <v>11</v>
      </c>
      <c r="H43" s="168">
        <v>0</v>
      </c>
      <c r="I43" s="207" t="s">
        <v>1025</v>
      </c>
      <c r="J43" s="168">
        <v>11</v>
      </c>
      <c r="K43" s="168">
        <v>0</v>
      </c>
      <c r="L43" s="207" t="s">
        <v>1026</v>
      </c>
      <c r="M43" s="168">
        <v>12</v>
      </c>
      <c r="N43" s="168">
        <v>0</v>
      </c>
      <c r="O43" s="207" t="s">
        <v>1026</v>
      </c>
      <c r="P43" s="168">
        <v>13</v>
      </c>
      <c r="Q43" s="168">
        <v>0</v>
      </c>
      <c r="R43" s="207" t="s">
        <v>1026</v>
      </c>
      <c r="S43" s="168">
        <v>13</v>
      </c>
      <c r="T43" s="168">
        <v>0</v>
      </c>
      <c r="U43" s="7" t="s">
        <v>926</v>
      </c>
      <c r="V43" s="168">
        <v>14</v>
      </c>
      <c r="W43" s="168">
        <v>0</v>
      </c>
      <c r="X43" s="7" t="s">
        <v>927</v>
      </c>
      <c r="Y43" s="168">
        <v>14</v>
      </c>
      <c r="Z43" s="168">
        <v>0</v>
      </c>
      <c r="AA43" s="7" t="s">
        <v>925</v>
      </c>
      <c r="AB43" s="168">
        <v>15</v>
      </c>
      <c r="AC43" s="168">
        <v>0</v>
      </c>
      <c r="AD43" s="7" t="s">
        <v>832</v>
      </c>
      <c r="AE43" s="168">
        <v>15</v>
      </c>
      <c r="AF43" s="168">
        <v>0</v>
      </c>
      <c r="AG43" s="7" t="s">
        <v>735</v>
      </c>
      <c r="AH43" s="87" t="s">
        <v>2997</v>
      </c>
      <c r="AI43" s="87" t="s">
        <v>2997</v>
      </c>
      <c r="AJ43" s="87" t="s">
        <v>2997</v>
      </c>
      <c r="AK43" s="87" t="s">
        <v>2997</v>
      </c>
      <c r="AL43" s="87" t="s">
        <v>2997</v>
      </c>
      <c r="AM43" s="87" t="s">
        <v>2997</v>
      </c>
      <c r="AN43" s="87" t="s">
        <v>2997</v>
      </c>
      <c r="AO43" s="87" t="s">
        <v>2997</v>
      </c>
      <c r="AP43" s="87" t="s">
        <v>2997</v>
      </c>
      <c r="AQ43" s="87" t="s">
        <v>2997</v>
      </c>
      <c r="AR43" s="87" t="s">
        <v>2997</v>
      </c>
      <c r="AS43" s="87" t="s">
        <v>2997</v>
      </c>
      <c r="AT43" s="87" t="s">
        <v>2997</v>
      </c>
      <c r="AU43" s="87" t="s">
        <v>2997</v>
      </c>
      <c r="AV43" s="87" t="s">
        <v>2997</v>
      </c>
      <c r="AW43" s="87" t="s">
        <v>2997</v>
      </c>
      <c r="AX43" s="87" t="s">
        <v>2997</v>
      </c>
      <c r="AY43" s="87" t="s">
        <v>2997</v>
      </c>
      <c r="AZ43" s="21" t="e">
        <f>CHOOSE(CharGenMain!$C$206,G43,J43,M43,P43,S43,V43,Y43,AB43,AE43,AH43,AK43,AN43,AQ43,AT43,AW43)</f>
        <v>#VALUE!</v>
      </c>
      <c r="BA43" s="21" t="e">
        <f>CHOOSE(CharGenMain!$C$206,H43,K43,N43,Q43,T43,W43,Z43,AC43,AF43,AI43,AL43,AO43,AR43,AU43,AX43)</f>
        <v>#VALUE!</v>
      </c>
      <c r="BB43" s="21" t="e">
        <f>CHOOSE(CharGenMain!$C$206,I43,L43,O43,R43,U43,X43,AA43,AD43,AG43,AJ43,AM43,AP43,AS43,AV43,AY43)</f>
        <v>#VALUE!</v>
      </c>
      <c r="BC43" s="21" t="e">
        <f>CHOOSE(CharGenMain!$C$207,G43,J43,M43,P43,S43,V43,Y43,AB43,AE43,AH43,AK43,AN43,AQ43,AT43,AW43)</f>
        <v>#VALUE!</v>
      </c>
      <c r="BD43" s="21" t="e">
        <f>CHOOSE(CharGenMain!$C$207,H43,K43,N43,Q43,T43,W43,Z43,AC43,AF43,AI43,AL43,AO43,AR43,AU43,AX43)</f>
        <v>#VALUE!</v>
      </c>
      <c r="BE43" s="28" t="e">
        <f>CHOOSE(CharGenMain!$C$207,I43,L43,O43,R43,U43,X43,AA43,AD43,AG43,AJ43,AM43,AP43,AS43,AV43,AY43)</f>
        <v>#VALUE!</v>
      </c>
    </row>
    <row r="44" spans="1:57">
      <c r="A44" s="205" t="s">
        <v>1418</v>
      </c>
      <c r="B44" s="167" t="s">
        <v>1419</v>
      </c>
      <c r="C44" s="14" t="s">
        <v>2279</v>
      </c>
      <c r="D44" s="14">
        <v>2</v>
      </c>
      <c r="E44" s="14">
        <v>15</v>
      </c>
      <c r="F44" s="14">
        <v>15</v>
      </c>
      <c r="G44" s="87">
        <v>4</v>
      </c>
      <c r="H44" s="87">
        <v>0</v>
      </c>
      <c r="I44" s="87" t="s">
        <v>283</v>
      </c>
      <c r="J44" s="87">
        <v>5</v>
      </c>
      <c r="K44" s="87">
        <v>0</v>
      </c>
      <c r="L44" s="87" t="s">
        <v>273</v>
      </c>
      <c r="M44" s="87">
        <v>5</v>
      </c>
      <c r="N44" s="87">
        <v>0</v>
      </c>
      <c r="O44" s="87" t="s">
        <v>297</v>
      </c>
      <c r="P44" s="87">
        <v>5</v>
      </c>
      <c r="Q44" s="87">
        <v>0</v>
      </c>
      <c r="R44" s="87" t="s">
        <v>254</v>
      </c>
      <c r="S44" s="87">
        <v>6</v>
      </c>
      <c r="T44" s="87">
        <v>0</v>
      </c>
      <c r="U44" s="87" t="s">
        <v>137</v>
      </c>
      <c r="V44" s="87">
        <v>6</v>
      </c>
      <c r="W44" s="87">
        <v>0</v>
      </c>
      <c r="X44" s="87" t="s">
        <v>138</v>
      </c>
      <c r="Y44" s="87">
        <v>6</v>
      </c>
      <c r="Z44" s="87">
        <v>0</v>
      </c>
      <c r="AA44" s="87" t="s">
        <v>256</v>
      </c>
      <c r="AB44" s="87">
        <v>6</v>
      </c>
      <c r="AC44" s="87">
        <v>0</v>
      </c>
      <c r="AD44" s="87" t="s">
        <v>303</v>
      </c>
      <c r="AE44" s="87">
        <v>7</v>
      </c>
      <c r="AF44" s="87">
        <v>0</v>
      </c>
      <c r="AG44" s="87" t="s">
        <v>262</v>
      </c>
      <c r="AH44" s="87">
        <v>7</v>
      </c>
      <c r="AI44" s="87">
        <v>0</v>
      </c>
      <c r="AJ44" s="87" t="s">
        <v>263</v>
      </c>
      <c r="AK44" s="87">
        <v>7</v>
      </c>
      <c r="AL44" s="87">
        <v>0</v>
      </c>
      <c r="AM44" s="231" t="s">
        <v>281</v>
      </c>
      <c r="AN44" s="231">
        <v>7</v>
      </c>
      <c r="AO44" s="87">
        <v>0</v>
      </c>
      <c r="AP44" s="231" t="s">
        <v>71</v>
      </c>
      <c r="AQ44" s="87">
        <v>8</v>
      </c>
      <c r="AR44" s="87">
        <v>0</v>
      </c>
      <c r="AS44" s="231" t="s">
        <v>72</v>
      </c>
      <c r="AT44" s="87">
        <v>8</v>
      </c>
      <c r="AU44" s="87">
        <v>0</v>
      </c>
      <c r="AV44" s="231" t="s">
        <v>216</v>
      </c>
      <c r="AW44" s="87">
        <v>8</v>
      </c>
      <c r="AX44" s="87">
        <v>0</v>
      </c>
      <c r="AY44" s="231" t="s">
        <v>211</v>
      </c>
      <c r="AZ44" s="21" t="e">
        <f>CHOOSE(CharGenMain!$C$206,G44,J44,M44,P44,S44,V44,Y44,AB44,AE44,AH44,AK44,AN44,AQ44,AT44,AW44)</f>
        <v>#VALUE!</v>
      </c>
      <c r="BA44" s="21" t="e">
        <f>CHOOSE(CharGenMain!$C$206,H44,K44,N44,Q44,T44,W44,Z44,AC44,AF44,AI44,AL44,AO44,AR44,AU44,AX44)</f>
        <v>#VALUE!</v>
      </c>
      <c r="BB44" s="21" t="e">
        <f>CHOOSE(CharGenMain!$C$206,I44,L44,O44,R44,U44,X44,AA44,AD44,AG44,AJ44,AM44,AP44,AS44,AV44,AY44)</f>
        <v>#VALUE!</v>
      </c>
      <c r="BC44" s="21" t="e">
        <f>CHOOSE(CharGenMain!$C$207,G44,J44,M44,P44,S44,V44,Y44,AB44,AE44,AH44,AK44,AN44,AQ44,AT44,AW44)</f>
        <v>#VALUE!</v>
      </c>
      <c r="BD44" s="21" t="e">
        <f>CHOOSE(CharGenMain!$C$207,H44,K44,N44,Q44,T44,W44,Z44,AC44,AF44,AI44,AL44,AO44,AR44,AU44,AX44)</f>
        <v>#VALUE!</v>
      </c>
      <c r="BE44" s="28" t="e">
        <f>CHOOSE(CharGenMain!$C$207,I44,L44,O44,R44,U44,X44,AA44,AD44,AG44,AJ44,AM44,AP44,AS44,AV44,AY44)</f>
        <v>#VALUE!</v>
      </c>
    </row>
    <row r="45" spans="1:57">
      <c r="A45" s="20" t="s">
        <v>736</v>
      </c>
      <c r="B45" s="167" t="s">
        <v>737</v>
      </c>
      <c r="C45" s="14" t="s">
        <v>2279</v>
      </c>
      <c r="D45" s="14">
        <v>3</v>
      </c>
      <c r="E45" s="14">
        <v>6</v>
      </c>
      <c r="F45" s="14">
        <v>18</v>
      </c>
      <c r="G45" s="87">
        <v>7</v>
      </c>
      <c r="H45" s="87">
        <v>0</v>
      </c>
      <c r="I45" s="87" t="s">
        <v>738</v>
      </c>
      <c r="J45" s="87">
        <v>7</v>
      </c>
      <c r="K45" s="87">
        <v>0</v>
      </c>
      <c r="L45" s="87" t="s">
        <v>739</v>
      </c>
      <c r="M45" s="87">
        <v>7</v>
      </c>
      <c r="N45" s="87">
        <v>0</v>
      </c>
      <c r="O45" s="87" t="s">
        <v>740</v>
      </c>
      <c r="P45" s="87">
        <v>9</v>
      </c>
      <c r="Q45" s="87">
        <v>0</v>
      </c>
      <c r="R45" s="206" t="s">
        <v>741</v>
      </c>
      <c r="S45" s="87">
        <v>9</v>
      </c>
      <c r="T45" s="87">
        <v>0</v>
      </c>
      <c r="U45" s="206" t="s">
        <v>742</v>
      </c>
      <c r="V45" s="87">
        <v>9</v>
      </c>
      <c r="W45" s="87">
        <v>0</v>
      </c>
      <c r="X45" s="206" t="s">
        <v>743</v>
      </c>
      <c r="Y45" s="87" t="s">
        <v>2997</v>
      </c>
      <c r="Z45" s="87" t="s">
        <v>2997</v>
      </c>
      <c r="AA45" s="87" t="s">
        <v>2997</v>
      </c>
      <c r="AB45" s="87" t="s">
        <v>2997</v>
      </c>
      <c r="AC45" s="87" t="s">
        <v>2997</v>
      </c>
      <c r="AD45" s="87" t="s">
        <v>2997</v>
      </c>
      <c r="AE45" s="87" t="s">
        <v>2997</v>
      </c>
      <c r="AF45" s="87" t="s">
        <v>2997</v>
      </c>
      <c r="AG45" s="87" t="s">
        <v>2997</v>
      </c>
      <c r="AH45" s="87" t="s">
        <v>2997</v>
      </c>
      <c r="AI45" s="87" t="s">
        <v>2997</v>
      </c>
      <c r="AJ45" s="87" t="s">
        <v>2997</v>
      </c>
      <c r="AK45" s="87" t="s">
        <v>2997</v>
      </c>
      <c r="AL45" s="87" t="s">
        <v>2997</v>
      </c>
      <c r="AM45" s="87" t="s">
        <v>2997</v>
      </c>
      <c r="AN45" s="87" t="s">
        <v>2997</v>
      </c>
      <c r="AO45" s="87" t="s">
        <v>2997</v>
      </c>
      <c r="AP45" s="87" t="s">
        <v>2997</v>
      </c>
      <c r="AQ45" s="87" t="s">
        <v>2997</v>
      </c>
      <c r="AR45" s="87" t="s">
        <v>2997</v>
      </c>
      <c r="AS45" s="87" t="s">
        <v>2997</v>
      </c>
      <c r="AT45" s="87" t="s">
        <v>2997</v>
      </c>
      <c r="AU45" s="87" t="s">
        <v>2997</v>
      </c>
      <c r="AV45" s="87" t="s">
        <v>2997</v>
      </c>
      <c r="AW45" s="87" t="s">
        <v>2997</v>
      </c>
      <c r="AX45" s="87" t="s">
        <v>2997</v>
      </c>
      <c r="AY45" s="87" t="s">
        <v>2997</v>
      </c>
      <c r="AZ45" s="21" t="e">
        <f>CHOOSE(CharGenMain!$C$206,G45,J45,M45,P45,S45,V45,Y45,AB45,AE45,AH45,AK45,AN45,AQ45,AT45,AW45)</f>
        <v>#VALUE!</v>
      </c>
      <c r="BA45" s="21" t="e">
        <f>CHOOSE(CharGenMain!$C$206,H45,K45,N45,Q45,T45,W45,Z45,AC45,AF45,AI45,AL45,AO45,AR45,AU45,AX45)</f>
        <v>#VALUE!</v>
      </c>
      <c r="BB45" s="21" t="e">
        <f>CHOOSE(CharGenMain!$C$206,I45,L45,O45,R45,U45,X45,AA45,AD45,AG45,AJ45,AM45,AP45,AS45,AV45,AY45)</f>
        <v>#VALUE!</v>
      </c>
      <c r="BC45" s="21" t="e">
        <f>CHOOSE(CharGenMain!$C$207,G45,J45,M45,P45,S45,V45,Y45,AB45,AE45,AH45,AK45,AN45,AQ45,AT45,AW45)</f>
        <v>#VALUE!</v>
      </c>
      <c r="BD45" s="21" t="e">
        <f>CHOOSE(CharGenMain!$C$207,H45,K45,N45,Q45,T45,W45,Z45,AC45,AF45,AI45,AL45,AO45,AR45,AU45,AX45)</f>
        <v>#VALUE!</v>
      </c>
      <c r="BE45" s="28" t="e">
        <f>CHOOSE(CharGenMain!$C$207,I45,L45,O45,R45,U45,X45,AA45,AD45,AG45,AJ45,AM45,AP45,AS45,AV45,AY45)</f>
        <v>#VALUE!</v>
      </c>
    </row>
    <row r="46" spans="1:57">
      <c r="A46" s="20" t="s">
        <v>744</v>
      </c>
      <c r="B46" s="167" t="s">
        <v>745</v>
      </c>
      <c r="C46" s="14" t="s">
        <v>2279</v>
      </c>
      <c r="D46" s="14">
        <v>2</v>
      </c>
      <c r="E46" s="14">
        <v>6</v>
      </c>
      <c r="F46" s="14">
        <v>25</v>
      </c>
      <c r="G46" s="87">
        <v>11</v>
      </c>
      <c r="H46" s="87">
        <v>0</v>
      </c>
      <c r="I46" s="87" t="s">
        <v>1215</v>
      </c>
      <c r="J46" s="87">
        <v>12</v>
      </c>
      <c r="K46" s="87">
        <v>0</v>
      </c>
      <c r="L46" s="87" t="s">
        <v>1215</v>
      </c>
      <c r="M46" s="87">
        <v>12</v>
      </c>
      <c r="N46" s="87">
        <v>1</v>
      </c>
      <c r="O46" s="87" t="s">
        <v>1215</v>
      </c>
      <c r="P46" s="87">
        <v>13</v>
      </c>
      <c r="Q46" s="87">
        <v>2</v>
      </c>
      <c r="R46" s="87" t="s">
        <v>746</v>
      </c>
      <c r="S46" s="87">
        <v>14</v>
      </c>
      <c r="T46" s="87">
        <v>3</v>
      </c>
      <c r="U46" s="87" t="s">
        <v>746</v>
      </c>
      <c r="V46" s="87">
        <v>15</v>
      </c>
      <c r="W46" s="87">
        <v>4</v>
      </c>
      <c r="X46" s="87" t="s">
        <v>747</v>
      </c>
      <c r="Y46" s="87" t="s">
        <v>2997</v>
      </c>
      <c r="Z46" s="87" t="s">
        <v>2997</v>
      </c>
      <c r="AA46" s="87" t="s">
        <v>2997</v>
      </c>
      <c r="AB46" s="87" t="s">
        <v>2997</v>
      </c>
      <c r="AC46" s="87" t="s">
        <v>2997</v>
      </c>
      <c r="AD46" s="87" t="s">
        <v>2997</v>
      </c>
      <c r="AE46" s="87" t="s">
        <v>2997</v>
      </c>
      <c r="AF46" s="87" t="s">
        <v>2997</v>
      </c>
      <c r="AG46" s="87" t="s">
        <v>2997</v>
      </c>
      <c r="AH46" s="87" t="s">
        <v>2997</v>
      </c>
      <c r="AI46" s="87" t="s">
        <v>2997</v>
      </c>
      <c r="AJ46" s="87" t="s">
        <v>2997</v>
      </c>
      <c r="AK46" s="87" t="s">
        <v>2997</v>
      </c>
      <c r="AL46" s="87" t="s">
        <v>2997</v>
      </c>
      <c r="AM46" s="87" t="s">
        <v>2997</v>
      </c>
      <c r="AN46" s="87" t="s">
        <v>2997</v>
      </c>
      <c r="AO46" s="87" t="s">
        <v>2997</v>
      </c>
      <c r="AP46" s="87" t="s">
        <v>2997</v>
      </c>
      <c r="AQ46" s="87" t="s">
        <v>2997</v>
      </c>
      <c r="AR46" s="87" t="s">
        <v>2997</v>
      </c>
      <c r="AS46" s="87" t="s">
        <v>2997</v>
      </c>
      <c r="AT46" s="87" t="s">
        <v>2997</v>
      </c>
      <c r="AU46" s="87" t="s">
        <v>2997</v>
      </c>
      <c r="AV46" s="87" t="s">
        <v>2997</v>
      </c>
      <c r="AW46" s="87" t="s">
        <v>2997</v>
      </c>
      <c r="AX46" s="87" t="s">
        <v>2997</v>
      </c>
      <c r="AY46" s="87" t="s">
        <v>2997</v>
      </c>
      <c r="AZ46" s="21" t="e">
        <f>CHOOSE(CharGenMain!$C$206,G46,J46,M46,P46,S46,V46,Y46,AB46,AE46,AH46,AK46,AN46,AQ46,AT46,AW46)</f>
        <v>#VALUE!</v>
      </c>
      <c r="BA46" s="21" t="e">
        <f>CHOOSE(CharGenMain!$C$206,H46,K46,N46,Q46,T46,W46,Z46,AC46,AF46,AI46,AL46,AO46,AR46,AU46,AX46)</f>
        <v>#VALUE!</v>
      </c>
      <c r="BB46" s="21" t="e">
        <f>CHOOSE(CharGenMain!$C$206,I46,L46,O46,R46,U46,X46,AA46,AD46,AG46,AJ46,AM46,AP46,AS46,AV46,AY46)</f>
        <v>#VALUE!</v>
      </c>
      <c r="BC46" s="21" t="e">
        <f>CHOOSE(CharGenMain!$C$207,G46,J46,M46,P46,S46,V46,Y46,AB46,AE46,AH46,AK46,AN46,AQ46,AT46,AW46)</f>
        <v>#VALUE!</v>
      </c>
      <c r="BD46" s="21" t="e">
        <f>CHOOSE(CharGenMain!$C$207,H46,K46,N46,Q46,T46,W46,Z46,AC46,AF46,AI46,AL46,AO46,AR46,AU46,AX46)</f>
        <v>#VALUE!</v>
      </c>
      <c r="BE46" s="28" t="e">
        <f>CHOOSE(CharGenMain!$C$207,I46,L46,O46,R46,U46,X46,AA46,AD46,AG46,AJ46,AM46,AP46,AS46,AV46,AY46)</f>
        <v>#VALUE!</v>
      </c>
    </row>
    <row r="47" spans="1:57">
      <c r="A47" s="226" t="s">
        <v>748</v>
      </c>
      <c r="B47" s="167" t="s">
        <v>1060</v>
      </c>
      <c r="C47" s="14" t="s">
        <v>2667</v>
      </c>
      <c r="D47" s="14">
        <v>2</v>
      </c>
      <c r="E47" s="14">
        <v>4</v>
      </c>
      <c r="F47" s="14">
        <v>13</v>
      </c>
      <c r="G47" s="87">
        <v>13</v>
      </c>
      <c r="H47" s="87">
        <v>0</v>
      </c>
      <c r="I47" s="206" t="s">
        <v>2238</v>
      </c>
      <c r="J47" s="87">
        <v>14</v>
      </c>
      <c r="K47" s="87">
        <v>0</v>
      </c>
      <c r="L47" s="206" t="s">
        <v>2359</v>
      </c>
      <c r="M47" s="87">
        <v>15</v>
      </c>
      <c r="N47" s="87">
        <v>0</v>
      </c>
      <c r="O47" s="206" t="s">
        <v>2359</v>
      </c>
      <c r="P47" s="87">
        <v>15</v>
      </c>
      <c r="Q47" s="87">
        <v>0</v>
      </c>
      <c r="R47" s="206" t="s">
        <v>2139</v>
      </c>
      <c r="S47" s="87" t="s">
        <v>2997</v>
      </c>
      <c r="T47" s="87" t="s">
        <v>2997</v>
      </c>
      <c r="U47" s="87" t="s">
        <v>2997</v>
      </c>
      <c r="V47" s="87" t="s">
        <v>2997</v>
      </c>
      <c r="W47" s="87" t="s">
        <v>2997</v>
      </c>
      <c r="X47" s="87" t="s">
        <v>2997</v>
      </c>
      <c r="Y47" s="87" t="s">
        <v>2997</v>
      </c>
      <c r="Z47" s="87" t="s">
        <v>2997</v>
      </c>
      <c r="AA47" s="87" t="s">
        <v>2997</v>
      </c>
      <c r="AB47" s="87" t="s">
        <v>2997</v>
      </c>
      <c r="AC47" s="87" t="s">
        <v>2997</v>
      </c>
      <c r="AD47" s="87" t="s">
        <v>2997</v>
      </c>
      <c r="AE47" s="87" t="s">
        <v>2997</v>
      </c>
      <c r="AF47" s="87" t="s">
        <v>2997</v>
      </c>
      <c r="AG47" s="87" t="s">
        <v>2997</v>
      </c>
      <c r="AH47" s="87" t="s">
        <v>2997</v>
      </c>
      <c r="AI47" s="87" t="s">
        <v>2997</v>
      </c>
      <c r="AJ47" s="87" t="s">
        <v>2997</v>
      </c>
      <c r="AK47" s="87" t="s">
        <v>2997</v>
      </c>
      <c r="AL47" s="87" t="s">
        <v>2997</v>
      </c>
      <c r="AM47" s="87" t="s">
        <v>2997</v>
      </c>
      <c r="AN47" s="87" t="s">
        <v>2997</v>
      </c>
      <c r="AO47" s="87" t="s">
        <v>2997</v>
      </c>
      <c r="AP47" s="87" t="s">
        <v>2997</v>
      </c>
      <c r="AQ47" s="87" t="s">
        <v>2997</v>
      </c>
      <c r="AR47" s="87" t="s">
        <v>2997</v>
      </c>
      <c r="AS47" s="87" t="s">
        <v>2997</v>
      </c>
      <c r="AT47" s="87" t="s">
        <v>2997</v>
      </c>
      <c r="AU47" s="87" t="s">
        <v>2997</v>
      </c>
      <c r="AV47" s="87" t="s">
        <v>2997</v>
      </c>
      <c r="AW47" s="87" t="s">
        <v>2997</v>
      </c>
      <c r="AX47" s="87" t="s">
        <v>2997</v>
      </c>
      <c r="AY47" s="87" t="s">
        <v>2997</v>
      </c>
      <c r="AZ47" s="21" t="e">
        <f>CHOOSE(CharGenMain!$C$206,G47,J47,M47,P47,S47,V47,Y47,AB47,AE47,AH47,AK47,AN47,AQ47,AT47,AW47)</f>
        <v>#VALUE!</v>
      </c>
      <c r="BA47" s="21" t="e">
        <f>CHOOSE(CharGenMain!$C$206,H47,K47,N47,Q47,T47,W47,Z47,AC47,AF47,AI47,AL47,AO47,AR47,AU47,AX47)</f>
        <v>#VALUE!</v>
      </c>
      <c r="BB47" s="21" t="e">
        <f>CHOOSE(CharGenMain!$C$206,I47,L47,O47,R47,U47,X47,AA47,AD47,AG47,AJ47,AM47,AP47,AS47,AV47,AY47)</f>
        <v>#VALUE!</v>
      </c>
      <c r="BC47" s="21" t="e">
        <f>CHOOSE(CharGenMain!$C$207,G47,J47,M47,P47,S47,V47,Y47,AB47,AE47,AH47,AK47,AN47,AQ47,AT47,AW47)</f>
        <v>#VALUE!</v>
      </c>
      <c r="BD47" s="21" t="e">
        <f>CHOOSE(CharGenMain!$C$207,H47,K47,N47,Q47,T47,W47,Z47,AC47,AF47,AI47,AL47,AO47,AR47,AU47,AX47)</f>
        <v>#VALUE!</v>
      </c>
      <c r="BE47" s="28" t="e">
        <f>CHOOSE(CharGenMain!$C$207,I47,L47,O47,R47,U47,X47,AA47,AD47,AG47,AJ47,AM47,AP47,AS47,AV47,AY47)</f>
        <v>#VALUE!</v>
      </c>
    </row>
    <row r="48" spans="1:57">
      <c r="A48" s="20" t="s">
        <v>4658</v>
      </c>
      <c r="B48" s="167" t="s">
        <v>749</v>
      </c>
      <c r="C48" s="14" t="s">
        <v>2279</v>
      </c>
      <c r="D48" s="14">
        <v>4</v>
      </c>
      <c r="E48" s="14">
        <v>6</v>
      </c>
      <c r="F48" s="14">
        <v>18</v>
      </c>
      <c r="G48" s="87">
        <v>11</v>
      </c>
      <c r="H48" s="87">
        <v>0</v>
      </c>
      <c r="I48" s="87" t="s">
        <v>1215</v>
      </c>
      <c r="J48" s="87">
        <v>12</v>
      </c>
      <c r="K48" s="87">
        <v>0</v>
      </c>
      <c r="L48" s="87" t="s">
        <v>1215</v>
      </c>
      <c r="M48" s="87">
        <v>12</v>
      </c>
      <c r="N48" s="87">
        <v>0</v>
      </c>
      <c r="O48" s="206" t="s">
        <v>624</v>
      </c>
      <c r="P48" s="87">
        <v>12</v>
      </c>
      <c r="Q48" s="87">
        <v>0</v>
      </c>
      <c r="R48" s="206" t="s">
        <v>625</v>
      </c>
      <c r="S48" s="87">
        <v>12</v>
      </c>
      <c r="T48" s="87">
        <v>0</v>
      </c>
      <c r="U48" s="206" t="s">
        <v>946</v>
      </c>
      <c r="V48" s="87">
        <v>12</v>
      </c>
      <c r="W48" s="87">
        <v>0</v>
      </c>
      <c r="X48" s="206" t="s">
        <v>844</v>
      </c>
      <c r="Y48" s="87" t="s">
        <v>2997</v>
      </c>
      <c r="Z48" s="87" t="s">
        <v>2997</v>
      </c>
      <c r="AA48" s="87" t="s">
        <v>2997</v>
      </c>
      <c r="AB48" s="87" t="s">
        <v>2997</v>
      </c>
      <c r="AC48" s="87" t="s">
        <v>2997</v>
      </c>
      <c r="AD48" s="87" t="s">
        <v>2997</v>
      </c>
      <c r="AE48" s="87" t="s">
        <v>2997</v>
      </c>
      <c r="AF48" s="87" t="s">
        <v>2997</v>
      </c>
      <c r="AG48" s="87" t="s">
        <v>2997</v>
      </c>
      <c r="AH48" s="87" t="s">
        <v>2997</v>
      </c>
      <c r="AI48" s="87" t="s">
        <v>2997</v>
      </c>
      <c r="AJ48" s="87" t="s">
        <v>2997</v>
      </c>
      <c r="AK48" s="87" t="s">
        <v>2997</v>
      </c>
      <c r="AL48" s="87" t="s">
        <v>2997</v>
      </c>
      <c r="AM48" s="87" t="s">
        <v>2997</v>
      </c>
      <c r="AN48" s="87" t="s">
        <v>2997</v>
      </c>
      <c r="AO48" s="87" t="s">
        <v>2997</v>
      </c>
      <c r="AP48" s="87" t="s">
        <v>2997</v>
      </c>
      <c r="AQ48" s="87" t="s">
        <v>2997</v>
      </c>
      <c r="AR48" s="87" t="s">
        <v>2997</v>
      </c>
      <c r="AS48" s="87" t="s">
        <v>2997</v>
      </c>
      <c r="AT48" s="87" t="s">
        <v>2997</v>
      </c>
      <c r="AU48" s="87" t="s">
        <v>2997</v>
      </c>
      <c r="AV48" s="87" t="s">
        <v>2997</v>
      </c>
      <c r="AW48" s="87" t="s">
        <v>2997</v>
      </c>
      <c r="AX48" s="87" t="s">
        <v>2997</v>
      </c>
      <c r="AY48" s="87" t="s">
        <v>2997</v>
      </c>
      <c r="AZ48" s="21" t="e">
        <f>CHOOSE(CharGenMain!$C$206,G48,J48,M48,P48,S48,V48,Y48,AB48,AE48,AH48,AK48,AN48,AQ48,AT48,AW48)</f>
        <v>#VALUE!</v>
      </c>
      <c r="BA48" s="21" t="e">
        <f>CHOOSE(CharGenMain!$C$206,H48,K48,N48,Q48,T48,W48,Z48,AC48,AF48,AI48,AL48,AO48,AR48,AU48,AX48)</f>
        <v>#VALUE!</v>
      </c>
      <c r="BB48" s="21" t="e">
        <f>CHOOSE(CharGenMain!$C$206,I48,L48,O48,R48,U48,X48,AA48,AD48,AG48,AJ48,AM48,AP48,AS48,AV48,AY48)</f>
        <v>#VALUE!</v>
      </c>
      <c r="BC48" s="21" t="e">
        <f>CHOOSE(CharGenMain!$C$207,G48,J48,M48,P48,S48,V48,Y48,AB48,AE48,AH48,AK48,AN48,AQ48,AT48,AW48)</f>
        <v>#VALUE!</v>
      </c>
      <c r="BD48" s="21" t="e">
        <f>CHOOSE(CharGenMain!$C$207,H48,K48,N48,Q48,T48,W48,Z48,AC48,AF48,AI48,AL48,AO48,AR48,AU48,AX48)</f>
        <v>#VALUE!</v>
      </c>
      <c r="BE48" s="28" t="e">
        <f>CHOOSE(CharGenMain!$C$207,I48,L48,O48,R48,U48,X48,AA48,AD48,AG48,AJ48,AM48,AP48,AS48,AV48,AY48)</f>
        <v>#VALUE!</v>
      </c>
    </row>
    <row r="49" spans="1:57">
      <c r="A49" s="20" t="s">
        <v>5810</v>
      </c>
      <c r="B49" s="167" t="s">
        <v>535</v>
      </c>
      <c r="C49" s="14" t="s">
        <v>2279</v>
      </c>
      <c r="D49" s="14">
        <v>4</v>
      </c>
      <c r="E49" s="14">
        <v>10</v>
      </c>
      <c r="F49" s="14">
        <v>18</v>
      </c>
      <c r="G49" s="87">
        <v>12</v>
      </c>
      <c r="H49" s="87">
        <v>0</v>
      </c>
      <c r="I49" s="87" t="s">
        <v>1215</v>
      </c>
      <c r="J49" s="87">
        <v>13</v>
      </c>
      <c r="K49" s="87">
        <v>0</v>
      </c>
      <c r="L49" s="87" t="s">
        <v>1215</v>
      </c>
      <c r="M49" s="87">
        <v>14</v>
      </c>
      <c r="N49" s="87">
        <v>0</v>
      </c>
      <c r="O49" s="87" t="s">
        <v>1215</v>
      </c>
      <c r="P49" s="87">
        <v>15</v>
      </c>
      <c r="Q49" s="87">
        <v>0</v>
      </c>
      <c r="R49" s="87" t="s">
        <v>1215</v>
      </c>
      <c r="S49" s="87">
        <v>15</v>
      </c>
      <c r="T49" s="87">
        <v>0</v>
      </c>
      <c r="U49" s="206" t="s">
        <v>625</v>
      </c>
      <c r="V49" s="87">
        <v>15</v>
      </c>
      <c r="W49" s="87">
        <v>0</v>
      </c>
      <c r="X49" s="206" t="s">
        <v>5811</v>
      </c>
      <c r="Y49" s="87">
        <v>15</v>
      </c>
      <c r="Z49" s="87">
        <v>0</v>
      </c>
      <c r="AA49" s="206" t="s">
        <v>5812</v>
      </c>
      <c r="AB49" s="87">
        <v>15</v>
      </c>
      <c r="AC49" s="87">
        <v>0</v>
      </c>
      <c r="AD49" s="206" t="s">
        <v>5813</v>
      </c>
      <c r="AE49" s="87">
        <v>15</v>
      </c>
      <c r="AF49" s="87">
        <v>0</v>
      </c>
      <c r="AG49" s="206" t="s">
        <v>5910</v>
      </c>
      <c r="AH49" s="87">
        <v>16</v>
      </c>
      <c r="AI49" s="87">
        <v>0</v>
      </c>
      <c r="AJ49" s="206" t="s">
        <v>5911</v>
      </c>
      <c r="AK49" s="87" t="s">
        <v>2997</v>
      </c>
      <c r="AL49" s="87" t="s">
        <v>2997</v>
      </c>
      <c r="AM49" s="87" t="s">
        <v>2997</v>
      </c>
      <c r="AN49" s="87" t="s">
        <v>2997</v>
      </c>
      <c r="AO49" s="87" t="s">
        <v>2997</v>
      </c>
      <c r="AP49" s="87" t="s">
        <v>2997</v>
      </c>
      <c r="AQ49" s="87" t="s">
        <v>2997</v>
      </c>
      <c r="AR49" s="87" t="s">
        <v>2997</v>
      </c>
      <c r="AS49" s="87" t="s">
        <v>2997</v>
      </c>
      <c r="AT49" s="87" t="s">
        <v>2997</v>
      </c>
      <c r="AU49" s="87" t="s">
        <v>2997</v>
      </c>
      <c r="AV49" s="87" t="s">
        <v>2997</v>
      </c>
      <c r="AW49" s="87" t="s">
        <v>2997</v>
      </c>
      <c r="AX49" s="87" t="s">
        <v>2997</v>
      </c>
      <c r="AY49" s="87" t="s">
        <v>2997</v>
      </c>
      <c r="AZ49" s="21" t="e">
        <f>CHOOSE(CharGenMain!$C$206,G49,J49,M49,P49,S49,V49,Y49,AB49,AE49,AH49,AK49,AN49,AQ49,AT49,AW49)</f>
        <v>#VALUE!</v>
      </c>
      <c r="BA49" s="21" t="e">
        <f>CHOOSE(CharGenMain!$C$206,H49,K49,N49,Q49,T49,W49,Z49,AC49,AF49,AI49,AL49,AO49,AR49,AU49,AX49)</f>
        <v>#VALUE!</v>
      </c>
      <c r="BB49" s="21" t="e">
        <f>CHOOSE(CharGenMain!$C$206,I49,L49,O49,R49,U49,X49,AA49,AD49,AG49,AJ49,AM49,AP49,AS49,AV49,AY49)</f>
        <v>#VALUE!</v>
      </c>
      <c r="BC49" s="21" t="e">
        <f>CHOOSE(CharGenMain!$C$207,G49,J49,M49,P49,S49,V49,Y49,AB49,AE49,AH49,AK49,AN49,AQ49,AT49,AW49)</f>
        <v>#VALUE!</v>
      </c>
      <c r="BD49" s="21" t="e">
        <f>CHOOSE(CharGenMain!$C$207,H49,K49,N49,Q49,T49,W49,Z49,AC49,AF49,AI49,AL49,AO49,AR49,AU49,AX49)</f>
        <v>#VALUE!</v>
      </c>
      <c r="BE49" s="28" t="e">
        <f>CHOOSE(CharGenMain!$C$207,I49,L49,O49,R49,U49,X49,AA49,AD49,AG49,AJ49,AM49,AP49,AS49,AV49,AY49)</f>
        <v>#VALUE!</v>
      </c>
    </row>
    <row r="50" spans="1:57">
      <c r="A50" s="226" t="s">
        <v>845</v>
      </c>
      <c r="B50" s="167" t="s">
        <v>1276</v>
      </c>
      <c r="C50" s="14" t="s">
        <v>2667</v>
      </c>
      <c r="D50" s="14">
        <v>2</v>
      </c>
      <c r="E50" s="14">
        <v>5</v>
      </c>
      <c r="F50" s="14">
        <v>13</v>
      </c>
      <c r="G50" s="87">
        <v>7</v>
      </c>
      <c r="H50" s="87">
        <v>0</v>
      </c>
      <c r="I50" s="87" t="s">
        <v>846</v>
      </c>
      <c r="J50" s="87">
        <v>8</v>
      </c>
      <c r="K50" s="87">
        <v>0</v>
      </c>
      <c r="L50" s="87" t="s">
        <v>847</v>
      </c>
      <c r="M50" s="87">
        <v>9</v>
      </c>
      <c r="N50" s="87">
        <v>0</v>
      </c>
      <c r="O50" s="87" t="s">
        <v>847</v>
      </c>
      <c r="P50" s="87">
        <v>10</v>
      </c>
      <c r="Q50" s="87">
        <v>0</v>
      </c>
      <c r="R50" s="87" t="s">
        <v>848</v>
      </c>
      <c r="S50" s="87">
        <v>11</v>
      </c>
      <c r="T50" s="87">
        <v>0</v>
      </c>
      <c r="U50" s="87" t="s">
        <v>848</v>
      </c>
      <c r="V50" s="87" t="s">
        <v>2997</v>
      </c>
      <c r="W50" s="87" t="s">
        <v>2997</v>
      </c>
      <c r="X50" s="87" t="s">
        <v>2997</v>
      </c>
      <c r="Y50" s="87" t="s">
        <v>2997</v>
      </c>
      <c r="Z50" s="87" t="s">
        <v>2997</v>
      </c>
      <c r="AA50" s="87" t="s">
        <v>2997</v>
      </c>
      <c r="AB50" s="87" t="s">
        <v>2997</v>
      </c>
      <c r="AC50" s="87" t="s">
        <v>2997</v>
      </c>
      <c r="AD50" s="87" t="s">
        <v>2997</v>
      </c>
      <c r="AE50" s="87" t="s">
        <v>2997</v>
      </c>
      <c r="AF50" s="87" t="s">
        <v>2997</v>
      </c>
      <c r="AG50" s="87" t="s">
        <v>2997</v>
      </c>
      <c r="AH50" s="87" t="s">
        <v>2997</v>
      </c>
      <c r="AI50" s="87" t="s">
        <v>2997</v>
      </c>
      <c r="AJ50" s="87" t="s">
        <v>2997</v>
      </c>
      <c r="AK50" s="87" t="s">
        <v>2997</v>
      </c>
      <c r="AL50" s="87" t="s">
        <v>2997</v>
      </c>
      <c r="AM50" s="87" t="s">
        <v>2997</v>
      </c>
      <c r="AN50" s="87" t="s">
        <v>2997</v>
      </c>
      <c r="AO50" s="87" t="s">
        <v>2997</v>
      </c>
      <c r="AP50" s="87" t="s">
        <v>2997</v>
      </c>
      <c r="AQ50" s="87" t="s">
        <v>2997</v>
      </c>
      <c r="AR50" s="87" t="s">
        <v>2997</v>
      </c>
      <c r="AS50" s="87" t="s">
        <v>2997</v>
      </c>
      <c r="AT50" s="87" t="s">
        <v>2997</v>
      </c>
      <c r="AU50" s="87" t="s">
        <v>2997</v>
      </c>
      <c r="AV50" s="87" t="s">
        <v>2997</v>
      </c>
      <c r="AW50" s="87" t="s">
        <v>2997</v>
      </c>
      <c r="AX50" s="87" t="s">
        <v>2997</v>
      </c>
      <c r="AY50" s="87" t="s">
        <v>2997</v>
      </c>
      <c r="AZ50" s="21" t="e">
        <f>CHOOSE(CharGenMain!$C$206,G50,J50,M50,P50,S50,V50,Y50,AB50,AE50,AH50,AK50,AN50,AQ50,AT50,AW50)</f>
        <v>#VALUE!</v>
      </c>
      <c r="BA50" s="21" t="e">
        <f>CHOOSE(CharGenMain!$C$206,H50,K50,N50,Q50,T50,W50,Z50,AC50,AF50,AI50,AL50,AO50,AR50,AU50,AX50)</f>
        <v>#VALUE!</v>
      </c>
      <c r="BB50" s="21" t="e">
        <f>CHOOSE(CharGenMain!$C$206,I50,L50,O50,R50,U50,X50,AA50,AD50,AG50,AJ50,AM50,AP50,AS50,AV50,AY50)</f>
        <v>#VALUE!</v>
      </c>
      <c r="BC50" s="21" t="e">
        <f>CHOOSE(CharGenMain!$C$207,G50,J50,M50,P50,S50,V50,Y50,AB50,AE50,AH50,AK50,AN50,AQ50,AT50,AW50)</f>
        <v>#VALUE!</v>
      </c>
      <c r="BD50" s="21" t="e">
        <f>CHOOSE(CharGenMain!$C$207,H50,K50,N50,Q50,T50,W50,Z50,AC50,AF50,AI50,AL50,AO50,AR50,AU50,AX50)</f>
        <v>#VALUE!</v>
      </c>
      <c r="BE50" s="28" t="e">
        <f>CHOOSE(CharGenMain!$C$207,I50,L50,O50,R50,U50,X50,AA50,AD50,AG50,AJ50,AM50,AP50,AS50,AV50,AY50)</f>
        <v>#VALUE!</v>
      </c>
    </row>
    <row r="51" spans="1:57">
      <c r="A51" s="226" t="s">
        <v>849</v>
      </c>
      <c r="B51" s="167" t="s">
        <v>212</v>
      </c>
      <c r="C51" s="14" t="s">
        <v>2667</v>
      </c>
      <c r="D51" s="14">
        <v>3</v>
      </c>
      <c r="E51" s="14">
        <v>5</v>
      </c>
      <c r="F51" s="14">
        <v>16</v>
      </c>
      <c r="G51" s="168">
        <v>8</v>
      </c>
      <c r="H51" s="168">
        <v>0</v>
      </c>
      <c r="I51" s="168" t="s">
        <v>1215</v>
      </c>
      <c r="J51" s="168">
        <v>8</v>
      </c>
      <c r="K51" s="168">
        <v>0</v>
      </c>
      <c r="L51" s="207" t="s">
        <v>850</v>
      </c>
      <c r="M51" s="168">
        <v>9</v>
      </c>
      <c r="N51" s="168">
        <v>0</v>
      </c>
      <c r="O51" s="207" t="s">
        <v>850</v>
      </c>
      <c r="P51" s="168">
        <v>10</v>
      </c>
      <c r="Q51" s="168">
        <v>0</v>
      </c>
      <c r="R51" s="207" t="s">
        <v>850</v>
      </c>
      <c r="S51" s="168">
        <v>10</v>
      </c>
      <c r="T51" s="168">
        <v>0</v>
      </c>
      <c r="U51" s="207" t="s">
        <v>851</v>
      </c>
      <c r="V51" s="87" t="s">
        <v>2997</v>
      </c>
      <c r="W51" s="87" t="s">
        <v>2997</v>
      </c>
      <c r="X51" s="87" t="s">
        <v>2997</v>
      </c>
      <c r="Y51" s="87" t="s">
        <v>2997</v>
      </c>
      <c r="Z51" s="87" t="s">
        <v>2997</v>
      </c>
      <c r="AA51" s="87" t="s">
        <v>2997</v>
      </c>
      <c r="AB51" s="87" t="s">
        <v>2997</v>
      </c>
      <c r="AC51" s="87" t="s">
        <v>2997</v>
      </c>
      <c r="AD51" s="87" t="s">
        <v>2997</v>
      </c>
      <c r="AE51" s="87" t="s">
        <v>2997</v>
      </c>
      <c r="AF51" s="87" t="s">
        <v>2997</v>
      </c>
      <c r="AG51" s="87" t="s">
        <v>2997</v>
      </c>
      <c r="AH51" s="87" t="s">
        <v>2997</v>
      </c>
      <c r="AI51" s="87" t="s">
        <v>2997</v>
      </c>
      <c r="AJ51" s="87" t="s">
        <v>2997</v>
      </c>
      <c r="AK51" s="87" t="s">
        <v>2997</v>
      </c>
      <c r="AL51" s="87" t="s">
        <v>2997</v>
      </c>
      <c r="AM51" s="87" t="s">
        <v>2997</v>
      </c>
      <c r="AN51" s="87" t="s">
        <v>2997</v>
      </c>
      <c r="AO51" s="87" t="s">
        <v>2997</v>
      </c>
      <c r="AP51" s="87" t="s">
        <v>2997</v>
      </c>
      <c r="AQ51" s="87" t="s">
        <v>2997</v>
      </c>
      <c r="AR51" s="87" t="s">
        <v>2997</v>
      </c>
      <c r="AS51" s="87" t="s">
        <v>2997</v>
      </c>
      <c r="AT51" s="87" t="s">
        <v>2997</v>
      </c>
      <c r="AU51" s="87" t="s">
        <v>2997</v>
      </c>
      <c r="AV51" s="87" t="s">
        <v>2997</v>
      </c>
      <c r="AW51" s="87" t="s">
        <v>2997</v>
      </c>
      <c r="AX51" s="87" t="s">
        <v>2997</v>
      </c>
      <c r="AY51" s="87" t="s">
        <v>2997</v>
      </c>
      <c r="AZ51" s="21" t="e">
        <f>CHOOSE(CharGenMain!$C$206,G51,J51,M51,P51,S51,V51,Y51,AB51,AE51,AH51,AK51,AN51,AQ51,AT51,AW51)</f>
        <v>#VALUE!</v>
      </c>
      <c r="BA51" s="21" t="e">
        <f>CHOOSE(CharGenMain!$C$206,H51,K51,N51,Q51,T51,W51,Z51,AC51,AF51,AI51,AL51,AO51,AR51,AU51,AX51)</f>
        <v>#VALUE!</v>
      </c>
      <c r="BB51" s="21" t="e">
        <f>CHOOSE(CharGenMain!$C$206,I51,L51,O51,R51,U51,X51,AA51,AD51,AG51,AJ51,AM51,AP51,AS51,AV51,AY51)</f>
        <v>#VALUE!</v>
      </c>
      <c r="BC51" s="21" t="e">
        <f>CHOOSE(CharGenMain!$C$207,G51,J51,M51,P51,S51,V51,Y51,AB51,AE51,AH51,AK51,AN51,AQ51,AT51,AW51)</f>
        <v>#VALUE!</v>
      </c>
      <c r="BD51" s="21" t="e">
        <f>CHOOSE(CharGenMain!$C$207,H51,K51,N51,Q51,T51,W51,Z51,AC51,AF51,AI51,AL51,AO51,AR51,AU51,AX51)</f>
        <v>#VALUE!</v>
      </c>
      <c r="BE51" s="28" t="e">
        <f>CHOOSE(CharGenMain!$C$207,I51,L51,O51,R51,U51,X51,AA51,AD51,AG51,AJ51,AM51,AP51,AS51,AV51,AY51)</f>
        <v>#VALUE!</v>
      </c>
    </row>
    <row r="52" spans="1:57">
      <c r="A52" s="226" t="s">
        <v>852</v>
      </c>
      <c r="B52" s="167" t="s">
        <v>939</v>
      </c>
      <c r="C52" s="14" t="s">
        <v>2667</v>
      </c>
      <c r="D52" s="14">
        <v>3</v>
      </c>
      <c r="E52" s="14">
        <v>4</v>
      </c>
      <c r="F52" s="14">
        <v>14</v>
      </c>
      <c r="G52" s="168">
        <v>7</v>
      </c>
      <c r="H52" s="168">
        <v>0</v>
      </c>
      <c r="I52" s="207" t="s">
        <v>853</v>
      </c>
      <c r="J52" s="168">
        <v>8</v>
      </c>
      <c r="K52" s="168">
        <v>0</v>
      </c>
      <c r="L52" s="207" t="s">
        <v>854</v>
      </c>
      <c r="M52" s="168">
        <v>9</v>
      </c>
      <c r="N52" s="168">
        <v>0</v>
      </c>
      <c r="O52" s="208" t="s">
        <v>855</v>
      </c>
      <c r="P52" s="168">
        <v>10</v>
      </c>
      <c r="Q52" s="168">
        <v>0</v>
      </c>
      <c r="R52" s="208" t="s">
        <v>856</v>
      </c>
      <c r="S52" s="87" t="s">
        <v>2997</v>
      </c>
      <c r="T52" s="87" t="s">
        <v>2997</v>
      </c>
      <c r="U52" s="87" t="s">
        <v>2997</v>
      </c>
      <c r="V52" s="87" t="s">
        <v>2997</v>
      </c>
      <c r="W52" s="87" t="s">
        <v>2997</v>
      </c>
      <c r="X52" s="87" t="s">
        <v>2997</v>
      </c>
      <c r="Y52" s="87" t="s">
        <v>2997</v>
      </c>
      <c r="Z52" s="87" t="s">
        <v>2997</v>
      </c>
      <c r="AA52" s="87" t="s">
        <v>2997</v>
      </c>
      <c r="AB52" s="87" t="s">
        <v>2997</v>
      </c>
      <c r="AC52" s="87" t="s">
        <v>2997</v>
      </c>
      <c r="AD52" s="87" t="s">
        <v>2997</v>
      </c>
      <c r="AE52" s="87" t="s">
        <v>2997</v>
      </c>
      <c r="AF52" s="87" t="s">
        <v>2997</v>
      </c>
      <c r="AG52" s="87" t="s">
        <v>2997</v>
      </c>
      <c r="AH52" s="87" t="s">
        <v>2997</v>
      </c>
      <c r="AI52" s="87" t="s">
        <v>2997</v>
      </c>
      <c r="AJ52" s="87" t="s">
        <v>2997</v>
      </c>
      <c r="AK52" s="87" t="s">
        <v>2997</v>
      </c>
      <c r="AL52" s="87" t="s">
        <v>2997</v>
      </c>
      <c r="AM52" s="87" t="s">
        <v>2997</v>
      </c>
      <c r="AN52" s="87" t="s">
        <v>2997</v>
      </c>
      <c r="AO52" s="87" t="s">
        <v>2997</v>
      </c>
      <c r="AP52" s="87" t="s">
        <v>2997</v>
      </c>
      <c r="AQ52" s="87" t="s">
        <v>2997</v>
      </c>
      <c r="AR52" s="87" t="s">
        <v>2997</v>
      </c>
      <c r="AS52" s="87" t="s">
        <v>2997</v>
      </c>
      <c r="AT52" s="87" t="s">
        <v>2997</v>
      </c>
      <c r="AU52" s="87" t="s">
        <v>2997</v>
      </c>
      <c r="AV52" s="87" t="s">
        <v>2997</v>
      </c>
      <c r="AW52" s="87" t="s">
        <v>2997</v>
      </c>
      <c r="AX52" s="87" t="s">
        <v>2997</v>
      </c>
      <c r="AY52" s="87" t="s">
        <v>2997</v>
      </c>
      <c r="AZ52" s="21" t="e">
        <f>CHOOSE(CharGenMain!$C$206,G52,J52,M52,P52,S52,V52,Y52,AB52,AE52,AH52,AK52,AN52,AQ52,AT52,AW52)</f>
        <v>#VALUE!</v>
      </c>
      <c r="BA52" s="21" t="e">
        <f>CHOOSE(CharGenMain!$C$206,H52,K52,N52,Q52,T52,W52,Z52,AC52,AF52,AI52,AL52,AO52,AR52,AU52,AX52)</f>
        <v>#VALUE!</v>
      </c>
      <c r="BB52" s="21" t="e">
        <f>CHOOSE(CharGenMain!$C$206,I52,L52,O52,R52,U52,X52,AA52,AD52,AG52,AJ52,AM52,AP52,AS52,AV52,AY52)</f>
        <v>#VALUE!</v>
      </c>
      <c r="BC52" s="21" t="e">
        <f>CHOOSE(CharGenMain!$C$207,G52,J52,M52,P52,S52,V52,Y52,AB52,AE52,AH52,AK52,AN52,AQ52,AT52,AW52)</f>
        <v>#VALUE!</v>
      </c>
      <c r="BD52" s="21" t="e">
        <f>CHOOSE(CharGenMain!$C$207,H52,K52,N52,Q52,T52,W52,Z52,AC52,AF52,AI52,AL52,AO52,AR52,AU52,AX52)</f>
        <v>#VALUE!</v>
      </c>
      <c r="BE52" s="28" t="e">
        <f>CHOOSE(CharGenMain!$C$207,I52,L52,O52,R52,U52,X52,AA52,AD52,AG52,AJ52,AM52,AP52,AS52,AV52,AY52)</f>
        <v>#VALUE!</v>
      </c>
    </row>
    <row r="53" spans="1:57">
      <c r="A53" s="205" t="s">
        <v>857</v>
      </c>
      <c r="B53" s="5" t="s">
        <v>213</v>
      </c>
      <c r="C53" s="14" t="s">
        <v>2279</v>
      </c>
      <c r="D53" s="14">
        <v>2</v>
      </c>
      <c r="E53" s="14">
        <v>4</v>
      </c>
      <c r="F53" s="14">
        <v>11</v>
      </c>
      <c r="G53" s="168">
        <v>16</v>
      </c>
      <c r="H53" s="168">
        <v>0</v>
      </c>
      <c r="I53" s="168" t="s">
        <v>1215</v>
      </c>
      <c r="J53" s="168">
        <v>16</v>
      </c>
      <c r="K53" s="168">
        <v>0</v>
      </c>
      <c r="L53" s="207" t="s">
        <v>2238</v>
      </c>
      <c r="M53" s="168">
        <v>17</v>
      </c>
      <c r="N53" s="168">
        <v>0</v>
      </c>
      <c r="O53" s="207" t="s">
        <v>2238</v>
      </c>
      <c r="P53" s="168">
        <v>17</v>
      </c>
      <c r="Q53" s="168">
        <v>0</v>
      </c>
      <c r="R53" s="207" t="s">
        <v>2239</v>
      </c>
      <c r="S53" s="87" t="s">
        <v>2997</v>
      </c>
      <c r="T53" s="87" t="s">
        <v>2997</v>
      </c>
      <c r="U53" s="87" t="s">
        <v>2997</v>
      </c>
      <c r="V53" s="87" t="s">
        <v>2997</v>
      </c>
      <c r="W53" s="87" t="s">
        <v>2997</v>
      </c>
      <c r="X53" s="87" t="s">
        <v>2997</v>
      </c>
      <c r="Y53" s="87" t="s">
        <v>2997</v>
      </c>
      <c r="Z53" s="87" t="s">
        <v>2997</v>
      </c>
      <c r="AA53" s="87" t="s">
        <v>2997</v>
      </c>
      <c r="AB53" s="87" t="s">
        <v>2997</v>
      </c>
      <c r="AC53" s="87" t="s">
        <v>2997</v>
      </c>
      <c r="AD53" s="87" t="s">
        <v>2997</v>
      </c>
      <c r="AE53" s="87" t="s">
        <v>2997</v>
      </c>
      <c r="AF53" s="87" t="s">
        <v>2997</v>
      </c>
      <c r="AG53" s="87" t="s">
        <v>2997</v>
      </c>
      <c r="AH53" s="87" t="s">
        <v>2997</v>
      </c>
      <c r="AI53" s="87" t="s">
        <v>2997</v>
      </c>
      <c r="AJ53" s="87" t="s">
        <v>2997</v>
      </c>
      <c r="AK53" s="87" t="s">
        <v>2997</v>
      </c>
      <c r="AL53" s="87" t="s">
        <v>2997</v>
      </c>
      <c r="AM53" s="87" t="s">
        <v>2997</v>
      </c>
      <c r="AN53" s="87" t="s">
        <v>2997</v>
      </c>
      <c r="AO53" s="87" t="s">
        <v>2997</v>
      </c>
      <c r="AP53" s="87" t="s">
        <v>2997</v>
      </c>
      <c r="AQ53" s="87" t="s">
        <v>2997</v>
      </c>
      <c r="AR53" s="87" t="s">
        <v>2997</v>
      </c>
      <c r="AS53" s="87" t="s">
        <v>2997</v>
      </c>
      <c r="AT53" s="87" t="s">
        <v>2997</v>
      </c>
      <c r="AU53" s="87" t="s">
        <v>2997</v>
      </c>
      <c r="AV53" s="87" t="s">
        <v>2997</v>
      </c>
      <c r="AW53" s="87" t="s">
        <v>2997</v>
      </c>
      <c r="AX53" s="87" t="s">
        <v>2997</v>
      </c>
      <c r="AY53" s="87" t="s">
        <v>2997</v>
      </c>
      <c r="AZ53" s="21" t="e">
        <f>CHOOSE(CharGenMain!$C$206,G53,J53,M53,P53,S53,V53,Y53,AB53,AE53,AH53,AK53,AN53,AQ53,AT53,AW53)</f>
        <v>#VALUE!</v>
      </c>
      <c r="BA53" s="21" t="e">
        <f>CHOOSE(CharGenMain!$C$206,H53,K53,N53,Q53,T53,W53,Z53,AC53,AF53,AI53,AL53,AO53,AR53,AU53,AX53)</f>
        <v>#VALUE!</v>
      </c>
      <c r="BB53" s="21" t="e">
        <f>CHOOSE(CharGenMain!$C$206,I53,L53,O53,R53,U53,X53,AA53,AD53,AG53,AJ53,AM53,AP53,AS53,AV53,AY53)</f>
        <v>#VALUE!</v>
      </c>
      <c r="BC53" s="21" t="e">
        <f>CHOOSE(CharGenMain!$C$207,G53,J53,M53,P53,S53,V53,Y53,AB53,AE53,AH53,AK53,AN53,AQ53,AT53,AW53)</f>
        <v>#VALUE!</v>
      </c>
      <c r="BD53" s="21" t="e">
        <f>CHOOSE(CharGenMain!$C$207,H53,K53,N53,Q53,T53,W53,Z53,AC53,AF53,AI53,AL53,AO53,AR53,AU53,AX53)</f>
        <v>#VALUE!</v>
      </c>
      <c r="BE53" s="28" t="e">
        <f>CHOOSE(CharGenMain!$C$207,I53,L53,O53,R53,U53,X53,AA53,AD53,AG53,AJ53,AM53,AP53,AS53,AV53,AY53)</f>
        <v>#VALUE!</v>
      </c>
    </row>
    <row r="54" spans="1:57">
      <c r="A54" s="205" t="s">
        <v>759</v>
      </c>
      <c r="B54" s="167" t="s">
        <v>760</v>
      </c>
      <c r="C54" s="14" t="s">
        <v>2279</v>
      </c>
      <c r="D54" s="14">
        <v>4</v>
      </c>
      <c r="E54" s="14">
        <v>6</v>
      </c>
      <c r="F54" s="14">
        <v>18</v>
      </c>
      <c r="G54" s="168">
        <v>9</v>
      </c>
      <c r="H54" s="168">
        <v>0</v>
      </c>
      <c r="I54" s="168" t="s">
        <v>761</v>
      </c>
      <c r="J54" s="168">
        <v>10</v>
      </c>
      <c r="K54" s="168">
        <v>0</v>
      </c>
      <c r="L54" s="168" t="s">
        <v>762</v>
      </c>
      <c r="M54" s="168">
        <v>11</v>
      </c>
      <c r="N54" s="168">
        <v>0</v>
      </c>
      <c r="O54" s="168" t="s">
        <v>764</v>
      </c>
      <c r="P54" s="168">
        <v>12</v>
      </c>
      <c r="Q54" s="168">
        <v>0</v>
      </c>
      <c r="R54" s="168" t="s">
        <v>764</v>
      </c>
      <c r="S54" s="168">
        <v>12</v>
      </c>
      <c r="T54" s="168">
        <v>0</v>
      </c>
      <c r="U54" s="168" t="s">
        <v>764</v>
      </c>
      <c r="V54" s="168">
        <v>12</v>
      </c>
      <c r="W54" s="168">
        <v>0</v>
      </c>
      <c r="X54" s="168" t="s">
        <v>764</v>
      </c>
      <c r="Y54" s="87" t="s">
        <v>2997</v>
      </c>
      <c r="Z54" s="87" t="s">
        <v>2997</v>
      </c>
      <c r="AA54" s="87" t="s">
        <v>2997</v>
      </c>
      <c r="AB54" s="87" t="s">
        <v>2997</v>
      </c>
      <c r="AC54" s="87" t="s">
        <v>2997</v>
      </c>
      <c r="AD54" s="87" t="s">
        <v>2997</v>
      </c>
      <c r="AE54" s="87" t="s">
        <v>2997</v>
      </c>
      <c r="AF54" s="87" t="s">
        <v>2997</v>
      </c>
      <c r="AG54" s="87" t="s">
        <v>2997</v>
      </c>
      <c r="AH54" s="87" t="s">
        <v>2997</v>
      </c>
      <c r="AI54" s="87" t="s">
        <v>2997</v>
      </c>
      <c r="AJ54" s="87" t="s">
        <v>2997</v>
      </c>
      <c r="AK54" s="87" t="s">
        <v>2997</v>
      </c>
      <c r="AL54" s="87" t="s">
        <v>2997</v>
      </c>
      <c r="AM54" s="87" t="s">
        <v>2997</v>
      </c>
      <c r="AN54" s="87" t="s">
        <v>2997</v>
      </c>
      <c r="AO54" s="87" t="s">
        <v>2997</v>
      </c>
      <c r="AP54" s="87" t="s">
        <v>2997</v>
      </c>
      <c r="AQ54" s="87" t="s">
        <v>2997</v>
      </c>
      <c r="AR54" s="87" t="s">
        <v>2997</v>
      </c>
      <c r="AS54" s="87" t="s">
        <v>2997</v>
      </c>
      <c r="AT54" s="87" t="s">
        <v>2997</v>
      </c>
      <c r="AU54" s="87" t="s">
        <v>2997</v>
      </c>
      <c r="AV54" s="87" t="s">
        <v>2997</v>
      </c>
      <c r="AW54" s="87" t="s">
        <v>2997</v>
      </c>
      <c r="AX54" s="87" t="s">
        <v>2997</v>
      </c>
      <c r="AY54" s="87" t="s">
        <v>2997</v>
      </c>
      <c r="AZ54" s="21" t="e">
        <f>CHOOSE(CharGenMain!$C$206,G54,J54,M54,P54,S54,V54,Y54,AB54,AE54,AH54,AK54,AN54,AQ54,AT54,AW54)</f>
        <v>#VALUE!</v>
      </c>
      <c r="BA54" s="21" t="e">
        <f>CHOOSE(CharGenMain!$C$206,H54,K54,N54,Q54,T54,W54,Z54,AC54,AF54,AI54,AL54,AO54,AR54,AU54,AX54)</f>
        <v>#VALUE!</v>
      </c>
      <c r="BB54" s="21" t="e">
        <f>CHOOSE(CharGenMain!$C$206,I54,L54,O54,R54,U54,X54,AA54,AD54,AG54,AJ54,AM54,AP54,AS54,AV54,AY54)</f>
        <v>#VALUE!</v>
      </c>
      <c r="BC54" s="21" t="e">
        <f>CHOOSE(CharGenMain!$C$207,G54,J54,M54,P54,S54,V54,Y54,AB54,AE54,AH54,AK54,AN54,AQ54,AT54,AW54)</f>
        <v>#VALUE!</v>
      </c>
      <c r="BD54" s="21" t="e">
        <f>CHOOSE(CharGenMain!$C$207,H54,K54,N54,Q54,T54,W54,Z54,AC54,AF54,AI54,AL54,AO54,AR54,AU54,AX54)</f>
        <v>#VALUE!</v>
      </c>
      <c r="BE54" s="28" t="e">
        <f>CHOOSE(CharGenMain!$C$207,I54,L54,O54,R54,U54,X54,AA54,AD54,AG54,AJ54,AM54,AP54,AS54,AV54,AY54)</f>
        <v>#VALUE!</v>
      </c>
    </row>
    <row r="55" spans="1:57">
      <c r="A55" s="20" t="s">
        <v>765</v>
      </c>
      <c r="B55" s="167" t="s">
        <v>766</v>
      </c>
      <c r="C55" s="14" t="s">
        <v>2279</v>
      </c>
      <c r="D55" s="14">
        <v>2</v>
      </c>
      <c r="E55" s="14">
        <v>5</v>
      </c>
      <c r="F55" s="14">
        <v>11</v>
      </c>
      <c r="G55" s="87">
        <v>13</v>
      </c>
      <c r="H55" s="87">
        <v>0</v>
      </c>
      <c r="I55" s="87" t="s">
        <v>1215</v>
      </c>
      <c r="J55" s="87">
        <v>13</v>
      </c>
      <c r="K55" s="87">
        <v>0</v>
      </c>
      <c r="L55" s="206" t="s">
        <v>767</v>
      </c>
      <c r="M55" s="87">
        <v>13</v>
      </c>
      <c r="N55" s="87">
        <v>0</v>
      </c>
      <c r="O55" s="206" t="s">
        <v>768</v>
      </c>
      <c r="P55" s="87">
        <v>15</v>
      </c>
      <c r="Q55" s="87">
        <v>0</v>
      </c>
      <c r="R55" s="206" t="s">
        <v>769</v>
      </c>
      <c r="S55" s="87">
        <v>15</v>
      </c>
      <c r="T55" s="87">
        <v>0</v>
      </c>
      <c r="U55" s="206" t="s">
        <v>769</v>
      </c>
      <c r="V55" s="87" t="s">
        <v>2997</v>
      </c>
      <c r="W55" s="87" t="s">
        <v>2997</v>
      </c>
      <c r="X55" s="87" t="s">
        <v>2997</v>
      </c>
      <c r="Y55" s="87" t="s">
        <v>2997</v>
      </c>
      <c r="Z55" s="87" t="s">
        <v>2997</v>
      </c>
      <c r="AA55" s="87" t="s">
        <v>2997</v>
      </c>
      <c r="AB55" s="87" t="s">
        <v>2997</v>
      </c>
      <c r="AC55" s="87" t="s">
        <v>2997</v>
      </c>
      <c r="AD55" s="87" t="s">
        <v>2997</v>
      </c>
      <c r="AE55" s="87" t="s">
        <v>2997</v>
      </c>
      <c r="AF55" s="87" t="s">
        <v>2997</v>
      </c>
      <c r="AG55" s="87" t="s">
        <v>2997</v>
      </c>
      <c r="AH55" s="87" t="s">
        <v>2997</v>
      </c>
      <c r="AI55" s="87" t="s">
        <v>2997</v>
      </c>
      <c r="AJ55" s="87" t="s">
        <v>2997</v>
      </c>
      <c r="AK55" s="87" t="s">
        <v>2997</v>
      </c>
      <c r="AL55" s="87" t="s">
        <v>2997</v>
      </c>
      <c r="AM55" s="87" t="s">
        <v>2997</v>
      </c>
      <c r="AN55" s="87" t="s">
        <v>2997</v>
      </c>
      <c r="AO55" s="87" t="s">
        <v>2997</v>
      </c>
      <c r="AP55" s="87" t="s">
        <v>2997</v>
      </c>
      <c r="AQ55" s="87" t="s">
        <v>2997</v>
      </c>
      <c r="AR55" s="87" t="s">
        <v>2997</v>
      </c>
      <c r="AS55" s="87" t="s">
        <v>2997</v>
      </c>
      <c r="AT55" s="87" t="s">
        <v>2997</v>
      </c>
      <c r="AU55" s="87" t="s">
        <v>2997</v>
      </c>
      <c r="AV55" s="87" t="s">
        <v>2997</v>
      </c>
      <c r="AW55" s="87" t="s">
        <v>2997</v>
      </c>
      <c r="AX55" s="87" t="s">
        <v>2997</v>
      </c>
      <c r="AY55" s="87" t="s">
        <v>2997</v>
      </c>
      <c r="AZ55" s="21" t="e">
        <f>CHOOSE(CharGenMain!$C$206,G55,J55,M55,P55,S55,V55,Y55,AB55,AE55,AH55,AK55,AN55,AQ55,AT55,AW55)</f>
        <v>#VALUE!</v>
      </c>
      <c r="BA55" s="21" t="e">
        <f>CHOOSE(CharGenMain!$C$206,H55,K55,N55,Q55,T55,W55,Z55,AC55,AF55,AI55,AL55,AO55,AR55,AU55,AX55)</f>
        <v>#VALUE!</v>
      </c>
      <c r="BB55" s="21" t="e">
        <f>CHOOSE(CharGenMain!$C$206,I55,L55,O55,R55,U55,X55,AA55,AD55,AG55,AJ55,AM55,AP55,AS55,AV55,AY55)</f>
        <v>#VALUE!</v>
      </c>
      <c r="BC55" s="21" t="e">
        <f>CHOOSE(CharGenMain!$C$207,G55,J55,M55,P55,S55,V55,Y55,AB55,AE55,AH55,AK55,AN55,AQ55,AT55,AW55)</f>
        <v>#VALUE!</v>
      </c>
      <c r="BD55" s="21" t="e">
        <f>CHOOSE(CharGenMain!$C$207,H55,K55,N55,Q55,T55,W55,Z55,AC55,AF55,AI55,AL55,AO55,AR55,AU55,AX55)</f>
        <v>#VALUE!</v>
      </c>
      <c r="BE55" s="28" t="e">
        <f>CHOOSE(CharGenMain!$C$207,I55,L55,O55,R55,U55,X55,AA55,AD55,AG55,AJ55,AM55,AP55,AS55,AV55,AY55)</f>
        <v>#VALUE!</v>
      </c>
    </row>
    <row r="56" spans="1:57">
      <c r="A56" s="20" t="s">
        <v>214</v>
      </c>
      <c r="B56" s="167" t="s">
        <v>215</v>
      </c>
      <c r="C56" s="14" t="s">
        <v>2279</v>
      </c>
      <c r="D56" s="14">
        <v>4</v>
      </c>
      <c r="E56" s="14">
        <v>4</v>
      </c>
      <c r="F56" s="14">
        <v>25</v>
      </c>
      <c r="G56" s="168">
        <v>11</v>
      </c>
      <c r="H56" s="87">
        <v>0</v>
      </c>
      <c r="I56" s="207" t="s">
        <v>869</v>
      </c>
      <c r="J56" s="168">
        <v>12</v>
      </c>
      <c r="K56" s="168">
        <v>0</v>
      </c>
      <c r="L56" s="207" t="s">
        <v>1529</v>
      </c>
      <c r="M56" s="168">
        <v>13</v>
      </c>
      <c r="N56" s="168">
        <v>0</v>
      </c>
      <c r="O56" s="207" t="s">
        <v>870</v>
      </c>
      <c r="P56" s="168">
        <v>14</v>
      </c>
      <c r="Q56" s="168">
        <v>0</v>
      </c>
      <c r="R56" s="207" t="s">
        <v>871</v>
      </c>
      <c r="S56" s="87" t="s">
        <v>2997</v>
      </c>
      <c r="T56" s="87" t="s">
        <v>2997</v>
      </c>
      <c r="U56" s="87" t="s">
        <v>2997</v>
      </c>
      <c r="V56" s="87" t="s">
        <v>2997</v>
      </c>
      <c r="W56" s="87" t="s">
        <v>2997</v>
      </c>
      <c r="X56" s="87" t="s">
        <v>2997</v>
      </c>
      <c r="Y56" s="87" t="s">
        <v>2997</v>
      </c>
      <c r="Z56" s="87" t="s">
        <v>2997</v>
      </c>
      <c r="AA56" s="87" t="s">
        <v>2997</v>
      </c>
      <c r="AB56" s="87" t="s">
        <v>2997</v>
      </c>
      <c r="AC56" s="87" t="s">
        <v>2997</v>
      </c>
      <c r="AD56" s="87" t="s">
        <v>2997</v>
      </c>
      <c r="AE56" s="87" t="s">
        <v>2997</v>
      </c>
      <c r="AF56" s="87" t="s">
        <v>2997</v>
      </c>
      <c r="AG56" s="87" t="s">
        <v>2997</v>
      </c>
      <c r="AH56" s="87" t="s">
        <v>2997</v>
      </c>
      <c r="AI56" s="87" t="s">
        <v>2997</v>
      </c>
      <c r="AJ56" s="87" t="s">
        <v>2997</v>
      </c>
      <c r="AK56" s="87" t="s">
        <v>2997</v>
      </c>
      <c r="AL56" s="87" t="s">
        <v>2997</v>
      </c>
      <c r="AM56" s="87" t="s">
        <v>2997</v>
      </c>
      <c r="AN56" s="87" t="s">
        <v>2997</v>
      </c>
      <c r="AO56" s="87" t="s">
        <v>2997</v>
      </c>
      <c r="AP56" s="87" t="s">
        <v>2997</v>
      </c>
      <c r="AQ56" s="87" t="s">
        <v>2997</v>
      </c>
      <c r="AR56" s="87" t="s">
        <v>2997</v>
      </c>
      <c r="AS56" s="87" t="s">
        <v>2997</v>
      </c>
      <c r="AT56" s="87" t="s">
        <v>2997</v>
      </c>
      <c r="AU56" s="87" t="s">
        <v>2997</v>
      </c>
      <c r="AV56" s="87" t="s">
        <v>2997</v>
      </c>
      <c r="AW56" s="87" t="s">
        <v>2997</v>
      </c>
      <c r="AX56" s="87" t="s">
        <v>2997</v>
      </c>
      <c r="AY56" s="87" t="s">
        <v>2997</v>
      </c>
      <c r="AZ56" s="21" t="e">
        <f>CHOOSE(CharGenMain!$C$206,G56,J56,M56,P56,S56,V56,Y56,AB56,AE56,AH56,AK56,AN56,AQ56,AT56,AW56)</f>
        <v>#VALUE!</v>
      </c>
      <c r="BA56" s="21" t="e">
        <f>CHOOSE(CharGenMain!$C$206,H56,K56,N56,Q56,T56,W56,Z56,AC56,AF56,AI56,AL56,AO56,AR56,AU56,AX56)</f>
        <v>#VALUE!</v>
      </c>
      <c r="BB56" s="21" t="e">
        <f>CHOOSE(CharGenMain!$C$206,I56,L56,O56,R56,U56,X56,AA56,AD56,AG56,AJ56,AM56,AP56,AS56,AV56,AY56)</f>
        <v>#VALUE!</v>
      </c>
      <c r="BC56" s="21" t="e">
        <f>CHOOSE(CharGenMain!$C$207,G56,J56,M56,P56,S56,V56,Y56,AB56,AE56,AH56,AK56,AN56,AQ56,AT56,AW56)</f>
        <v>#VALUE!</v>
      </c>
      <c r="BD56" s="21" t="e">
        <f>CHOOSE(CharGenMain!$C$207,H56,K56,N56,Q56,T56,W56,Z56,AC56,AF56,AI56,AL56,AO56,AR56,AU56,AX56)</f>
        <v>#VALUE!</v>
      </c>
      <c r="BE56" s="28" t="e">
        <f>CHOOSE(CharGenMain!$C$207,I56,L56,O56,R56,U56,X56,AA56,AD56,AG56,AJ56,AM56,AP56,AS56,AV56,AY56)</f>
        <v>#VALUE!</v>
      </c>
    </row>
    <row r="57" spans="1:57">
      <c r="A57" s="20" t="s">
        <v>965</v>
      </c>
      <c r="B57" s="167" t="s">
        <v>962</v>
      </c>
      <c r="C57" s="14" t="s">
        <v>2279</v>
      </c>
      <c r="D57" s="14">
        <v>3</v>
      </c>
      <c r="E57" s="14">
        <v>6</v>
      </c>
      <c r="F57" s="14">
        <v>15</v>
      </c>
      <c r="G57" s="168">
        <v>13</v>
      </c>
      <c r="H57" s="168">
        <v>0</v>
      </c>
      <c r="I57" s="168" t="s">
        <v>1215</v>
      </c>
      <c r="J57" s="168">
        <v>14</v>
      </c>
      <c r="K57" s="168">
        <v>0</v>
      </c>
      <c r="L57" s="168" t="s">
        <v>1215</v>
      </c>
      <c r="M57" s="168">
        <v>14</v>
      </c>
      <c r="N57" s="168">
        <v>0</v>
      </c>
      <c r="O57" s="168" t="s">
        <v>963</v>
      </c>
      <c r="P57" s="168">
        <v>15</v>
      </c>
      <c r="Q57" s="168">
        <v>0</v>
      </c>
      <c r="R57" s="207" t="s">
        <v>1091</v>
      </c>
      <c r="S57" s="168">
        <v>15</v>
      </c>
      <c r="T57" s="168">
        <v>0</v>
      </c>
      <c r="U57" s="207" t="s">
        <v>968</v>
      </c>
      <c r="V57" s="168">
        <v>15</v>
      </c>
      <c r="W57" s="168">
        <v>0</v>
      </c>
      <c r="X57" s="207" t="s">
        <v>968</v>
      </c>
      <c r="Y57" s="87" t="s">
        <v>2997</v>
      </c>
      <c r="Z57" s="87" t="s">
        <v>2997</v>
      </c>
      <c r="AA57" s="87" t="s">
        <v>2997</v>
      </c>
      <c r="AB57" s="87" t="s">
        <v>2997</v>
      </c>
      <c r="AC57" s="87" t="s">
        <v>2997</v>
      </c>
      <c r="AD57" s="87" t="s">
        <v>2997</v>
      </c>
      <c r="AE57" s="87" t="s">
        <v>2997</v>
      </c>
      <c r="AF57" s="87" t="s">
        <v>2997</v>
      </c>
      <c r="AG57" s="87" t="s">
        <v>2997</v>
      </c>
      <c r="AH57" s="87" t="s">
        <v>2997</v>
      </c>
      <c r="AI57" s="87" t="s">
        <v>2997</v>
      </c>
      <c r="AJ57" s="87" t="s">
        <v>2997</v>
      </c>
      <c r="AK57" s="87" t="s">
        <v>2997</v>
      </c>
      <c r="AL57" s="87" t="s">
        <v>2997</v>
      </c>
      <c r="AM57" s="87" t="s">
        <v>2997</v>
      </c>
      <c r="AN57" s="87" t="s">
        <v>2997</v>
      </c>
      <c r="AO57" s="87" t="s">
        <v>2997</v>
      </c>
      <c r="AP57" s="87" t="s">
        <v>2997</v>
      </c>
      <c r="AQ57" s="87" t="s">
        <v>2997</v>
      </c>
      <c r="AR57" s="87" t="s">
        <v>2997</v>
      </c>
      <c r="AS57" s="87" t="s">
        <v>2997</v>
      </c>
      <c r="AT57" s="87" t="s">
        <v>2997</v>
      </c>
      <c r="AU57" s="87" t="s">
        <v>2997</v>
      </c>
      <c r="AV57" s="87" t="s">
        <v>2997</v>
      </c>
      <c r="AW57" s="87" t="s">
        <v>2997</v>
      </c>
      <c r="AX57" s="87" t="s">
        <v>2997</v>
      </c>
      <c r="AY57" s="87" t="s">
        <v>2997</v>
      </c>
      <c r="AZ57" s="21" t="e">
        <f>CHOOSE(CharGenMain!$C$206,G57,J57,M57,P57,S57,V57,Y57,AB57,AE57,AH57,AK57,AN57,AQ57,AT57,AW57)</f>
        <v>#VALUE!</v>
      </c>
      <c r="BA57" s="21" t="e">
        <f>CHOOSE(CharGenMain!$C$206,H57,K57,N57,Q57,T57,W57,Z57,AC57,AF57,AI57,AL57,AO57,AR57,AU57,AX57)</f>
        <v>#VALUE!</v>
      </c>
      <c r="BB57" s="21" t="e">
        <f>CHOOSE(CharGenMain!$C$206,I57,L57,O57,R57,U57,X57,AA57,AD57,AG57,AJ57,AM57,AP57,AS57,AV57,AY57)</f>
        <v>#VALUE!</v>
      </c>
      <c r="BC57" s="21" t="e">
        <f>CHOOSE(CharGenMain!$C$207,G57,J57,M57,P57,S57,V57,Y57,AB57,AE57,AH57,AK57,AN57,AQ57,AT57,AW57)</f>
        <v>#VALUE!</v>
      </c>
      <c r="BD57" s="21" t="e">
        <f>CHOOSE(CharGenMain!$C$207,H57,K57,N57,Q57,T57,W57,Z57,AC57,AF57,AI57,AL57,AO57,AR57,AU57,AX57)</f>
        <v>#VALUE!</v>
      </c>
      <c r="BE57" s="28" t="e">
        <f>CHOOSE(CharGenMain!$C$207,I57,L57,O57,R57,U57,X57,AA57,AD57,AG57,AJ57,AM57,AP57,AS57,AV57,AY57)</f>
        <v>#VALUE!</v>
      </c>
    </row>
    <row r="58" spans="1:57">
      <c r="A58" s="226" t="s">
        <v>664</v>
      </c>
      <c r="B58" s="167" t="s">
        <v>407</v>
      </c>
      <c r="C58" s="14" t="s">
        <v>2667</v>
      </c>
      <c r="D58" s="14">
        <v>1</v>
      </c>
      <c r="E58" s="14">
        <v>4</v>
      </c>
      <c r="F58" s="14">
        <v>8</v>
      </c>
      <c r="G58" s="168">
        <v>11</v>
      </c>
      <c r="H58" s="168">
        <v>0</v>
      </c>
      <c r="I58" s="168" t="s">
        <v>1215</v>
      </c>
      <c r="J58" s="168">
        <v>12</v>
      </c>
      <c r="K58" s="168">
        <v>0</v>
      </c>
      <c r="L58" s="168" t="s">
        <v>1215</v>
      </c>
      <c r="M58" s="168">
        <v>13</v>
      </c>
      <c r="N58" s="168">
        <v>0</v>
      </c>
      <c r="O58" s="168" t="s">
        <v>1215</v>
      </c>
      <c r="P58" s="168">
        <v>13</v>
      </c>
      <c r="Q58" s="168">
        <v>0</v>
      </c>
      <c r="R58" s="207" t="s">
        <v>5912</v>
      </c>
      <c r="S58" s="87" t="s">
        <v>2997</v>
      </c>
      <c r="T58" s="87" t="s">
        <v>2997</v>
      </c>
      <c r="U58" s="87" t="s">
        <v>2997</v>
      </c>
      <c r="V58" s="87" t="s">
        <v>2997</v>
      </c>
      <c r="W58" s="87" t="s">
        <v>2997</v>
      </c>
      <c r="X58" s="87" t="s">
        <v>2997</v>
      </c>
      <c r="Y58" s="87" t="s">
        <v>2997</v>
      </c>
      <c r="Z58" s="87" t="s">
        <v>2997</v>
      </c>
      <c r="AA58" s="87" t="s">
        <v>2997</v>
      </c>
      <c r="AB58" s="87" t="s">
        <v>2997</v>
      </c>
      <c r="AC58" s="87" t="s">
        <v>2997</v>
      </c>
      <c r="AD58" s="87" t="s">
        <v>2997</v>
      </c>
      <c r="AE58" s="87" t="s">
        <v>2997</v>
      </c>
      <c r="AF58" s="87" t="s">
        <v>2997</v>
      </c>
      <c r="AG58" s="87" t="s">
        <v>2997</v>
      </c>
      <c r="AH58" s="87" t="s">
        <v>2997</v>
      </c>
      <c r="AI58" s="87" t="s">
        <v>2997</v>
      </c>
      <c r="AJ58" s="87" t="s">
        <v>2997</v>
      </c>
      <c r="AK58" s="87" t="s">
        <v>2997</v>
      </c>
      <c r="AL58" s="87" t="s">
        <v>2997</v>
      </c>
      <c r="AM58" s="87" t="s">
        <v>2997</v>
      </c>
      <c r="AN58" s="87" t="s">
        <v>2997</v>
      </c>
      <c r="AO58" s="87" t="s">
        <v>2997</v>
      </c>
      <c r="AP58" s="87" t="s">
        <v>2997</v>
      </c>
      <c r="AQ58" s="87" t="s">
        <v>2997</v>
      </c>
      <c r="AR58" s="87" t="s">
        <v>2997</v>
      </c>
      <c r="AS58" s="87" t="s">
        <v>2997</v>
      </c>
      <c r="AT58" s="87" t="s">
        <v>2997</v>
      </c>
      <c r="AU58" s="87" t="s">
        <v>2997</v>
      </c>
      <c r="AV58" s="87" t="s">
        <v>2997</v>
      </c>
      <c r="AW58" s="87" t="s">
        <v>2997</v>
      </c>
      <c r="AX58" s="87" t="s">
        <v>2997</v>
      </c>
      <c r="AY58" s="87" t="s">
        <v>2997</v>
      </c>
      <c r="AZ58" s="21" t="e">
        <f>CHOOSE(CharGenMain!$C$206,G58,J58,M58,P58,S58,V58,Y58,AB58,AE58,AH58,AK58,AN58,AQ58,AT58,AW58)</f>
        <v>#VALUE!</v>
      </c>
      <c r="BA58" s="21" t="e">
        <f>CHOOSE(CharGenMain!$C$206,H58,K58,N58,Q58,T58,W58,Z58,AC58,AF58,AI58,AL58,AO58,AR58,AU58,AX58)</f>
        <v>#VALUE!</v>
      </c>
      <c r="BB58" s="21" t="e">
        <f>CHOOSE(CharGenMain!$C$206,I58,L58,O58,R58,U58,X58,AA58,AD58,AG58,AJ58,AM58,AP58,AS58,AV58,AY58)</f>
        <v>#VALUE!</v>
      </c>
      <c r="BC58" s="21" t="e">
        <f>CHOOSE(CharGenMain!$C$207,G58,J58,M58,P58,S58,V58,Y58,AB58,AE58,AH58,AK58,AN58,AQ58,AT58,AW58)</f>
        <v>#VALUE!</v>
      </c>
      <c r="BD58" s="21" t="e">
        <f>CHOOSE(CharGenMain!$C$207,H58,K58,N58,Q58,T58,W58,Z58,AC58,AF58,AI58,AL58,AO58,AR58,AU58,AX58)</f>
        <v>#VALUE!</v>
      </c>
      <c r="BE58" s="28" t="e">
        <f>CHOOSE(CharGenMain!$C$207,I58,L58,O58,R58,U58,X58,AA58,AD58,AG58,AJ58,AM58,AP58,AS58,AV58,AY58)</f>
        <v>#VALUE!</v>
      </c>
    </row>
    <row r="59" spans="1:57">
      <c r="A59" s="226" t="s">
        <v>969</v>
      </c>
      <c r="B59" s="167" t="s">
        <v>874</v>
      </c>
      <c r="C59" s="14" t="s">
        <v>2223</v>
      </c>
      <c r="D59" s="14">
        <v>2</v>
      </c>
      <c r="E59" s="14">
        <v>3</v>
      </c>
      <c r="F59" s="14">
        <v>8</v>
      </c>
      <c r="G59" s="87">
        <v>14</v>
      </c>
      <c r="H59" s="87">
        <v>0</v>
      </c>
      <c r="I59" s="87" t="s">
        <v>1215</v>
      </c>
      <c r="J59" s="87">
        <v>15</v>
      </c>
      <c r="K59" s="87">
        <v>0</v>
      </c>
      <c r="L59" s="87" t="s">
        <v>1215</v>
      </c>
      <c r="M59" s="87">
        <v>16</v>
      </c>
      <c r="N59" s="87">
        <v>0</v>
      </c>
      <c r="O59" s="87" t="s">
        <v>1215</v>
      </c>
      <c r="P59" s="87" t="s">
        <v>2997</v>
      </c>
      <c r="Q59" s="87" t="s">
        <v>2997</v>
      </c>
      <c r="R59" s="87" t="s">
        <v>2997</v>
      </c>
      <c r="S59" s="87" t="s">
        <v>2997</v>
      </c>
      <c r="T59" s="87" t="s">
        <v>2997</v>
      </c>
      <c r="U59" s="87" t="s">
        <v>2997</v>
      </c>
      <c r="V59" s="87" t="s">
        <v>2997</v>
      </c>
      <c r="W59" s="87" t="s">
        <v>2997</v>
      </c>
      <c r="X59" s="87" t="s">
        <v>2997</v>
      </c>
      <c r="Y59" s="87" t="s">
        <v>2997</v>
      </c>
      <c r="Z59" s="87" t="s">
        <v>2997</v>
      </c>
      <c r="AA59" s="87" t="s">
        <v>2997</v>
      </c>
      <c r="AB59" s="87" t="s">
        <v>2997</v>
      </c>
      <c r="AC59" s="87" t="s">
        <v>2997</v>
      </c>
      <c r="AD59" s="87" t="s">
        <v>2997</v>
      </c>
      <c r="AE59" s="87" t="s">
        <v>2997</v>
      </c>
      <c r="AF59" s="87" t="s">
        <v>2997</v>
      </c>
      <c r="AG59" s="87" t="s">
        <v>2997</v>
      </c>
      <c r="AH59" s="87" t="s">
        <v>2997</v>
      </c>
      <c r="AI59" s="87" t="s">
        <v>2997</v>
      </c>
      <c r="AJ59" s="87" t="s">
        <v>2997</v>
      </c>
      <c r="AK59" s="87" t="s">
        <v>2997</v>
      </c>
      <c r="AL59" s="87" t="s">
        <v>2997</v>
      </c>
      <c r="AM59" s="87" t="s">
        <v>2997</v>
      </c>
      <c r="AN59" s="87" t="s">
        <v>2997</v>
      </c>
      <c r="AO59" s="87" t="s">
        <v>2997</v>
      </c>
      <c r="AP59" s="87" t="s">
        <v>2997</v>
      </c>
      <c r="AQ59" s="87" t="s">
        <v>2997</v>
      </c>
      <c r="AR59" s="87" t="s">
        <v>2997</v>
      </c>
      <c r="AS59" s="87" t="s">
        <v>2997</v>
      </c>
      <c r="AT59" s="87" t="s">
        <v>2997</v>
      </c>
      <c r="AU59" s="87" t="s">
        <v>2997</v>
      </c>
      <c r="AV59" s="87" t="s">
        <v>2997</v>
      </c>
      <c r="AW59" s="87" t="s">
        <v>2997</v>
      </c>
      <c r="AX59" s="87" t="s">
        <v>2997</v>
      </c>
      <c r="AY59" s="87" t="s">
        <v>2997</v>
      </c>
      <c r="AZ59" s="21" t="e">
        <f>CHOOSE(CharGenMain!$C$206,G59,J59,M59,P59,S59,V59,Y59,AB59,AE59,AH59,AK59,AN59,AQ59,AT59,AW59)</f>
        <v>#VALUE!</v>
      </c>
      <c r="BA59" s="21" t="e">
        <f>CHOOSE(CharGenMain!$C$206,H59,K59,N59,Q59,T59,W59,Z59,AC59,AF59,AI59,AL59,AO59,AR59,AU59,AX59)</f>
        <v>#VALUE!</v>
      </c>
      <c r="BB59" s="21" t="e">
        <f>CHOOSE(CharGenMain!$C$206,I59,L59,O59,R59,U59,X59,AA59,AD59,AG59,AJ59,AM59,AP59,AS59,AV59,AY59)</f>
        <v>#VALUE!</v>
      </c>
      <c r="BC59" s="21" t="e">
        <f>CHOOSE(CharGenMain!$C$207,G59,J59,M59,P59,S59,V59,Y59,AB59,AE59,AH59,AK59,AN59,AQ59,AT59,AW59)</f>
        <v>#VALUE!</v>
      </c>
      <c r="BD59" s="21" t="e">
        <f>CHOOSE(CharGenMain!$C$207,H59,K59,N59,Q59,T59,W59,Z59,AC59,AF59,AI59,AL59,AO59,AR59,AU59,AX59)</f>
        <v>#VALUE!</v>
      </c>
      <c r="BE59" s="28" t="e">
        <f>CHOOSE(CharGenMain!$C$207,I59,L59,O59,R59,U59,X59,AA59,AD59,AG59,AJ59,AM59,AP59,AS59,AV59,AY59)</f>
        <v>#VALUE!</v>
      </c>
    </row>
    <row r="60" spans="1:57">
      <c r="A60" s="20" t="s">
        <v>875</v>
      </c>
      <c r="B60" s="167" t="s">
        <v>1225</v>
      </c>
      <c r="C60" s="14" t="s">
        <v>2279</v>
      </c>
      <c r="D60" s="14">
        <v>2</v>
      </c>
      <c r="E60" s="14">
        <v>5</v>
      </c>
      <c r="F60" s="14">
        <v>12</v>
      </c>
      <c r="G60" s="87">
        <v>8</v>
      </c>
      <c r="H60" s="87">
        <v>0</v>
      </c>
      <c r="I60" s="206" t="s">
        <v>876</v>
      </c>
      <c r="J60" s="87">
        <v>9</v>
      </c>
      <c r="K60" s="87">
        <v>0</v>
      </c>
      <c r="L60" s="206" t="s">
        <v>876</v>
      </c>
      <c r="M60" s="87">
        <v>10</v>
      </c>
      <c r="N60" s="87">
        <v>0</v>
      </c>
      <c r="O60" s="206" t="s">
        <v>876</v>
      </c>
      <c r="P60" s="87">
        <v>10</v>
      </c>
      <c r="Q60" s="87">
        <v>0</v>
      </c>
      <c r="R60" s="206" t="s">
        <v>877</v>
      </c>
      <c r="S60" s="87">
        <v>11</v>
      </c>
      <c r="T60" s="87">
        <v>0</v>
      </c>
      <c r="U60" s="206" t="s">
        <v>877</v>
      </c>
      <c r="V60" s="87"/>
      <c r="W60" s="87" t="s">
        <v>2997</v>
      </c>
      <c r="X60" s="87" t="s">
        <v>2997</v>
      </c>
      <c r="Y60" s="87" t="s">
        <v>2997</v>
      </c>
      <c r="Z60" s="87" t="s">
        <v>2997</v>
      </c>
      <c r="AA60" s="87" t="s">
        <v>2997</v>
      </c>
      <c r="AB60" s="87" t="s">
        <v>2997</v>
      </c>
      <c r="AC60" s="87" t="s">
        <v>2997</v>
      </c>
      <c r="AD60" s="87" t="s">
        <v>2997</v>
      </c>
      <c r="AE60" s="87" t="s">
        <v>2997</v>
      </c>
      <c r="AF60" s="87" t="s">
        <v>2997</v>
      </c>
      <c r="AG60" s="87" t="s">
        <v>2997</v>
      </c>
      <c r="AH60" s="87" t="s">
        <v>2997</v>
      </c>
      <c r="AI60" s="87" t="s">
        <v>2997</v>
      </c>
      <c r="AJ60" s="87" t="s">
        <v>2997</v>
      </c>
      <c r="AK60" s="87" t="s">
        <v>2997</v>
      </c>
      <c r="AL60" s="87" t="s">
        <v>2997</v>
      </c>
      <c r="AM60" s="87" t="s">
        <v>2997</v>
      </c>
      <c r="AN60" s="87" t="s">
        <v>2997</v>
      </c>
      <c r="AO60" s="87" t="s">
        <v>2997</v>
      </c>
      <c r="AP60" s="87" t="s">
        <v>2997</v>
      </c>
      <c r="AQ60" s="87" t="s">
        <v>2997</v>
      </c>
      <c r="AR60" s="87" t="s">
        <v>2997</v>
      </c>
      <c r="AS60" s="87" t="s">
        <v>2997</v>
      </c>
      <c r="AT60" s="87" t="s">
        <v>2997</v>
      </c>
      <c r="AU60" s="87" t="s">
        <v>2997</v>
      </c>
      <c r="AV60" s="87" t="s">
        <v>2997</v>
      </c>
      <c r="AW60" s="87" t="s">
        <v>2997</v>
      </c>
      <c r="AX60" s="87" t="s">
        <v>2997</v>
      </c>
      <c r="AY60" s="87" t="s">
        <v>2997</v>
      </c>
      <c r="AZ60" s="21" t="e">
        <f>CHOOSE(CharGenMain!$C$206,G60,J60,M60,P60,S60,V60,Y60,AB60,AE60,AH60,AK60,AN60,AQ60,AT60,AW60)</f>
        <v>#VALUE!</v>
      </c>
      <c r="BA60" s="21" t="e">
        <f>CHOOSE(CharGenMain!$C$206,H60,K60,N60,Q60,T60,W60,Z60,AC60,AF60,AI60,AL60,AO60,AR60,AU60,AX60)</f>
        <v>#VALUE!</v>
      </c>
      <c r="BB60" s="21" t="e">
        <f>CHOOSE(CharGenMain!$C$206,I60,L60,O60,R60,U60,X60,AA60,AD60,AG60,AJ60,AM60,AP60,AS60,AV60,AY60)</f>
        <v>#VALUE!</v>
      </c>
      <c r="BC60" s="21" t="e">
        <f>CHOOSE(CharGenMain!$C$207,G60,J60,M60,P60,S60,V60,Y60,AB60,AE60,AH60,AK60,AN60,AQ60,AT60,AW60)</f>
        <v>#VALUE!</v>
      </c>
      <c r="BD60" s="21" t="e">
        <f>CHOOSE(CharGenMain!$C$207,H60,K60,N60,Q60,T60,W60,Z60,AC60,AF60,AI60,AL60,AO60,AR60,AU60,AX60)</f>
        <v>#VALUE!</v>
      </c>
      <c r="BE60" s="28" t="e">
        <f>CHOOSE(CharGenMain!$C$207,I60,L60,O60,R60,U60,X60,AA60,AD60,AG60,AJ60,AM60,AP60,AS60,AV60,AY60)</f>
        <v>#VALUE!</v>
      </c>
    </row>
    <row r="61" spans="1:57">
      <c r="A61" s="20" t="s">
        <v>789</v>
      </c>
      <c r="B61" s="167" t="s">
        <v>1504</v>
      </c>
      <c r="C61" s="14" t="s">
        <v>2279</v>
      </c>
      <c r="D61" s="14">
        <v>2</v>
      </c>
      <c r="E61" s="14">
        <v>4</v>
      </c>
      <c r="F61" s="14">
        <v>15</v>
      </c>
      <c r="G61" s="87">
        <v>11</v>
      </c>
      <c r="H61" s="87">
        <v>0</v>
      </c>
      <c r="I61" s="87" t="s">
        <v>1215</v>
      </c>
      <c r="J61" s="87">
        <v>12</v>
      </c>
      <c r="K61" s="87">
        <v>1</v>
      </c>
      <c r="L61" s="87" t="s">
        <v>1215</v>
      </c>
      <c r="M61" s="87">
        <v>14</v>
      </c>
      <c r="N61" s="87">
        <v>2</v>
      </c>
      <c r="O61" s="87" t="s">
        <v>1215</v>
      </c>
      <c r="P61" s="87">
        <v>14</v>
      </c>
      <c r="Q61" s="87">
        <v>2</v>
      </c>
      <c r="R61" s="87" t="s">
        <v>790</v>
      </c>
      <c r="S61" s="87" t="s">
        <v>2997</v>
      </c>
      <c r="T61" s="87" t="s">
        <v>2997</v>
      </c>
      <c r="U61" s="87" t="s">
        <v>2997</v>
      </c>
      <c r="V61" s="87" t="s">
        <v>2997</v>
      </c>
      <c r="W61" s="87" t="s">
        <v>2997</v>
      </c>
      <c r="X61" s="87" t="s">
        <v>2997</v>
      </c>
      <c r="Y61" s="87" t="s">
        <v>2997</v>
      </c>
      <c r="Z61" s="87" t="s">
        <v>2997</v>
      </c>
      <c r="AA61" s="87" t="s">
        <v>2997</v>
      </c>
      <c r="AB61" s="87" t="s">
        <v>2997</v>
      </c>
      <c r="AC61" s="87" t="s">
        <v>2997</v>
      </c>
      <c r="AD61" s="87" t="s">
        <v>2997</v>
      </c>
      <c r="AE61" s="87" t="s">
        <v>2997</v>
      </c>
      <c r="AF61" s="87" t="s">
        <v>2997</v>
      </c>
      <c r="AG61" s="87" t="s">
        <v>2997</v>
      </c>
      <c r="AH61" s="87" t="s">
        <v>2997</v>
      </c>
      <c r="AI61" s="87" t="s">
        <v>2997</v>
      </c>
      <c r="AJ61" s="87" t="s">
        <v>2997</v>
      </c>
      <c r="AK61" s="87" t="s">
        <v>2997</v>
      </c>
      <c r="AL61" s="87" t="s">
        <v>2997</v>
      </c>
      <c r="AM61" s="87" t="s">
        <v>2997</v>
      </c>
      <c r="AN61" s="87" t="s">
        <v>2997</v>
      </c>
      <c r="AO61" s="87" t="s">
        <v>2997</v>
      </c>
      <c r="AP61" s="87" t="s">
        <v>2997</v>
      </c>
      <c r="AQ61" s="87" t="s">
        <v>2997</v>
      </c>
      <c r="AR61" s="87" t="s">
        <v>2997</v>
      </c>
      <c r="AS61" s="87" t="s">
        <v>2997</v>
      </c>
      <c r="AT61" s="87" t="s">
        <v>2997</v>
      </c>
      <c r="AU61" s="87" t="s">
        <v>2997</v>
      </c>
      <c r="AV61" s="87" t="s">
        <v>2997</v>
      </c>
      <c r="AW61" s="87" t="s">
        <v>2997</v>
      </c>
      <c r="AX61" s="87" t="s">
        <v>2997</v>
      </c>
      <c r="AY61" s="87" t="s">
        <v>2997</v>
      </c>
      <c r="AZ61" s="21" t="e">
        <f>CHOOSE(CharGenMain!$C$206,G61,J61,M61,P61,S61,V61,Y61,AB61,AE61,AH61,AK61,AN61,AQ61,AT61,AW61)</f>
        <v>#VALUE!</v>
      </c>
      <c r="BA61" s="21" t="e">
        <f>CHOOSE(CharGenMain!$C$206,H61,K61,N61,Q61,T61,W61,Z61,AC61,AF61,AI61,AL61,AO61,AR61,AU61,AX61)</f>
        <v>#VALUE!</v>
      </c>
      <c r="BB61" s="21" t="e">
        <f>CHOOSE(CharGenMain!$C$206,I61,L61,O61,R61,U61,X61,AA61,AD61,AG61,AJ61,AM61,AP61,AS61,AV61,AY61)</f>
        <v>#VALUE!</v>
      </c>
      <c r="BC61" s="21" t="e">
        <f>CHOOSE(CharGenMain!$C$207,G61,J61,M61,P61,S61,V61,Y61,AB61,AE61,AH61,AK61,AN61,AQ61,AT61,AW61)</f>
        <v>#VALUE!</v>
      </c>
      <c r="BD61" s="21" t="e">
        <f>CHOOSE(CharGenMain!$C$207,H61,K61,N61,Q61,T61,W61,Z61,AC61,AF61,AI61,AL61,AO61,AR61,AU61,AX61)</f>
        <v>#VALUE!</v>
      </c>
      <c r="BE61" s="28" t="e">
        <f>CHOOSE(CharGenMain!$C$207,I61,L61,O61,R61,U61,X61,AA61,AD61,AG61,AJ61,AM61,AP61,AS61,AV61,AY61)</f>
        <v>#VALUE!</v>
      </c>
    </row>
    <row r="62" spans="1:57">
      <c r="A62" s="226" t="s">
        <v>791</v>
      </c>
      <c r="B62" s="167" t="s">
        <v>1448</v>
      </c>
      <c r="C62" s="14" t="s">
        <v>2667</v>
      </c>
      <c r="D62" s="14">
        <v>2</v>
      </c>
      <c r="E62" s="14">
        <v>6</v>
      </c>
      <c r="F62" s="14">
        <v>13</v>
      </c>
      <c r="G62" s="87">
        <v>11</v>
      </c>
      <c r="H62" s="87">
        <v>0</v>
      </c>
      <c r="I62" s="87" t="s">
        <v>792</v>
      </c>
      <c r="J62" s="87">
        <v>12</v>
      </c>
      <c r="K62" s="87">
        <v>0</v>
      </c>
      <c r="L62" s="87" t="s">
        <v>793</v>
      </c>
      <c r="M62" s="87">
        <v>12</v>
      </c>
      <c r="N62" s="87">
        <v>0</v>
      </c>
      <c r="O62" s="87" t="s">
        <v>794</v>
      </c>
      <c r="P62" s="87">
        <v>13</v>
      </c>
      <c r="Q62" s="87">
        <v>0</v>
      </c>
      <c r="R62" s="87" t="s">
        <v>681</v>
      </c>
      <c r="S62" s="87">
        <v>13</v>
      </c>
      <c r="T62" s="87">
        <v>0</v>
      </c>
      <c r="U62" s="87" t="s">
        <v>682</v>
      </c>
      <c r="V62" s="87">
        <v>15</v>
      </c>
      <c r="W62" s="87">
        <v>0</v>
      </c>
      <c r="X62" s="87" t="s">
        <v>683</v>
      </c>
      <c r="Y62" s="87" t="s">
        <v>2997</v>
      </c>
      <c r="Z62" s="87" t="s">
        <v>2997</v>
      </c>
      <c r="AA62" s="87" t="s">
        <v>2997</v>
      </c>
      <c r="AB62" s="87" t="s">
        <v>2997</v>
      </c>
      <c r="AC62" s="87" t="s">
        <v>2997</v>
      </c>
      <c r="AD62" s="87" t="s">
        <v>2997</v>
      </c>
      <c r="AE62" s="87" t="s">
        <v>2997</v>
      </c>
      <c r="AF62" s="87" t="s">
        <v>2997</v>
      </c>
      <c r="AG62" s="87" t="s">
        <v>2997</v>
      </c>
      <c r="AH62" s="87" t="s">
        <v>2997</v>
      </c>
      <c r="AI62" s="87" t="s">
        <v>2997</v>
      </c>
      <c r="AJ62" s="87" t="s">
        <v>2997</v>
      </c>
      <c r="AK62" s="87" t="s">
        <v>2997</v>
      </c>
      <c r="AL62" s="87" t="s">
        <v>2997</v>
      </c>
      <c r="AM62" s="87" t="s">
        <v>2997</v>
      </c>
      <c r="AN62" s="87" t="s">
        <v>2997</v>
      </c>
      <c r="AO62" s="87" t="s">
        <v>2997</v>
      </c>
      <c r="AP62" s="87" t="s">
        <v>2997</v>
      </c>
      <c r="AQ62" s="87" t="s">
        <v>2997</v>
      </c>
      <c r="AR62" s="87" t="s">
        <v>2997</v>
      </c>
      <c r="AS62" s="87" t="s">
        <v>2997</v>
      </c>
      <c r="AT62" s="87" t="s">
        <v>2997</v>
      </c>
      <c r="AU62" s="87" t="s">
        <v>2997</v>
      </c>
      <c r="AV62" s="87" t="s">
        <v>2997</v>
      </c>
      <c r="AW62" s="87" t="s">
        <v>2997</v>
      </c>
      <c r="AX62" s="87" t="s">
        <v>2997</v>
      </c>
      <c r="AY62" s="87" t="s">
        <v>2997</v>
      </c>
      <c r="AZ62" s="21" t="e">
        <f>CHOOSE(CharGenMain!$C$206,G62,J62,M62,P62,S62,V62,Y62,AB62,AE62,AH62,AK62,AN62,AQ62,AT62,AW62)</f>
        <v>#VALUE!</v>
      </c>
      <c r="BA62" s="21" t="e">
        <f>CHOOSE(CharGenMain!$C$206,H62,K62,N62,Q62,T62,W62,Z62,AC62,AF62,AI62,AL62,AO62,AR62,AU62,AX62)</f>
        <v>#VALUE!</v>
      </c>
      <c r="BB62" s="21" t="e">
        <f>CHOOSE(CharGenMain!$C$206,I62,L62,O62,R62,U62,X62,AA62,AD62,AG62,AJ62,AM62,AP62,AS62,AV62,AY62)</f>
        <v>#VALUE!</v>
      </c>
      <c r="BC62" s="21" t="e">
        <f>CHOOSE(CharGenMain!$C$207,G62,J62,M62,P62,S62,V62,Y62,AB62,AE62,AH62,AK62,AN62,AQ62,AT62,AW62)</f>
        <v>#VALUE!</v>
      </c>
      <c r="BD62" s="21" t="e">
        <f>CHOOSE(CharGenMain!$C$207,H62,K62,N62,Q62,T62,W62,Z62,AC62,AF62,AI62,AL62,AO62,AR62,AU62,AX62)</f>
        <v>#VALUE!</v>
      </c>
      <c r="BE62" s="28" t="e">
        <f>CHOOSE(CharGenMain!$C$207,I62,L62,O62,R62,U62,X62,AA62,AD62,AG62,AJ62,AM62,AP62,AS62,AV62,AY62)</f>
        <v>#VALUE!</v>
      </c>
    </row>
    <row r="63" spans="1:57">
      <c r="A63" s="226" t="s">
        <v>5913</v>
      </c>
      <c r="B63" s="167" t="s">
        <v>529</v>
      </c>
      <c r="C63" s="14" t="s">
        <v>2667</v>
      </c>
      <c r="D63" s="14">
        <v>3</v>
      </c>
      <c r="E63" s="14">
        <v>8</v>
      </c>
      <c r="F63" s="14">
        <v>14</v>
      </c>
      <c r="G63" s="87">
        <v>10</v>
      </c>
      <c r="H63" s="87">
        <v>0</v>
      </c>
      <c r="I63" s="87" t="s">
        <v>792</v>
      </c>
      <c r="J63" s="87">
        <v>11</v>
      </c>
      <c r="K63" s="87">
        <v>0</v>
      </c>
      <c r="L63" s="87" t="s">
        <v>792</v>
      </c>
      <c r="M63" s="87">
        <v>11</v>
      </c>
      <c r="N63" s="87">
        <v>0</v>
      </c>
      <c r="O63" s="87" t="s">
        <v>5800</v>
      </c>
      <c r="P63" s="87">
        <v>11</v>
      </c>
      <c r="Q63" s="87">
        <v>1</v>
      </c>
      <c r="R63" s="87" t="s">
        <v>5800</v>
      </c>
      <c r="S63" s="87">
        <v>11</v>
      </c>
      <c r="T63" s="87">
        <v>1</v>
      </c>
      <c r="U63" s="87" t="s">
        <v>5817</v>
      </c>
      <c r="V63" s="87">
        <v>12</v>
      </c>
      <c r="W63" s="87">
        <v>1</v>
      </c>
      <c r="X63" s="87" t="s">
        <v>5817</v>
      </c>
      <c r="Y63" s="87">
        <v>12</v>
      </c>
      <c r="Z63" s="87">
        <v>1</v>
      </c>
      <c r="AA63" s="87" t="s">
        <v>5818</v>
      </c>
      <c r="AB63" s="87">
        <v>12</v>
      </c>
      <c r="AC63" s="87">
        <v>1</v>
      </c>
      <c r="AD63" s="87" t="s">
        <v>5819</v>
      </c>
      <c r="AE63" s="87" t="s">
        <v>2997</v>
      </c>
      <c r="AF63" s="87" t="s">
        <v>2997</v>
      </c>
      <c r="AG63" s="87" t="s">
        <v>2997</v>
      </c>
      <c r="AH63" s="87" t="s">
        <v>2997</v>
      </c>
      <c r="AI63" s="87" t="s">
        <v>2997</v>
      </c>
      <c r="AJ63" s="87" t="s">
        <v>2997</v>
      </c>
      <c r="AK63" s="87" t="s">
        <v>2997</v>
      </c>
      <c r="AL63" s="87" t="s">
        <v>2997</v>
      </c>
      <c r="AM63" s="87" t="s">
        <v>2997</v>
      </c>
      <c r="AN63" s="87" t="s">
        <v>2997</v>
      </c>
      <c r="AO63" s="87" t="s">
        <v>2997</v>
      </c>
      <c r="AP63" s="87" t="s">
        <v>2997</v>
      </c>
      <c r="AQ63" s="87" t="s">
        <v>2997</v>
      </c>
      <c r="AR63" s="87" t="s">
        <v>2997</v>
      </c>
      <c r="AS63" s="87" t="s">
        <v>2997</v>
      </c>
      <c r="AT63" s="87" t="s">
        <v>2997</v>
      </c>
      <c r="AU63" s="87" t="s">
        <v>2997</v>
      </c>
      <c r="AV63" s="87" t="s">
        <v>2997</v>
      </c>
      <c r="AW63" s="87" t="s">
        <v>2997</v>
      </c>
      <c r="AX63" s="87" t="s">
        <v>2997</v>
      </c>
      <c r="AY63" s="87" t="s">
        <v>2997</v>
      </c>
      <c r="AZ63" s="21" t="e">
        <f>CHOOSE(CharGenMain!$C$206,G63,J63,M63,P63,S63,V63,Y63,AB63,AE63,AH63,AK63,AN63,AQ63,AT63,AW63)</f>
        <v>#VALUE!</v>
      </c>
      <c r="BA63" s="21" t="e">
        <f>CHOOSE(CharGenMain!$C$206,H63,K63,N63,Q63,T63,W63,Z63,AC63,AF63,AI63,AL63,AO63,AR63,AU63,AX63)</f>
        <v>#VALUE!</v>
      </c>
      <c r="BB63" s="21" t="e">
        <f>CHOOSE(CharGenMain!$C$206,I63,L63,O63,R63,U63,X63,AA63,AD63,AG63,AJ63,AM63,AP63,AS63,AV63,AY63)</f>
        <v>#VALUE!</v>
      </c>
      <c r="BC63" s="21" t="e">
        <f>CHOOSE(CharGenMain!$C$207,G63,J63,M63,P63,S63,V63,Y63,AB63,AE63,AH63,AK63,AN63,AQ63,AT63,AW63)</f>
        <v>#VALUE!</v>
      </c>
      <c r="BD63" s="21" t="e">
        <f>CHOOSE(CharGenMain!$C$207,H63,K63,N63,Q63,T63,W63,Z63,AC63,AF63,AI63,AL63,AO63,AR63,AU63,AX63)</f>
        <v>#VALUE!</v>
      </c>
      <c r="BE63" s="28" t="e">
        <f>CHOOSE(CharGenMain!$C$207,I63,L63,O63,R63,U63,X63,AA63,AD63,AG63,AJ63,AM63,AP63,AS63,AV63,AY63)</f>
        <v>#VALUE!</v>
      </c>
    </row>
    <row r="64" spans="1:57">
      <c r="A64" s="20" t="s">
        <v>684</v>
      </c>
      <c r="B64" s="167" t="s">
        <v>685</v>
      </c>
      <c r="C64" s="14" t="s">
        <v>2279</v>
      </c>
      <c r="D64" s="14">
        <v>3</v>
      </c>
      <c r="E64" s="14">
        <v>9</v>
      </c>
      <c r="F64" s="14">
        <v>14</v>
      </c>
      <c r="G64" s="168">
        <v>6</v>
      </c>
      <c r="H64" s="168">
        <v>0</v>
      </c>
      <c r="I64" s="168" t="s">
        <v>686</v>
      </c>
      <c r="J64" s="168">
        <v>7</v>
      </c>
      <c r="K64" s="168">
        <v>0</v>
      </c>
      <c r="L64" s="168" t="s">
        <v>686</v>
      </c>
      <c r="M64" s="168">
        <v>7</v>
      </c>
      <c r="N64" s="168">
        <v>0</v>
      </c>
      <c r="O64" s="168" t="s">
        <v>686</v>
      </c>
      <c r="P64" s="168">
        <v>8</v>
      </c>
      <c r="Q64" s="168">
        <v>0</v>
      </c>
      <c r="R64" s="168" t="s">
        <v>686</v>
      </c>
      <c r="S64" s="168">
        <v>8</v>
      </c>
      <c r="T64" s="168">
        <v>0</v>
      </c>
      <c r="U64" s="168" t="s">
        <v>686</v>
      </c>
      <c r="V64" s="168">
        <v>9</v>
      </c>
      <c r="W64" s="168">
        <v>0</v>
      </c>
      <c r="X64" s="168" t="s">
        <v>686</v>
      </c>
      <c r="Y64" s="168">
        <v>9</v>
      </c>
      <c r="Z64" s="168">
        <v>0</v>
      </c>
      <c r="AA64" s="168" t="s">
        <v>686</v>
      </c>
      <c r="AB64" s="168">
        <v>9</v>
      </c>
      <c r="AC64" s="168">
        <v>0</v>
      </c>
      <c r="AD64" s="168" t="s">
        <v>687</v>
      </c>
      <c r="AE64" s="168">
        <v>9</v>
      </c>
      <c r="AF64" s="168">
        <v>0</v>
      </c>
      <c r="AG64" s="168" t="s">
        <v>688</v>
      </c>
      <c r="AH64" s="87" t="s">
        <v>2997</v>
      </c>
      <c r="AI64" s="87" t="s">
        <v>2997</v>
      </c>
      <c r="AJ64" s="87" t="s">
        <v>2997</v>
      </c>
      <c r="AK64" s="87" t="s">
        <v>2997</v>
      </c>
      <c r="AL64" s="87" t="s">
        <v>2997</v>
      </c>
      <c r="AM64" s="87" t="s">
        <v>2997</v>
      </c>
      <c r="AN64" s="87" t="s">
        <v>2997</v>
      </c>
      <c r="AO64" s="87" t="s">
        <v>2997</v>
      </c>
      <c r="AP64" s="87" t="s">
        <v>2997</v>
      </c>
      <c r="AQ64" s="87" t="s">
        <v>2997</v>
      </c>
      <c r="AR64" s="87" t="s">
        <v>2997</v>
      </c>
      <c r="AS64" s="87" t="s">
        <v>2997</v>
      </c>
      <c r="AT64" s="87" t="s">
        <v>2997</v>
      </c>
      <c r="AU64" s="87" t="s">
        <v>2997</v>
      </c>
      <c r="AV64" s="87" t="s">
        <v>2997</v>
      </c>
      <c r="AW64" s="87" t="s">
        <v>2997</v>
      </c>
      <c r="AX64" s="87" t="s">
        <v>2997</v>
      </c>
      <c r="AY64" s="87" t="s">
        <v>2997</v>
      </c>
      <c r="AZ64" s="21" t="e">
        <f>CHOOSE(CharGenMain!$C$206,G64,J64,M64,P64,S64,V64,Y64,AB64,AE64,AH64,AK64,AN64,AQ64,AT64,AW64)</f>
        <v>#VALUE!</v>
      </c>
      <c r="BA64" s="21" t="e">
        <f>CHOOSE(CharGenMain!$C$206,H64,K64,N64,Q64,T64,W64,Z64,AC64,AF64,AI64,AL64,AO64,AR64,AU64,AX64)</f>
        <v>#VALUE!</v>
      </c>
      <c r="BB64" s="21" t="e">
        <f>CHOOSE(CharGenMain!$C$206,I64,L64,O64,R64,U64,X64,AA64,AD64,AG64,AJ64,AM64,AP64,AS64,AV64,AY64)</f>
        <v>#VALUE!</v>
      </c>
      <c r="BC64" s="21" t="e">
        <f>CHOOSE(CharGenMain!$C$207,G64,J64,M64,P64,S64,V64,Y64,AB64,AE64,AH64,AK64,AN64,AQ64,AT64,AW64)</f>
        <v>#VALUE!</v>
      </c>
      <c r="BD64" s="21" t="e">
        <f>CHOOSE(CharGenMain!$C$207,H64,K64,N64,Q64,T64,W64,Z64,AC64,AF64,AI64,AL64,AO64,AR64,AU64,AX64)</f>
        <v>#VALUE!</v>
      </c>
      <c r="BE64" s="28" t="e">
        <f>CHOOSE(CharGenMain!$C$207,I64,L64,O64,R64,U64,X64,AA64,AD64,AG64,AJ64,AM64,AP64,AS64,AV64,AY64)</f>
        <v>#VALUE!</v>
      </c>
    </row>
    <row r="65" spans="1:57">
      <c r="A65" s="20" t="s">
        <v>689</v>
      </c>
      <c r="B65" s="167" t="s">
        <v>4742</v>
      </c>
      <c r="C65" s="14" t="s">
        <v>2279</v>
      </c>
      <c r="D65" s="14">
        <v>2</v>
      </c>
      <c r="E65" s="14">
        <v>8</v>
      </c>
      <c r="F65" s="14">
        <v>14</v>
      </c>
      <c r="G65" s="87">
        <v>10</v>
      </c>
      <c r="H65" s="87">
        <v>0</v>
      </c>
      <c r="I65" s="87" t="s">
        <v>690</v>
      </c>
      <c r="J65" s="87">
        <v>11</v>
      </c>
      <c r="K65" s="87">
        <v>0</v>
      </c>
      <c r="L65" s="87" t="s">
        <v>690</v>
      </c>
      <c r="M65" s="87">
        <v>11</v>
      </c>
      <c r="N65" s="87">
        <v>0</v>
      </c>
      <c r="O65" s="87" t="s">
        <v>690</v>
      </c>
      <c r="P65" s="87">
        <v>12</v>
      </c>
      <c r="Q65" s="87">
        <v>0</v>
      </c>
      <c r="R65" s="87" t="s">
        <v>690</v>
      </c>
      <c r="S65" s="87">
        <v>12</v>
      </c>
      <c r="T65" s="87">
        <v>0</v>
      </c>
      <c r="U65" s="87" t="s">
        <v>690</v>
      </c>
      <c r="V65" s="87">
        <v>13</v>
      </c>
      <c r="W65" s="87">
        <v>0</v>
      </c>
      <c r="X65" s="87" t="s">
        <v>690</v>
      </c>
      <c r="Y65" s="87">
        <v>13</v>
      </c>
      <c r="Z65" s="87">
        <v>0</v>
      </c>
      <c r="AA65" s="87" t="s">
        <v>690</v>
      </c>
      <c r="AB65" s="87">
        <v>14</v>
      </c>
      <c r="AC65" s="87">
        <v>0</v>
      </c>
      <c r="AD65" s="87" t="s">
        <v>690</v>
      </c>
      <c r="AE65" s="87" t="s">
        <v>2997</v>
      </c>
      <c r="AF65" s="87" t="s">
        <v>2997</v>
      </c>
      <c r="AG65" s="87" t="s">
        <v>2997</v>
      </c>
      <c r="AH65" s="87" t="s">
        <v>2997</v>
      </c>
      <c r="AI65" s="87" t="s">
        <v>2997</v>
      </c>
      <c r="AJ65" s="87" t="s">
        <v>2997</v>
      </c>
      <c r="AK65" s="87" t="s">
        <v>2997</v>
      </c>
      <c r="AL65" s="87" t="s">
        <v>2997</v>
      </c>
      <c r="AM65" s="87" t="s">
        <v>2997</v>
      </c>
      <c r="AN65" s="87" t="s">
        <v>2997</v>
      </c>
      <c r="AO65" s="87" t="s">
        <v>2997</v>
      </c>
      <c r="AP65" s="87" t="s">
        <v>2997</v>
      </c>
      <c r="AQ65" s="87" t="s">
        <v>2997</v>
      </c>
      <c r="AR65" s="87" t="s">
        <v>2997</v>
      </c>
      <c r="AS65" s="87" t="s">
        <v>2997</v>
      </c>
      <c r="AT65" s="87" t="s">
        <v>2997</v>
      </c>
      <c r="AU65" s="87" t="s">
        <v>2997</v>
      </c>
      <c r="AV65" s="87" t="s">
        <v>2997</v>
      </c>
      <c r="AW65" s="87" t="s">
        <v>2997</v>
      </c>
      <c r="AX65" s="87" t="s">
        <v>2997</v>
      </c>
      <c r="AY65" s="87" t="s">
        <v>2997</v>
      </c>
      <c r="AZ65" s="21" t="e">
        <f>CHOOSE(CharGenMain!$C$206,G65,J65,M65,P65,S65,V65,Y65,AB65,AE65,AH65,AK65,AN65,AQ65,AT65,AW65)</f>
        <v>#VALUE!</v>
      </c>
      <c r="BA65" s="21" t="e">
        <f>CHOOSE(CharGenMain!$C$206,H65,K65,N65,Q65,T65,W65,Z65,AC65,AF65,AI65,AL65,AO65,AR65,AU65,AX65)</f>
        <v>#VALUE!</v>
      </c>
      <c r="BB65" s="21" t="e">
        <f>CHOOSE(CharGenMain!$C$206,I65,L65,O65,R65,U65,X65,AA65,AD65,AG65,AJ65,AM65,AP65,AS65,AV65,AY65)</f>
        <v>#VALUE!</v>
      </c>
      <c r="BC65" s="21" t="e">
        <f>CHOOSE(CharGenMain!$C$207,G65,J65,M65,P65,S65,V65,Y65,AB65,AE65,AH65,AK65,AN65,AQ65,AT65,AW65)</f>
        <v>#VALUE!</v>
      </c>
      <c r="BD65" s="21" t="e">
        <f>CHOOSE(CharGenMain!$C$207,H65,K65,N65,Q65,T65,W65,Z65,AC65,AF65,AI65,AL65,AO65,AR65,AU65,AX65)</f>
        <v>#VALUE!</v>
      </c>
      <c r="BE65" s="28" t="e">
        <f>CHOOSE(CharGenMain!$C$207,I65,L65,O65,R65,U65,X65,AA65,AD65,AG65,AJ65,AM65,AP65,AS65,AV65,AY65)</f>
        <v>#VALUE!</v>
      </c>
    </row>
    <row r="66" spans="1:57">
      <c r="A66" s="205" t="s">
        <v>691</v>
      </c>
      <c r="B66" s="167" t="s">
        <v>1499</v>
      </c>
      <c r="C66" s="14" t="s">
        <v>2279</v>
      </c>
      <c r="D66" s="14">
        <v>2</v>
      </c>
      <c r="E66" s="14">
        <v>6</v>
      </c>
      <c r="F66" s="14">
        <v>15</v>
      </c>
      <c r="G66" s="168">
        <v>14</v>
      </c>
      <c r="H66" s="168">
        <v>0</v>
      </c>
      <c r="I66" s="168" t="s">
        <v>1215</v>
      </c>
      <c r="J66" s="168">
        <v>15</v>
      </c>
      <c r="K66" s="87">
        <v>0</v>
      </c>
      <c r="L66" s="87" t="s">
        <v>1215</v>
      </c>
      <c r="M66" s="168">
        <v>15</v>
      </c>
      <c r="N66" s="87">
        <v>0</v>
      </c>
      <c r="O66" s="168" t="s">
        <v>692</v>
      </c>
      <c r="P66" s="168">
        <v>16</v>
      </c>
      <c r="Q66" s="87">
        <v>0</v>
      </c>
      <c r="R66" s="168" t="s">
        <v>692</v>
      </c>
      <c r="S66" s="168">
        <v>17</v>
      </c>
      <c r="T66" s="87">
        <v>0</v>
      </c>
      <c r="U66" s="168" t="s">
        <v>692</v>
      </c>
      <c r="V66" s="168">
        <v>17</v>
      </c>
      <c r="W66" s="87">
        <v>0</v>
      </c>
      <c r="X66" s="168" t="s">
        <v>692</v>
      </c>
      <c r="Y66" s="87" t="s">
        <v>2997</v>
      </c>
      <c r="Z66" s="87" t="s">
        <v>2997</v>
      </c>
      <c r="AA66" s="87" t="s">
        <v>2997</v>
      </c>
      <c r="AB66" s="87" t="s">
        <v>2997</v>
      </c>
      <c r="AC66" s="87" t="s">
        <v>2997</v>
      </c>
      <c r="AD66" s="87" t="s">
        <v>2997</v>
      </c>
      <c r="AE66" s="87" t="s">
        <v>2997</v>
      </c>
      <c r="AF66" s="87" t="s">
        <v>2997</v>
      </c>
      <c r="AG66" s="87" t="s">
        <v>2997</v>
      </c>
      <c r="AH66" s="87" t="s">
        <v>2997</v>
      </c>
      <c r="AI66" s="87" t="s">
        <v>2997</v>
      </c>
      <c r="AJ66" s="87" t="s">
        <v>2997</v>
      </c>
      <c r="AK66" s="87" t="s">
        <v>2997</v>
      </c>
      <c r="AL66" s="87" t="s">
        <v>2997</v>
      </c>
      <c r="AM66" s="87" t="s">
        <v>2997</v>
      </c>
      <c r="AN66" s="87" t="s">
        <v>2997</v>
      </c>
      <c r="AO66" s="87" t="s">
        <v>2997</v>
      </c>
      <c r="AP66" s="87" t="s">
        <v>2997</v>
      </c>
      <c r="AQ66" s="87" t="s">
        <v>2997</v>
      </c>
      <c r="AR66" s="87" t="s">
        <v>2997</v>
      </c>
      <c r="AS66" s="87" t="s">
        <v>2997</v>
      </c>
      <c r="AT66" s="87" t="s">
        <v>2997</v>
      </c>
      <c r="AU66" s="87" t="s">
        <v>2997</v>
      </c>
      <c r="AV66" s="87" t="s">
        <v>2997</v>
      </c>
      <c r="AW66" s="87" t="s">
        <v>2997</v>
      </c>
      <c r="AX66" s="87" t="s">
        <v>2997</v>
      </c>
      <c r="AY66" s="87" t="s">
        <v>2997</v>
      </c>
      <c r="AZ66" s="21" t="e">
        <f>CHOOSE(CharGenMain!$C$206,G66,J66,M66,P66,S66,V66,Y66,AB66,AE66,AH66,AK66,AN66,AQ66,AT66,AW66)</f>
        <v>#VALUE!</v>
      </c>
      <c r="BA66" s="21" t="e">
        <f>CHOOSE(CharGenMain!$C$206,H66,K66,N66,Q66,T66,W66,Z66,AC66,AF66,AI66,AL66,AO66,AR66,AU66,AX66)</f>
        <v>#VALUE!</v>
      </c>
      <c r="BB66" s="21" t="e">
        <f>CHOOSE(CharGenMain!$C$206,I66,L66,O66,R66,U66,X66,AA66,AD66,AG66,AJ66,AM66,AP66,AS66,AV66,AY66)</f>
        <v>#VALUE!</v>
      </c>
      <c r="BC66" s="21" t="e">
        <f>CHOOSE(CharGenMain!$C$207,G66,J66,M66,P66,S66,V66,Y66,AB66,AE66,AH66,AK66,AN66,AQ66,AT66,AW66)</f>
        <v>#VALUE!</v>
      </c>
      <c r="BD66" s="21" t="e">
        <f>CHOOSE(CharGenMain!$C$207,H66,K66,N66,Q66,T66,W66,Z66,AC66,AF66,AI66,AL66,AO66,AR66,AU66,AX66)</f>
        <v>#VALUE!</v>
      </c>
      <c r="BE66" s="28" t="e">
        <f>CHOOSE(CharGenMain!$C$207,I66,L66,O66,R66,U66,X66,AA66,AD66,AG66,AJ66,AM66,AP66,AS66,AV66,AY66)</f>
        <v>#VALUE!</v>
      </c>
    </row>
    <row r="67" spans="1:57">
      <c r="A67" s="226" t="s">
        <v>693</v>
      </c>
      <c r="B67" s="167" t="s">
        <v>1060</v>
      </c>
      <c r="C67" s="14" t="s">
        <v>2667</v>
      </c>
      <c r="D67" s="14">
        <v>3</v>
      </c>
      <c r="E67" s="14">
        <v>3</v>
      </c>
      <c r="F67" s="14">
        <v>19</v>
      </c>
      <c r="G67" s="87">
        <v>11</v>
      </c>
      <c r="H67" s="87">
        <v>0</v>
      </c>
      <c r="I67" s="87" t="s">
        <v>1215</v>
      </c>
      <c r="J67" s="87">
        <v>13</v>
      </c>
      <c r="K67" s="87">
        <v>0</v>
      </c>
      <c r="L67" s="87" t="s">
        <v>1215</v>
      </c>
      <c r="M67" s="87">
        <v>15</v>
      </c>
      <c r="N67" s="87">
        <v>0</v>
      </c>
      <c r="O67" s="87" t="s">
        <v>1215</v>
      </c>
      <c r="P67" s="87" t="s">
        <v>2997</v>
      </c>
      <c r="Q67" s="87" t="s">
        <v>2997</v>
      </c>
      <c r="R67" s="87" t="s">
        <v>2997</v>
      </c>
      <c r="S67" s="87" t="s">
        <v>2997</v>
      </c>
      <c r="T67" s="87" t="s">
        <v>2997</v>
      </c>
      <c r="U67" s="87" t="s">
        <v>2997</v>
      </c>
      <c r="V67" s="87" t="s">
        <v>2997</v>
      </c>
      <c r="W67" s="87" t="s">
        <v>2997</v>
      </c>
      <c r="X67" s="87" t="s">
        <v>2997</v>
      </c>
      <c r="Y67" s="87" t="s">
        <v>2997</v>
      </c>
      <c r="Z67" s="87" t="s">
        <v>2997</v>
      </c>
      <c r="AA67" s="87" t="s">
        <v>2997</v>
      </c>
      <c r="AB67" s="87" t="s">
        <v>2997</v>
      </c>
      <c r="AC67" s="87" t="s">
        <v>2997</v>
      </c>
      <c r="AD67" s="87" t="s">
        <v>2997</v>
      </c>
      <c r="AE67" s="87" t="s">
        <v>2997</v>
      </c>
      <c r="AF67" s="87" t="s">
        <v>2997</v>
      </c>
      <c r="AG67" s="87" t="s">
        <v>2997</v>
      </c>
      <c r="AH67" s="87" t="s">
        <v>2997</v>
      </c>
      <c r="AI67" s="87" t="s">
        <v>2997</v>
      </c>
      <c r="AJ67" s="87" t="s">
        <v>2997</v>
      </c>
      <c r="AK67" s="87" t="s">
        <v>2997</v>
      </c>
      <c r="AL67" s="87" t="s">
        <v>2997</v>
      </c>
      <c r="AM67" s="87" t="s">
        <v>2997</v>
      </c>
      <c r="AN67" s="87" t="s">
        <v>2997</v>
      </c>
      <c r="AO67" s="87" t="s">
        <v>2997</v>
      </c>
      <c r="AP67" s="87" t="s">
        <v>2997</v>
      </c>
      <c r="AQ67" s="87" t="s">
        <v>2997</v>
      </c>
      <c r="AR67" s="87" t="s">
        <v>2997</v>
      </c>
      <c r="AS67" s="87" t="s">
        <v>2997</v>
      </c>
      <c r="AT67" s="87" t="s">
        <v>2997</v>
      </c>
      <c r="AU67" s="87" t="s">
        <v>2997</v>
      </c>
      <c r="AV67" s="87" t="s">
        <v>2997</v>
      </c>
      <c r="AW67" s="87" t="s">
        <v>2997</v>
      </c>
      <c r="AX67" s="87" t="s">
        <v>2997</v>
      </c>
      <c r="AY67" s="87" t="s">
        <v>2997</v>
      </c>
      <c r="AZ67" s="21" t="e">
        <f>CHOOSE(CharGenMain!$C$206,G67,J67,M67,P67,S67,V67,Y67,AB67,AE67,AH67,AK67,AN67,AQ67,AT67,AW67)</f>
        <v>#VALUE!</v>
      </c>
      <c r="BA67" s="21" t="e">
        <f>CHOOSE(CharGenMain!$C$206,H67,K67,N67,Q67,T67,W67,Z67,AC67,AF67,AI67,AL67,AO67,AR67,AU67,AX67)</f>
        <v>#VALUE!</v>
      </c>
      <c r="BB67" s="21" t="e">
        <f>CHOOSE(CharGenMain!$C$206,I67,L67,O67,R67,U67,X67,AA67,AD67,AG67,AJ67,AM67,AP67,AS67,AV67,AY67)</f>
        <v>#VALUE!</v>
      </c>
      <c r="BC67" s="21" t="e">
        <f>CHOOSE(CharGenMain!$C$207,G67,J67,M67,P67,S67,V67,Y67,AB67,AE67,AH67,AK67,AN67,AQ67,AT67,AW67)</f>
        <v>#VALUE!</v>
      </c>
      <c r="BD67" s="21" t="e">
        <f>CHOOSE(CharGenMain!$C$207,H67,K67,N67,Q67,T67,W67,Z67,AC67,AF67,AI67,AL67,AO67,AR67,AU67,AX67)</f>
        <v>#VALUE!</v>
      </c>
      <c r="BE67" s="28" t="e">
        <f>CHOOSE(CharGenMain!$C$207,I67,L67,O67,R67,U67,X67,AA67,AD67,AG67,AJ67,AM67,AP67,AS67,AV67,AY67)</f>
        <v>#VALUE!</v>
      </c>
    </row>
    <row r="68" spans="1:57">
      <c r="A68" s="226" t="s">
        <v>694</v>
      </c>
      <c r="B68" s="167" t="s">
        <v>695</v>
      </c>
      <c r="C68" s="14" t="s">
        <v>2667</v>
      </c>
      <c r="D68" s="14">
        <v>2</v>
      </c>
      <c r="E68" s="14">
        <v>4</v>
      </c>
      <c r="F68" s="14">
        <v>15</v>
      </c>
      <c r="G68" s="87">
        <v>6</v>
      </c>
      <c r="H68" s="87">
        <v>0</v>
      </c>
      <c r="I68" s="87" t="s">
        <v>696</v>
      </c>
      <c r="J68" s="87">
        <v>7</v>
      </c>
      <c r="K68" s="87">
        <v>0</v>
      </c>
      <c r="L68" s="87" t="s">
        <v>696</v>
      </c>
      <c r="M68" s="87">
        <v>8</v>
      </c>
      <c r="N68" s="87">
        <v>0</v>
      </c>
      <c r="O68" s="87" t="s">
        <v>561</v>
      </c>
      <c r="P68" s="87">
        <v>9</v>
      </c>
      <c r="Q68" s="87">
        <v>0</v>
      </c>
      <c r="R68" s="87" t="s">
        <v>561</v>
      </c>
      <c r="S68" s="87" t="s">
        <v>2997</v>
      </c>
      <c r="T68" s="87" t="s">
        <v>2997</v>
      </c>
      <c r="U68" s="87" t="s">
        <v>2997</v>
      </c>
      <c r="V68" s="87" t="s">
        <v>2997</v>
      </c>
      <c r="W68" s="87" t="s">
        <v>2997</v>
      </c>
      <c r="X68" s="87" t="s">
        <v>2997</v>
      </c>
      <c r="Y68" s="87" t="s">
        <v>2997</v>
      </c>
      <c r="Z68" s="87" t="s">
        <v>2997</v>
      </c>
      <c r="AA68" s="87" t="s">
        <v>2997</v>
      </c>
      <c r="AB68" s="87" t="s">
        <v>2997</v>
      </c>
      <c r="AC68" s="87" t="s">
        <v>2997</v>
      </c>
      <c r="AD68" s="87" t="s">
        <v>2997</v>
      </c>
      <c r="AE68" s="87" t="s">
        <v>2997</v>
      </c>
      <c r="AF68" s="87" t="s">
        <v>2997</v>
      </c>
      <c r="AG68" s="87" t="s">
        <v>2997</v>
      </c>
      <c r="AH68" s="87" t="s">
        <v>2997</v>
      </c>
      <c r="AI68" s="87" t="s">
        <v>2997</v>
      </c>
      <c r="AJ68" s="87" t="s">
        <v>2997</v>
      </c>
      <c r="AK68" s="87" t="s">
        <v>2997</v>
      </c>
      <c r="AL68" s="87" t="s">
        <v>2997</v>
      </c>
      <c r="AM68" s="87" t="s">
        <v>2997</v>
      </c>
      <c r="AN68" s="87" t="s">
        <v>2997</v>
      </c>
      <c r="AO68" s="87" t="s">
        <v>2997</v>
      </c>
      <c r="AP68" s="87" t="s">
        <v>2997</v>
      </c>
      <c r="AQ68" s="87" t="s">
        <v>2997</v>
      </c>
      <c r="AR68" s="87" t="s">
        <v>2997</v>
      </c>
      <c r="AS68" s="87" t="s">
        <v>2997</v>
      </c>
      <c r="AT68" s="87" t="s">
        <v>2997</v>
      </c>
      <c r="AU68" s="87" t="s">
        <v>2997</v>
      </c>
      <c r="AV68" s="87" t="s">
        <v>2997</v>
      </c>
      <c r="AW68" s="87" t="s">
        <v>2997</v>
      </c>
      <c r="AX68" s="87" t="s">
        <v>2997</v>
      </c>
      <c r="AY68" s="87" t="s">
        <v>2997</v>
      </c>
      <c r="AZ68" s="21" t="e">
        <f>CHOOSE(CharGenMain!$C$206,G68,J68,M68,P68,S68,V68,Y68,AB68,AE68,AH68,AK68,AN68,AQ68,AT68,AW68)</f>
        <v>#VALUE!</v>
      </c>
      <c r="BA68" s="21" t="e">
        <f>CHOOSE(CharGenMain!$C$206,H68,K68,N68,Q68,T68,W68,Z68,AC68,AF68,AI68,AL68,AO68,AR68,AU68,AX68)</f>
        <v>#VALUE!</v>
      </c>
      <c r="BB68" s="21" t="e">
        <f>CHOOSE(CharGenMain!$C$206,I68,L68,O68,R68,U68,X68,AA68,AD68,AG68,AJ68,AM68,AP68,AS68,AV68,AY68)</f>
        <v>#VALUE!</v>
      </c>
      <c r="BC68" s="21" t="e">
        <f>CHOOSE(CharGenMain!$C$207,G68,J68,M68,P68,S68,V68,Y68,AB68,AE68,AH68,AK68,AN68,AQ68,AT68,AW68)</f>
        <v>#VALUE!</v>
      </c>
      <c r="BD68" s="21" t="e">
        <f>CHOOSE(CharGenMain!$C$207,H68,K68,N68,Q68,T68,W68,Z68,AC68,AF68,AI68,AL68,AO68,AR68,AU68,AX68)</f>
        <v>#VALUE!</v>
      </c>
      <c r="BE68" s="28" t="e">
        <f>CHOOSE(CharGenMain!$C$207,I68,L68,O68,R68,U68,X68,AA68,AD68,AG68,AJ68,AM68,AP68,AS68,AV68,AY68)</f>
        <v>#VALUE!</v>
      </c>
    </row>
    <row r="69" spans="1:57">
      <c r="A69" s="226" t="s">
        <v>698</v>
      </c>
      <c r="B69" s="167" t="s">
        <v>1206</v>
      </c>
      <c r="C69" s="14" t="s">
        <v>2667</v>
      </c>
      <c r="D69" s="14">
        <v>1</v>
      </c>
      <c r="E69" s="14">
        <v>5</v>
      </c>
      <c r="F69" s="14">
        <v>14</v>
      </c>
      <c r="G69" s="168">
        <v>5</v>
      </c>
      <c r="H69" s="168">
        <v>0</v>
      </c>
      <c r="I69" s="168" t="s">
        <v>1215</v>
      </c>
      <c r="J69" s="168">
        <v>6</v>
      </c>
      <c r="K69" s="168">
        <v>0</v>
      </c>
      <c r="L69" s="168" t="s">
        <v>1215</v>
      </c>
      <c r="M69" s="168">
        <v>7</v>
      </c>
      <c r="N69" s="168">
        <v>0</v>
      </c>
      <c r="O69" s="209" t="s">
        <v>1215</v>
      </c>
      <c r="P69" s="210">
        <v>8</v>
      </c>
      <c r="Q69" s="210">
        <v>0</v>
      </c>
      <c r="R69" s="168" t="s">
        <v>1215</v>
      </c>
      <c r="S69" s="168">
        <v>8</v>
      </c>
      <c r="T69" s="168">
        <v>0</v>
      </c>
      <c r="U69" s="168" t="s">
        <v>699</v>
      </c>
      <c r="V69" s="87" t="s">
        <v>2997</v>
      </c>
      <c r="W69" s="87" t="s">
        <v>2997</v>
      </c>
      <c r="X69" s="87" t="s">
        <v>2997</v>
      </c>
      <c r="Y69" s="87" t="s">
        <v>2997</v>
      </c>
      <c r="Z69" s="87" t="s">
        <v>2997</v>
      </c>
      <c r="AA69" s="87" t="s">
        <v>2997</v>
      </c>
      <c r="AB69" s="87" t="s">
        <v>2997</v>
      </c>
      <c r="AC69" s="87" t="s">
        <v>2997</v>
      </c>
      <c r="AD69" s="87" t="s">
        <v>2997</v>
      </c>
      <c r="AE69" s="87" t="s">
        <v>2997</v>
      </c>
      <c r="AF69" s="87" t="s">
        <v>2997</v>
      </c>
      <c r="AG69" s="87" t="s">
        <v>2997</v>
      </c>
      <c r="AH69" s="87" t="s">
        <v>2997</v>
      </c>
      <c r="AI69" s="87" t="s">
        <v>2997</v>
      </c>
      <c r="AJ69" s="87" t="s">
        <v>2997</v>
      </c>
      <c r="AK69" s="87" t="s">
        <v>2997</v>
      </c>
      <c r="AL69" s="87" t="s">
        <v>2997</v>
      </c>
      <c r="AM69" s="87" t="s">
        <v>2997</v>
      </c>
      <c r="AN69" s="87" t="s">
        <v>2997</v>
      </c>
      <c r="AO69" s="87" t="s">
        <v>2997</v>
      </c>
      <c r="AP69" s="87" t="s">
        <v>2997</v>
      </c>
      <c r="AQ69" s="87" t="s">
        <v>2997</v>
      </c>
      <c r="AR69" s="87" t="s">
        <v>2997</v>
      </c>
      <c r="AS69" s="87" t="s">
        <v>2997</v>
      </c>
      <c r="AT69" s="87" t="s">
        <v>2997</v>
      </c>
      <c r="AU69" s="87" t="s">
        <v>2997</v>
      </c>
      <c r="AV69" s="87" t="s">
        <v>2997</v>
      </c>
      <c r="AW69" s="87" t="s">
        <v>2997</v>
      </c>
      <c r="AX69" s="87" t="s">
        <v>2997</v>
      </c>
      <c r="AY69" s="87" t="s">
        <v>2997</v>
      </c>
      <c r="AZ69" s="21" t="e">
        <f>CHOOSE(CharGenMain!$C$206,G69,J69,M69,P69,S69,V69,Y69,AB69,AE69,AH69,AK69,AN69,AQ69,AT69,AW69)</f>
        <v>#VALUE!</v>
      </c>
      <c r="BA69" s="21" t="e">
        <f>CHOOSE(CharGenMain!$C$206,H69,K69,N69,Q69,T69,W69,Z69,AC69,AF69,AI69,AL69,AO69,AR69,AU69,AX69)</f>
        <v>#VALUE!</v>
      </c>
      <c r="BB69" s="21" t="e">
        <f>CHOOSE(CharGenMain!$C$206,I69,L69,O69,R69,U69,X69,AA69,AD69,AG69,AJ69,AM69,AP69,AS69,AV69,AY69)</f>
        <v>#VALUE!</v>
      </c>
      <c r="BC69" s="21" t="e">
        <f>CHOOSE(CharGenMain!$C$207,G69,J69,M69,P69,S69,V69,Y69,AB69,AE69,AH69,AK69,AN69,AQ69,AT69,AW69)</f>
        <v>#VALUE!</v>
      </c>
      <c r="BD69" s="21" t="e">
        <f>CHOOSE(CharGenMain!$C$207,H69,K69,N69,Q69,T69,W69,Z69,AC69,AF69,AI69,AL69,AO69,AR69,AU69,AX69)</f>
        <v>#VALUE!</v>
      </c>
      <c r="BE69" s="28" t="e">
        <f>CHOOSE(CharGenMain!$C$207,I69,L69,O69,R69,U69,X69,AA69,AD69,AG69,AJ69,AM69,AP69,AS69,AV69,AY69)</f>
        <v>#VALUE!</v>
      </c>
    </row>
    <row r="70" spans="1:57">
      <c r="A70" s="20" t="s">
        <v>808</v>
      </c>
      <c r="B70" s="167" t="s">
        <v>4742</v>
      </c>
      <c r="C70" s="14" t="s">
        <v>2279</v>
      </c>
      <c r="D70" s="14">
        <v>4</v>
      </c>
      <c r="E70" s="14">
        <v>15</v>
      </c>
      <c r="F70" s="14">
        <v>26</v>
      </c>
      <c r="G70" s="168">
        <v>11</v>
      </c>
      <c r="H70" s="87">
        <v>0</v>
      </c>
      <c r="I70" s="87" t="s">
        <v>1089</v>
      </c>
      <c r="J70" s="87">
        <v>12</v>
      </c>
      <c r="K70" s="87">
        <v>0</v>
      </c>
      <c r="L70" s="87" t="s">
        <v>1090</v>
      </c>
      <c r="M70" s="87">
        <v>13</v>
      </c>
      <c r="N70" s="87">
        <v>1</v>
      </c>
      <c r="O70" s="87" t="s">
        <v>1093</v>
      </c>
      <c r="P70" s="87">
        <v>14</v>
      </c>
      <c r="Q70" s="87">
        <v>1</v>
      </c>
      <c r="R70" s="87" t="s">
        <v>1094</v>
      </c>
      <c r="S70" s="87">
        <v>15</v>
      </c>
      <c r="T70" s="87">
        <v>1</v>
      </c>
      <c r="U70" s="87" t="s">
        <v>1092</v>
      </c>
      <c r="V70" s="87">
        <v>16</v>
      </c>
      <c r="W70" s="87">
        <v>2</v>
      </c>
      <c r="X70" s="87" t="s">
        <v>894</v>
      </c>
      <c r="Y70" s="87">
        <v>17</v>
      </c>
      <c r="Z70" s="87">
        <v>2</v>
      </c>
      <c r="AA70" s="87" t="s">
        <v>809</v>
      </c>
      <c r="AB70" s="87">
        <v>18</v>
      </c>
      <c r="AC70" s="87">
        <v>2</v>
      </c>
      <c r="AD70" s="87" t="s">
        <v>810</v>
      </c>
      <c r="AE70" s="87">
        <v>19</v>
      </c>
      <c r="AF70" s="87">
        <v>3</v>
      </c>
      <c r="AG70" s="87" t="s">
        <v>811</v>
      </c>
      <c r="AH70" s="87">
        <v>20</v>
      </c>
      <c r="AI70" s="87">
        <v>3</v>
      </c>
      <c r="AJ70" s="87" t="s">
        <v>812</v>
      </c>
      <c r="AK70" s="87">
        <v>21</v>
      </c>
      <c r="AL70" s="87">
        <v>3</v>
      </c>
      <c r="AM70" s="87" t="s">
        <v>813</v>
      </c>
      <c r="AN70" s="87">
        <v>22</v>
      </c>
      <c r="AO70" s="87">
        <v>4</v>
      </c>
      <c r="AP70" s="87" t="s">
        <v>715</v>
      </c>
      <c r="AQ70" s="87">
        <v>23</v>
      </c>
      <c r="AR70" s="87">
        <v>4</v>
      </c>
      <c r="AS70" s="87" t="s">
        <v>717</v>
      </c>
      <c r="AT70" s="87">
        <v>24</v>
      </c>
      <c r="AU70" s="87">
        <v>4</v>
      </c>
      <c r="AV70" s="87" t="s">
        <v>824</v>
      </c>
      <c r="AW70" s="87">
        <v>25</v>
      </c>
      <c r="AX70" s="87">
        <v>5</v>
      </c>
      <c r="AY70" s="87" t="s">
        <v>825</v>
      </c>
      <c r="AZ70" s="21" t="e">
        <f>CHOOSE(CharGenMain!$C$206,G70,J70,M70,P70,S70,V70,Y70,AB70,AE70,AH70,AK70,AN70,AQ70,AT70,AW70)</f>
        <v>#VALUE!</v>
      </c>
      <c r="BA70" s="21" t="e">
        <f>CHOOSE(CharGenMain!$C$206,H70,K70,N70,Q70,T70,W70,Z70,AC70,AF70,AI70,AL70,AO70,AR70,AU70,AX70)</f>
        <v>#VALUE!</v>
      </c>
      <c r="BB70" s="21" t="e">
        <f>CHOOSE(CharGenMain!$C$206,I70,L70,O70,R70,U70,X70,AA70,AD70,AG70,AJ70,AM70,AP70,AS70,AV70,AY70)</f>
        <v>#VALUE!</v>
      </c>
      <c r="BC70" s="21" t="e">
        <f>CHOOSE(CharGenMain!$C$207,G70,J70,M70,P70,S70,V70,Y70,AB70,AE70,AH70,AK70,AN70,AQ70,AT70,AW70)</f>
        <v>#VALUE!</v>
      </c>
      <c r="BD70" s="21" t="e">
        <f>CHOOSE(CharGenMain!$C$207,H70,K70,N70,Q70,T70,W70,Z70,AC70,AF70,AI70,AL70,AO70,AR70,AU70,AX70)</f>
        <v>#VALUE!</v>
      </c>
      <c r="BE70" s="28" t="e">
        <f>CHOOSE(CharGenMain!$C$207,I70,L70,O70,R70,U70,X70,AA70,AD70,AG70,AJ70,AM70,AP70,AS70,AV70,AY70)</f>
        <v>#VALUE!</v>
      </c>
    </row>
    <row r="71" spans="1:57">
      <c r="A71" s="226" t="s">
        <v>826</v>
      </c>
      <c r="B71" s="167" t="s">
        <v>915</v>
      </c>
      <c r="C71" s="14" t="s">
        <v>2667</v>
      </c>
      <c r="D71" s="14">
        <v>3</v>
      </c>
      <c r="E71" s="14">
        <v>5</v>
      </c>
      <c r="F71" s="14">
        <v>16</v>
      </c>
      <c r="G71" s="168">
        <v>11</v>
      </c>
      <c r="H71" s="87">
        <v>0</v>
      </c>
      <c r="I71" s="206" t="s">
        <v>1033</v>
      </c>
      <c r="J71" s="87">
        <v>12</v>
      </c>
      <c r="K71" s="87">
        <v>0</v>
      </c>
      <c r="L71" s="206" t="s">
        <v>1034</v>
      </c>
      <c r="M71" s="87">
        <v>13</v>
      </c>
      <c r="N71" s="87">
        <v>0</v>
      </c>
      <c r="O71" s="206" t="s">
        <v>923</v>
      </c>
      <c r="P71" s="87">
        <v>14</v>
      </c>
      <c r="Q71" s="87">
        <v>0</v>
      </c>
      <c r="R71" s="206" t="s">
        <v>924</v>
      </c>
      <c r="S71" s="87">
        <v>14</v>
      </c>
      <c r="T71" s="87">
        <v>0</v>
      </c>
      <c r="U71" s="206" t="s">
        <v>829</v>
      </c>
      <c r="V71" s="87" t="s">
        <v>2997</v>
      </c>
      <c r="W71" s="87" t="s">
        <v>2997</v>
      </c>
      <c r="X71" s="87" t="s">
        <v>2997</v>
      </c>
      <c r="Y71" s="87" t="s">
        <v>2997</v>
      </c>
      <c r="Z71" s="87" t="s">
        <v>2997</v>
      </c>
      <c r="AA71" s="87" t="s">
        <v>2997</v>
      </c>
      <c r="AB71" s="87" t="s">
        <v>2997</v>
      </c>
      <c r="AC71" s="87" t="s">
        <v>2997</v>
      </c>
      <c r="AD71" s="87" t="s">
        <v>2997</v>
      </c>
      <c r="AE71" s="87" t="s">
        <v>2997</v>
      </c>
      <c r="AF71" s="87" t="s">
        <v>2997</v>
      </c>
      <c r="AG71" s="87" t="s">
        <v>2997</v>
      </c>
      <c r="AH71" s="87" t="s">
        <v>2997</v>
      </c>
      <c r="AI71" s="87" t="s">
        <v>2997</v>
      </c>
      <c r="AJ71" s="87" t="s">
        <v>2997</v>
      </c>
      <c r="AK71" s="87" t="s">
        <v>2997</v>
      </c>
      <c r="AL71" s="87" t="s">
        <v>2997</v>
      </c>
      <c r="AM71" s="87" t="s">
        <v>2997</v>
      </c>
      <c r="AN71" s="87" t="s">
        <v>2997</v>
      </c>
      <c r="AO71" s="87" t="s">
        <v>2997</v>
      </c>
      <c r="AP71" s="87" t="s">
        <v>2997</v>
      </c>
      <c r="AQ71" s="87" t="s">
        <v>2997</v>
      </c>
      <c r="AR71" s="87" t="s">
        <v>2997</v>
      </c>
      <c r="AS71" s="87" t="s">
        <v>2997</v>
      </c>
      <c r="AT71" s="87" t="s">
        <v>2997</v>
      </c>
      <c r="AU71" s="87" t="s">
        <v>2997</v>
      </c>
      <c r="AV71" s="87" t="s">
        <v>2997</v>
      </c>
      <c r="AW71" s="87" t="s">
        <v>2997</v>
      </c>
      <c r="AX71" s="87" t="s">
        <v>2997</v>
      </c>
      <c r="AY71" s="87" t="s">
        <v>2997</v>
      </c>
      <c r="AZ71" s="21" t="e">
        <f>CHOOSE(CharGenMain!$C$206,G71,J71,M71,P71,S71,V71,Y71,AB71,AE71,AH71,AK71,AN71,AQ71,AT71,AW71)</f>
        <v>#VALUE!</v>
      </c>
      <c r="BA71" s="21" t="e">
        <f>CHOOSE(CharGenMain!$C$206,H71,K71,N71,Q71,T71,W71,Z71,AC71,AF71,AI71,AL71,AO71,AR71,AU71,AX71)</f>
        <v>#VALUE!</v>
      </c>
      <c r="BB71" s="21" t="e">
        <f>CHOOSE(CharGenMain!$C$206,I71,L71,O71,R71,U71,X71,AA71,AD71,AG71,AJ71,AM71,AP71,AS71,AV71,AY71)</f>
        <v>#VALUE!</v>
      </c>
      <c r="BC71" s="21" t="e">
        <f>CHOOSE(CharGenMain!$C$207,G71,J71,M71,P71,S71,V71,Y71,AB71,AE71,AH71,AK71,AN71,AQ71,AT71,AW71)</f>
        <v>#VALUE!</v>
      </c>
      <c r="BD71" s="21" t="e">
        <f>CHOOSE(CharGenMain!$C$207,H71,K71,N71,Q71,T71,W71,Z71,AC71,AF71,AI71,AL71,AO71,AR71,AU71,AX71)</f>
        <v>#VALUE!</v>
      </c>
      <c r="BE71" s="28" t="e">
        <f>CHOOSE(CharGenMain!$C$207,I71,L71,O71,R71,U71,X71,AA71,AD71,AG71,AJ71,AM71,AP71,AS71,AV71,AY71)</f>
        <v>#VALUE!</v>
      </c>
    </row>
    <row r="72" spans="1:57">
      <c r="A72" s="205" t="s">
        <v>5861</v>
      </c>
      <c r="B72" s="167" t="s">
        <v>5862</v>
      </c>
      <c r="C72" s="14" t="s">
        <v>2279</v>
      </c>
      <c r="D72" s="14">
        <v>2</v>
      </c>
      <c r="E72" s="14">
        <v>4</v>
      </c>
      <c r="F72" s="14">
        <v>15</v>
      </c>
      <c r="G72" s="168">
        <v>14</v>
      </c>
      <c r="H72" s="168">
        <v>0</v>
      </c>
      <c r="I72" s="168" t="s">
        <v>5863</v>
      </c>
      <c r="J72" s="168">
        <v>15</v>
      </c>
      <c r="K72" s="168">
        <v>1</v>
      </c>
      <c r="L72" s="168" t="s">
        <v>5863</v>
      </c>
      <c r="M72" s="168">
        <v>16</v>
      </c>
      <c r="N72" s="168">
        <v>1</v>
      </c>
      <c r="O72" s="168" t="s">
        <v>5863</v>
      </c>
      <c r="P72" s="168">
        <v>17</v>
      </c>
      <c r="Q72" s="168">
        <v>3</v>
      </c>
      <c r="R72" s="168" t="s">
        <v>5863</v>
      </c>
      <c r="S72" s="87" t="s">
        <v>2997</v>
      </c>
      <c r="T72" s="87" t="s">
        <v>2997</v>
      </c>
      <c r="U72" s="87" t="s">
        <v>2997</v>
      </c>
      <c r="V72" s="87" t="s">
        <v>2997</v>
      </c>
      <c r="W72" s="87" t="s">
        <v>2997</v>
      </c>
      <c r="X72" s="87" t="s">
        <v>2997</v>
      </c>
      <c r="Y72" s="87" t="s">
        <v>2997</v>
      </c>
      <c r="Z72" s="87" t="s">
        <v>2997</v>
      </c>
      <c r="AA72" s="87" t="s">
        <v>2997</v>
      </c>
      <c r="AB72" s="87" t="s">
        <v>2997</v>
      </c>
      <c r="AC72" s="87" t="s">
        <v>2997</v>
      </c>
      <c r="AD72" s="87" t="s">
        <v>2997</v>
      </c>
      <c r="AE72" s="87" t="s">
        <v>2997</v>
      </c>
      <c r="AF72" s="87" t="s">
        <v>2997</v>
      </c>
      <c r="AG72" s="87" t="s">
        <v>2997</v>
      </c>
      <c r="AH72" s="87" t="s">
        <v>2997</v>
      </c>
      <c r="AI72" s="87" t="s">
        <v>2997</v>
      </c>
      <c r="AJ72" s="87" t="s">
        <v>2997</v>
      </c>
      <c r="AK72" s="87" t="s">
        <v>2997</v>
      </c>
      <c r="AL72" s="87" t="s">
        <v>2997</v>
      </c>
      <c r="AM72" s="87" t="s">
        <v>2997</v>
      </c>
      <c r="AN72" s="87" t="s">
        <v>2997</v>
      </c>
      <c r="AO72" s="87" t="s">
        <v>2997</v>
      </c>
      <c r="AP72" s="87" t="s">
        <v>2997</v>
      </c>
      <c r="AQ72" s="87" t="s">
        <v>2997</v>
      </c>
      <c r="AR72" s="87" t="s">
        <v>2997</v>
      </c>
      <c r="AS72" s="87" t="s">
        <v>2997</v>
      </c>
      <c r="AT72" s="87" t="s">
        <v>2997</v>
      </c>
      <c r="AU72" s="87" t="s">
        <v>2997</v>
      </c>
      <c r="AV72" s="87" t="s">
        <v>2997</v>
      </c>
      <c r="AW72" s="87" t="s">
        <v>2997</v>
      </c>
      <c r="AX72" s="87" t="s">
        <v>2997</v>
      </c>
      <c r="AY72" s="87" t="s">
        <v>2997</v>
      </c>
      <c r="AZ72" s="21" t="e">
        <f>CHOOSE(CharGenMain!$C$206,G72,J72,M72,P72,S72,V72,Y72,AB72,AE72,AH72,AK72,AN72,AQ72,AT72,AW72)</f>
        <v>#VALUE!</v>
      </c>
      <c r="BA72" s="21" t="e">
        <f>CHOOSE(CharGenMain!$C$206,H72,K72,N72,Q72,T72,W72,Z72,AC72,AF72,AI72,AL72,AO72,AR72,AU72,AX72)</f>
        <v>#VALUE!</v>
      </c>
      <c r="BB72" s="21" t="e">
        <f>CHOOSE(CharGenMain!$C$206,I72,L72,O72,R72,U72,X72,AA72,AD72,AG72,AJ72,AM72,AP72,AS72,AV72,AY72)</f>
        <v>#VALUE!</v>
      </c>
      <c r="BC72" s="21" t="e">
        <f>CHOOSE(CharGenMain!$C$207,G72,J72,M72,P72,S72,V72,Y72,AB72,AE72,AH72,AK72,AN72,AQ72,AT72,AW72)</f>
        <v>#VALUE!</v>
      </c>
      <c r="BD72" s="21" t="e">
        <f>CHOOSE(CharGenMain!$C$207,H72,K72,N72,Q72,T72,W72,Z72,AC72,AF72,AI72,AL72,AO72,AR72,AU72,AX72)</f>
        <v>#VALUE!</v>
      </c>
      <c r="BE72" s="28" t="e">
        <f>CHOOSE(CharGenMain!$C$207,I72,L72,O72,R72,U72,X72,AA72,AD72,AG72,AJ72,AM72,AP72,AS72,AV72,AY72)</f>
        <v>#VALUE!</v>
      </c>
    </row>
    <row r="73" spans="1:57">
      <c r="A73" s="226" t="s">
        <v>830</v>
      </c>
      <c r="B73" s="167" t="s">
        <v>1479</v>
      </c>
      <c r="C73" s="14" t="s">
        <v>2667</v>
      </c>
      <c r="D73" s="14">
        <v>1</v>
      </c>
      <c r="E73" s="14">
        <v>4</v>
      </c>
      <c r="F73" s="14">
        <v>14</v>
      </c>
      <c r="G73" s="168">
        <v>5</v>
      </c>
      <c r="H73" s="168">
        <v>0</v>
      </c>
      <c r="I73" s="168" t="s">
        <v>1215</v>
      </c>
      <c r="J73" s="168">
        <v>6</v>
      </c>
      <c r="K73" s="168">
        <v>0</v>
      </c>
      <c r="L73" s="168" t="s">
        <v>1215</v>
      </c>
      <c r="M73" s="168">
        <v>7</v>
      </c>
      <c r="N73" s="168">
        <v>0</v>
      </c>
      <c r="O73" s="168" t="s">
        <v>1215</v>
      </c>
      <c r="P73" s="168">
        <v>7</v>
      </c>
      <c r="Q73" s="168">
        <v>0</v>
      </c>
      <c r="R73" s="168" t="s">
        <v>831</v>
      </c>
      <c r="S73" s="87" t="s">
        <v>2997</v>
      </c>
      <c r="T73" s="87" t="s">
        <v>2997</v>
      </c>
      <c r="U73" s="87" t="s">
        <v>2997</v>
      </c>
      <c r="V73" s="87" t="s">
        <v>2997</v>
      </c>
      <c r="W73" s="87" t="s">
        <v>2997</v>
      </c>
      <c r="X73" s="87" t="s">
        <v>2997</v>
      </c>
      <c r="Y73" s="87" t="s">
        <v>2997</v>
      </c>
      <c r="Z73" s="87" t="s">
        <v>2997</v>
      </c>
      <c r="AA73" s="87" t="s">
        <v>2997</v>
      </c>
      <c r="AB73" s="87" t="s">
        <v>2997</v>
      </c>
      <c r="AC73" s="87" t="s">
        <v>2997</v>
      </c>
      <c r="AD73" s="87" t="s">
        <v>2997</v>
      </c>
      <c r="AE73" s="87" t="s">
        <v>2997</v>
      </c>
      <c r="AF73" s="87" t="s">
        <v>2997</v>
      </c>
      <c r="AG73" s="87" t="s">
        <v>2997</v>
      </c>
      <c r="AH73" s="87" t="s">
        <v>2997</v>
      </c>
      <c r="AI73" s="87" t="s">
        <v>2997</v>
      </c>
      <c r="AJ73" s="87" t="s">
        <v>2997</v>
      </c>
      <c r="AK73" s="87" t="s">
        <v>2997</v>
      </c>
      <c r="AL73" s="87" t="s">
        <v>2997</v>
      </c>
      <c r="AM73" s="87" t="s">
        <v>2997</v>
      </c>
      <c r="AN73" s="87" t="s">
        <v>2997</v>
      </c>
      <c r="AO73" s="87" t="s">
        <v>2997</v>
      </c>
      <c r="AP73" s="87" t="s">
        <v>2997</v>
      </c>
      <c r="AQ73" s="87" t="s">
        <v>2997</v>
      </c>
      <c r="AR73" s="87" t="s">
        <v>2997</v>
      </c>
      <c r="AS73" s="87" t="s">
        <v>2997</v>
      </c>
      <c r="AT73" s="87" t="s">
        <v>2997</v>
      </c>
      <c r="AU73" s="87" t="s">
        <v>2997</v>
      </c>
      <c r="AV73" s="87" t="s">
        <v>2997</v>
      </c>
      <c r="AW73" s="87" t="s">
        <v>2997</v>
      </c>
      <c r="AX73" s="87" t="s">
        <v>2997</v>
      </c>
      <c r="AY73" s="87" t="s">
        <v>2997</v>
      </c>
      <c r="AZ73" s="21" t="e">
        <f>CHOOSE(CharGenMain!$C$206,G73,J73,M73,P73,S73,V73,Y73,AB73,AE73,AH73,AK73,AN73,AQ73,AT73,AW73)</f>
        <v>#VALUE!</v>
      </c>
      <c r="BA73" s="21" t="e">
        <f>CHOOSE(CharGenMain!$C$206,H73,K73,N73,Q73,T73,W73,Z73,AC73,AF73,AI73,AL73,AO73,AR73,AU73,AX73)</f>
        <v>#VALUE!</v>
      </c>
      <c r="BB73" s="21" t="e">
        <f>CHOOSE(CharGenMain!$C$206,I73,L73,O73,R73,U73,X73,AA73,AD73,AG73,AJ73,AM73,AP73,AS73,AV73,AY73)</f>
        <v>#VALUE!</v>
      </c>
      <c r="BC73" s="21" t="e">
        <f>CHOOSE(CharGenMain!$C$207,G73,J73,M73,P73,S73,V73,Y73,AB73,AE73,AH73,AK73,AN73,AQ73,AT73,AW73)</f>
        <v>#VALUE!</v>
      </c>
      <c r="BD73" s="21" t="e">
        <f>CHOOSE(CharGenMain!$C$207,H73,K73,N73,Q73,T73,W73,Z73,AC73,AF73,AI73,AL73,AO73,AR73,AU73,AX73)</f>
        <v>#VALUE!</v>
      </c>
      <c r="BE73" s="28" t="e">
        <f>CHOOSE(CharGenMain!$C$207,I73,L73,O73,R73,U73,X73,AA73,AD73,AG73,AJ73,AM73,AP73,AS73,AV73,AY73)</f>
        <v>#VALUE!</v>
      </c>
    </row>
    <row r="74" spans="1:57">
      <c r="A74" s="205" t="s">
        <v>732</v>
      </c>
      <c r="B74" s="167" t="s">
        <v>1436</v>
      </c>
      <c r="C74" s="14" t="s">
        <v>2279</v>
      </c>
      <c r="D74" s="14">
        <v>3</v>
      </c>
      <c r="E74" s="14">
        <v>10</v>
      </c>
      <c r="F74" s="14">
        <v>19</v>
      </c>
      <c r="G74" s="168">
        <v>9</v>
      </c>
      <c r="H74" s="168">
        <v>0</v>
      </c>
      <c r="I74" s="168" t="s">
        <v>880</v>
      </c>
      <c r="J74" s="168">
        <v>10</v>
      </c>
      <c r="K74" s="168">
        <v>0</v>
      </c>
      <c r="L74" s="207" t="s">
        <v>733</v>
      </c>
      <c r="M74" s="168">
        <v>11</v>
      </c>
      <c r="N74" s="168">
        <v>0</v>
      </c>
      <c r="O74" s="207" t="s">
        <v>734</v>
      </c>
      <c r="P74" s="168">
        <v>12</v>
      </c>
      <c r="Q74" s="168">
        <v>0</v>
      </c>
      <c r="R74" s="207" t="s">
        <v>614</v>
      </c>
      <c r="S74" s="168">
        <v>13</v>
      </c>
      <c r="T74" s="168">
        <v>0</v>
      </c>
      <c r="U74" s="207" t="s">
        <v>615</v>
      </c>
      <c r="V74" s="168">
        <v>14</v>
      </c>
      <c r="W74" s="168">
        <v>0</v>
      </c>
      <c r="X74" s="207" t="s">
        <v>616</v>
      </c>
      <c r="Y74" s="168">
        <v>15</v>
      </c>
      <c r="Z74" s="168">
        <v>0</v>
      </c>
      <c r="AA74" s="207" t="s">
        <v>617</v>
      </c>
      <c r="AB74" s="168">
        <v>15</v>
      </c>
      <c r="AC74" s="168">
        <v>0</v>
      </c>
      <c r="AD74" s="207" t="s">
        <v>618</v>
      </c>
      <c r="AE74" s="168">
        <v>16</v>
      </c>
      <c r="AF74" s="168">
        <v>0</v>
      </c>
      <c r="AG74" s="207" t="s">
        <v>618</v>
      </c>
      <c r="AH74" s="168">
        <v>16</v>
      </c>
      <c r="AI74" s="168">
        <v>0</v>
      </c>
      <c r="AJ74" s="207" t="s">
        <v>618</v>
      </c>
      <c r="AK74" s="87" t="s">
        <v>2997</v>
      </c>
      <c r="AL74" s="87" t="s">
        <v>2997</v>
      </c>
      <c r="AM74" s="87" t="s">
        <v>2997</v>
      </c>
      <c r="AN74" s="87" t="s">
        <v>2997</v>
      </c>
      <c r="AO74" s="87" t="s">
        <v>2997</v>
      </c>
      <c r="AP74" s="87" t="s">
        <v>2997</v>
      </c>
      <c r="AQ74" s="87" t="s">
        <v>2997</v>
      </c>
      <c r="AR74" s="87" t="s">
        <v>2997</v>
      </c>
      <c r="AS74" s="87" t="s">
        <v>2997</v>
      </c>
      <c r="AT74" s="87" t="s">
        <v>2997</v>
      </c>
      <c r="AU74" s="87" t="s">
        <v>2997</v>
      </c>
      <c r="AV74" s="87" t="s">
        <v>2997</v>
      </c>
      <c r="AW74" s="87" t="s">
        <v>2997</v>
      </c>
      <c r="AX74" s="87" t="s">
        <v>2997</v>
      </c>
      <c r="AY74" s="87" t="s">
        <v>2997</v>
      </c>
      <c r="AZ74" s="21" t="e">
        <f>CHOOSE(CharGenMain!$C$206,G74,J74,M74,P74,S74,V74,Y74,AB74,AE74,AH74,AK74,AN74,AQ74,AT74,AW74)</f>
        <v>#VALUE!</v>
      </c>
      <c r="BA74" s="21" t="e">
        <f>CHOOSE(CharGenMain!$C$206,H74,K74,N74,Q74,T74,W74,Z74,AC74,AF74,AI74,AL74,AO74,AR74,AU74,AX74)</f>
        <v>#VALUE!</v>
      </c>
      <c r="BB74" s="21" t="e">
        <f>CHOOSE(CharGenMain!$C$206,I74,L74,O74,R74,U74,X74,AA74,AD74,AG74,AJ74,AM74,AP74,AS74,AV74,AY74)</f>
        <v>#VALUE!</v>
      </c>
      <c r="BC74" s="21" t="e">
        <f>CHOOSE(CharGenMain!$C$207,G74,J74,M74,P74,S74,V74,Y74,AB74,AE74,AH74,AK74,AN74,AQ74,AT74,AW74)</f>
        <v>#VALUE!</v>
      </c>
      <c r="BD74" s="21" t="e">
        <f>CHOOSE(CharGenMain!$C$207,H74,K74,N74,Q74,T74,W74,Z74,AC74,AF74,AI74,AL74,AO74,AR74,AU74,AX74)</f>
        <v>#VALUE!</v>
      </c>
      <c r="BE74" s="28" t="e">
        <f>CHOOSE(CharGenMain!$C$207,I74,L74,O74,R74,U74,X74,AA74,AD74,AG74,AJ74,AM74,AP74,AS74,AV74,AY74)</f>
        <v>#VALUE!</v>
      </c>
    </row>
    <row r="75" spans="1:57">
      <c r="A75" s="205" t="s">
        <v>288</v>
      </c>
      <c r="B75" s="167" t="s">
        <v>619</v>
      </c>
      <c r="C75" s="14" t="s">
        <v>2279</v>
      </c>
      <c r="D75" s="14">
        <v>3</v>
      </c>
      <c r="E75" s="14">
        <v>10</v>
      </c>
      <c r="F75" s="14">
        <v>18</v>
      </c>
      <c r="G75" s="168">
        <v>8</v>
      </c>
      <c r="H75" s="168">
        <v>0</v>
      </c>
      <c r="I75" s="168" t="s">
        <v>1215</v>
      </c>
      <c r="J75" s="168">
        <v>8</v>
      </c>
      <c r="K75" s="168">
        <v>0</v>
      </c>
      <c r="L75" s="207" t="s">
        <v>620</v>
      </c>
      <c r="M75" s="168">
        <v>9</v>
      </c>
      <c r="N75" s="168">
        <v>0</v>
      </c>
      <c r="O75" s="207" t="s">
        <v>621</v>
      </c>
      <c r="P75" s="168">
        <v>9</v>
      </c>
      <c r="Q75" s="168">
        <v>0</v>
      </c>
      <c r="R75" s="207" t="s">
        <v>622</v>
      </c>
      <c r="S75" s="168">
        <v>10</v>
      </c>
      <c r="T75" s="168">
        <v>0</v>
      </c>
      <c r="U75" s="207" t="s">
        <v>623</v>
      </c>
      <c r="V75" s="168">
        <v>10</v>
      </c>
      <c r="W75" s="168">
        <v>0</v>
      </c>
      <c r="X75" s="207" t="s">
        <v>497</v>
      </c>
      <c r="Y75" s="168">
        <v>11</v>
      </c>
      <c r="Z75" s="168">
        <v>0</v>
      </c>
      <c r="AA75" s="207" t="s">
        <v>756</v>
      </c>
      <c r="AB75" s="168">
        <v>11</v>
      </c>
      <c r="AC75" s="168">
        <v>0</v>
      </c>
      <c r="AD75" s="207" t="s">
        <v>757</v>
      </c>
      <c r="AE75" s="168">
        <v>11</v>
      </c>
      <c r="AF75" s="168">
        <v>0</v>
      </c>
      <c r="AG75" s="207" t="s">
        <v>758</v>
      </c>
      <c r="AH75" s="168">
        <v>11</v>
      </c>
      <c r="AI75" s="168">
        <v>0</v>
      </c>
      <c r="AJ75" s="207" t="s">
        <v>653</v>
      </c>
      <c r="AK75" s="87" t="s">
        <v>2997</v>
      </c>
      <c r="AL75" s="87" t="s">
        <v>2997</v>
      </c>
      <c r="AM75" s="87" t="s">
        <v>2997</v>
      </c>
      <c r="AN75" s="87" t="s">
        <v>2997</v>
      </c>
      <c r="AO75" s="87" t="s">
        <v>2997</v>
      </c>
      <c r="AP75" s="87" t="s">
        <v>2997</v>
      </c>
      <c r="AQ75" s="87" t="s">
        <v>2997</v>
      </c>
      <c r="AR75" s="87" t="s">
        <v>2997</v>
      </c>
      <c r="AS75" s="87" t="s">
        <v>2997</v>
      </c>
      <c r="AT75" s="87" t="s">
        <v>2997</v>
      </c>
      <c r="AU75" s="87" t="s">
        <v>2997</v>
      </c>
      <c r="AV75" s="87" t="s">
        <v>2997</v>
      </c>
      <c r="AW75" s="87" t="s">
        <v>2997</v>
      </c>
      <c r="AX75" s="87" t="s">
        <v>2997</v>
      </c>
      <c r="AY75" s="87" t="s">
        <v>2997</v>
      </c>
      <c r="AZ75" s="21" t="e">
        <f>CHOOSE(CharGenMain!$C$206,G75,J75,M75,P75,S75,V75,Y75,AB75,AE75,AH75,AK75,AN75,AQ75,AT75,AW75)</f>
        <v>#VALUE!</v>
      </c>
      <c r="BA75" s="21" t="e">
        <f>CHOOSE(CharGenMain!$C$206,H75,K75,N75,Q75,T75,W75,Z75,AC75,AF75,AI75,AL75,AO75,AR75,AU75,AX75)</f>
        <v>#VALUE!</v>
      </c>
      <c r="BB75" s="21" t="e">
        <f>CHOOSE(CharGenMain!$C$206,I75,L75,O75,R75,U75,X75,AA75,AD75,AG75,AJ75,AM75,AP75,AS75,AV75,AY75)</f>
        <v>#VALUE!</v>
      </c>
      <c r="BC75" s="21" t="e">
        <f>CHOOSE(CharGenMain!$C$207,G75,J75,M75,P75,S75,V75,Y75,AB75,AE75,AH75,AK75,AN75,AQ75,AT75,AW75)</f>
        <v>#VALUE!</v>
      </c>
      <c r="BD75" s="21" t="e">
        <f>CHOOSE(CharGenMain!$C$207,H75,K75,N75,Q75,T75,W75,Z75,AC75,AF75,AI75,AL75,AO75,AR75,AU75,AX75)</f>
        <v>#VALUE!</v>
      </c>
      <c r="BE75" s="28" t="e">
        <f>CHOOSE(CharGenMain!$C$207,I75,L75,O75,R75,U75,X75,AA75,AD75,AG75,AJ75,AM75,AP75,AS75,AV75,AY75)</f>
        <v>#VALUE!</v>
      </c>
    </row>
    <row r="76" spans="1:57">
      <c r="A76" s="205" t="s">
        <v>763</v>
      </c>
      <c r="B76" s="5" t="s">
        <v>289</v>
      </c>
      <c r="C76" s="14" t="s">
        <v>2279</v>
      </c>
      <c r="D76" s="14">
        <v>2</v>
      </c>
      <c r="E76" s="14">
        <v>5</v>
      </c>
      <c r="F76" s="14">
        <v>13</v>
      </c>
      <c r="G76" s="168">
        <v>9</v>
      </c>
      <c r="H76" s="168">
        <v>0</v>
      </c>
      <c r="I76" s="168" t="s">
        <v>1215</v>
      </c>
      <c r="J76" s="168">
        <v>9</v>
      </c>
      <c r="K76" s="168">
        <v>0</v>
      </c>
      <c r="L76" s="206" t="s">
        <v>2238</v>
      </c>
      <c r="M76" s="168">
        <v>9</v>
      </c>
      <c r="N76" s="168">
        <v>0</v>
      </c>
      <c r="O76" s="206" t="s">
        <v>516</v>
      </c>
      <c r="P76" s="168">
        <v>9</v>
      </c>
      <c r="Q76" s="168">
        <v>0</v>
      </c>
      <c r="R76" s="206" t="s">
        <v>654</v>
      </c>
      <c r="S76" s="168">
        <v>9</v>
      </c>
      <c r="T76" s="168">
        <v>0</v>
      </c>
      <c r="U76" s="206" t="s">
        <v>655</v>
      </c>
      <c r="V76" s="168"/>
      <c r="W76" s="168"/>
      <c r="X76" s="87" t="s">
        <v>2997</v>
      </c>
      <c r="Y76" s="87" t="s">
        <v>2997</v>
      </c>
      <c r="Z76" s="87" t="s">
        <v>2997</v>
      </c>
      <c r="AA76" s="87" t="s">
        <v>2997</v>
      </c>
      <c r="AB76" s="87" t="s">
        <v>2997</v>
      </c>
      <c r="AC76" s="87" t="s">
        <v>2997</v>
      </c>
      <c r="AD76" s="87" t="s">
        <v>2997</v>
      </c>
      <c r="AE76" s="87" t="s">
        <v>2997</v>
      </c>
      <c r="AF76" s="87" t="s">
        <v>2997</v>
      </c>
      <c r="AG76" s="87" t="s">
        <v>2997</v>
      </c>
      <c r="AH76" s="87" t="s">
        <v>2997</v>
      </c>
      <c r="AI76" s="87" t="s">
        <v>2997</v>
      </c>
      <c r="AJ76" s="87" t="s">
        <v>2997</v>
      </c>
      <c r="AK76" s="87" t="s">
        <v>2997</v>
      </c>
      <c r="AL76" s="87" t="s">
        <v>2997</v>
      </c>
      <c r="AM76" s="87" t="s">
        <v>2997</v>
      </c>
      <c r="AN76" s="87" t="s">
        <v>2997</v>
      </c>
      <c r="AO76" s="87" t="s">
        <v>2997</v>
      </c>
      <c r="AP76" s="87" t="s">
        <v>2997</v>
      </c>
      <c r="AQ76" s="87" t="s">
        <v>2997</v>
      </c>
      <c r="AR76" s="87" t="s">
        <v>2997</v>
      </c>
      <c r="AS76" s="87" t="s">
        <v>2997</v>
      </c>
      <c r="AT76" s="87" t="s">
        <v>2997</v>
      </c>
      <c r="AU76" s="87" t="s">
        <v>2997</v>
      </c>
      <c r="AV76" s="87" t="s">
        <v>2997</v>
      </c>
      <c r="AW76" s="87" t="s">
        <v>2997</v>
      </c>
      <c r="AX76" s="87" t="s">
        <v>2997</v>
      </c>
      <c r="AY76" s="87" t="s">
        <v>2997</v>
      </c>
      <c r="AZ76" s="21" t="e">
        <f>CHOOSE(CharGenMain!$C$206,G76,J76,M76,P76,S76,V76,Y76,AB76,AE76,AH76,AK76,AN76,AQ76,AT76,AW76)</f>
        <v>#VALUE!</v>
      </c>
      <c r="BA76" s="21" t="e">
        <f>CHOOSE(CharGenMain!$C$206,H76,K76,N76,Q76,T76,W76,Z76,AC76,AF76,AI76,AL76,AO76,AR76,AU76,AX76)</f>
        <v>#VALUE!</v>
      </c>
      <c r="BB76" s="21" t="e">
        <f>CHOOSE(CharGenMain!$C$206,I76,L76,O76,R76,U76,X76,AA76,AD76,AG76,AJ76,AM76,AP76,AS76,AV76,AY76)</f>
        <v>#VALUE!</v>
      </c>
      <c r="BC76" s="21" t="e">
        <f>CHOOSE(CharGenMain!$C$207,G76,J76,M76,P76,S76,V76,Y76,AB76,AE76,AH76,AK76,AN76,AQ76,AT76,AW76)</f>
        <v>#VALUE!</v>
      </c>
      <c r="BD76" s="21" t="e">
        <f>CHOOSE(CharGenMain!$C$207,H76,K76,N76,Q76,T76,W76,Z76,AC76,AF76,AI76,AL76,AO76,AR76,AU76,AX76)</f>
        <v>#VALUE!</v>
      </c>
      <c r="BE76" s="28" t="e">
        <f>CHOOSE(CharGenMain!$C$207,I76,L76,O76,R76,U76,X76,AA76,AD76,AG76,AJ76,AM76,AP76,AS76,AV76,AY76)</f>
        <v>#VALUE!</v>
      </c>
    </row>
    <row r="77" spans="1:57">
      <c r="A77" s="20" t="s">
        <v>774</v>
      </c>
      <c r="B77" s="167" t="s">
        <v>775</v>
      </c>
      <c r="C77" s="14" t="s">
        <v>2279</v>
      </c>
      <c r="D77" s="14">
        <v>1</v>
      </c>
      <c r="E77" s="14">
        <v>4</v>
      </c>
      <c r="F77" s="14">
        <v>12</v>
      </c>
      <c r="G77" s="87">
        <v>8</v>
      </c>
      <c r="H77" s="87">
        <v>0</v>
      </c>
      <c r="I77" s="87" t="s">
        <v>1215</v>
      </c>
      <c r="J77" s="87">
        <v>8</v>
      </c>
      <c r="K77" s="87">
        <v>2</v>
      </c>
      <c r="L77" s="87" t="s">
        <v>1215</v>
      </c>
      <c r="M77" s="87">
        <v>10</v>
      </c>
      <c r="N77" s="87">
        <v>2</v>
      </c>
      <c r="O77" s="87" t="s">
        <v>1215</v>
      </c>
      <c r="P77" s="87">
        <v>10</v>
      </c>
      <c r="Q77" s="87">
        <v>2</v>
      </c>
      <c r="R77" s="87" t="s">
        <v>776</v>
      </c>
      <c r="S77" s="87" t="s">
        <v>2997</v>
      </c>
      <c r="T77" s="87" t="s">
        <v>2997</v>
      </c>
      <c r="U77" s="87" t="s">
        <v>2997</v>
      </c>
      <c r="V77" s="87" t="s">
        <v>2997</v>
      </c>
      <c r="W77" s="87" t="s">
        <v>2997</v>
      </c>
      <c r="X77" s="87" t="s">
        <v>2997</v>
      </c>
      <c r="Y77" s="87" t="s">
        <v>2997</v>
      </c>
      <c r="Z77" s="87" t="s">
        <v>2997</v>
      </c>
      <c r="AA77" s="87" t="s">
        <v>2997</v>
      </c>
      <c r="AB77" s="87" t="s">
        <v>2997</v>
      </c>
      <c r="AC77" s="87" t="s">
        <v>2997</v>
      </c>
      <c r="AD77" s="87" t="s">
        <v>2997</v>
      </c>
      <c r="AE77" s="87" t="s">
        <v>2997</v>
      </c>
      <c r="AF77" s="87" t="s">
        <v>2997</v>
      </c>
      <c r="AG77" s="87" t="s">
        <v>2997</v>
      </c>
      <c r="AH77" s="87" t="s">
        <v>2997</v>
      </c>
      <c r="AI77" s="87" t="s">
        <v>2997</v>
      </c>
      <c r="AJ77" s="87" t="s">
        <v>2997</v>
      </c>
      <c r="AK77" s="87" t="s">
        <v>2997</v>
      </c>
      <c r="AL77" s="87" t="s">
        <v>2997</v>
      </c>
      <c r="AM77" s="87" t="s">
        <v>2997</v>
      </c>
      <c r="AN77" s="87" t="s">
        <v>2997</v>
      </c>
      <c r="AO77" s="87" t="s">
        <v>2997</v>
      </c>
      <c r="AP77" s="87" t="s">
        <v>2997</v>
      </c>
      <c r="AQ77" s="87" t="s">
        <v>2997</v>
      </c>
      <c r="AR77" s="87" t="s">
        <v>2997</v>
      </c>
      <c r="AS77" s="87" t="s">
        <v>2997</v>
      </c>
      <c r="AT77" s="87" t="s">
        <v>2997</v>
      </c>
      <c r="AU77" s="87" t="s">
        <v>2997</v>
      </c>
      <c r="AV77" s="87" t="s">
        <v>2997</v>
      </c>
      <c r="AW77" s="87" t="s">
        <v>2997</v>
      </c>
      <c r="AX77" s="87" t="s">
        <v>2997</v>
      </c>
      <c r="AY77" s="87" t="s">
        <v>2997</v>
      </c>
      <c r="AZ77" s="21" t="e">
        <f>CHOOSE(CharGenMain!$C$206,G77,J77,M77,P77,S77,V77,Y77,AB77,AE77,AH77,AK77,AN77,AQ77,AT77,AW77)</f>
        <v>#VALUE!</v>
      </c>
      <c r="BA77" s="21" t="e">
        <f>CHOOSE(CharGenMain!$C$206,H77,K77,N77,Q77,T77,W77,Z77,AC77,AF77,AI77,AL77,AO77,AR77,AU77,AX77)</f>
        <v>#VALUE!</v>
      </c>
      <c r="BB77" s="21" t="e">
        <f>CHOOSE(CharGenMain!$C$206,I77,L77,O77,R77,U77,X77,AA77,AD77,AG77,AJ77,AM77,AP77,AS77,AV77,AY77)</f>
        <v>#VALUE!</v>
      </c>
      <c r="BC77" s="21" t="e">
        <f>CHOOSE(CharGenMain!$C$207,G77,J77,M77,P77,S77,V77,Y77,AB77,AE77,AH77,AK77,AN77,AQ77,AT77,AW77)</f>
        <v>#VALUE!</v>
      </c>
      <c r="BD77" s="21" t="e">
        <f>CHOOSE(CharGenMain!$C$207,H77,K77,N77,Q77,T77,W77,Z77,AC77,AF77,AI77,AL77,AO77,AR77,AU77,AX77)</f>
        <v>#VALUE!</v>
      </c>
      <c r="BE77" s="28" t="e">
        <f>CHOOSE(CharGenMain!$C$207,I77,L77,O77,R77,U77,X77,AA77,AD77,AG77,AJ77,AM77,AP77,AS77,AV77,AY77)</f>
        <v>#VALUE!</v>
      </c>
    </row>
    <row r="78" spans="1:57">
      <c r="A78" s="20" t="s">
        <v>778</v>
      </c>
      <c r="B78" s="167" t="s">
        <v>1317</v>
      </c>
      <c r="C78" s="14" t="s">
        <v>2279</v>
      </c>
      <c r="D78" s="14">
        <v>2</v>
      </c>
      <c r="E78" s="14">
        <v>5</v>
      </c>
      <c r="F78" s="14">
        <v>11</v>
      </c>
      <c r="G78" s="87">
        <v>6</v>
      </c>
      <c r="H78" s="87">
        <v>0</v>
      </c>
      <c r="I78" s="87" t="s">
        <v>1215</v>
      </c>
      <c r="J78" s="87">
        <v>6</v>
      </c>
      <c r="K78" s="87">
        <v>0</v>
      </c>
      <c r="L78" s="206" t="s">
        <v>779</v>
      </c>
      <c r="M78" s="87">
        <v>6</v>
      </c>
      <c r="N78" s="87">
        <v>0</v>
      </c>
      <c r="O78" s="206" t="s">
        <v>966</v>
      </c>
      <c r="P78" s="87">
        <v>6</v>
      </c>
      <c r="Q78" s="87">
        <v>0</v>
      </c>
      <c r="R78" s="206" t="s">
        <v>967</v>
      </c>
      <c r="S78" s="87">
        <v>6</v>
      </c>
      <c r="T78" s="87">
        <v>0</v>
      </c>
      <c r="U78" s="206" t="s">
        <v>782</v>
      </c>
      <c r="V78" s="87" t="s">
        <v>2997</v>
      </c>
      <c r="W78" s="87" t="s">
        <v>2997</v>
      </c>
      <c r="X78" s="87" t="s">
        <v>2997</v>
      </c>
      <c r="Y78" s="87" t="s">
        <v>2997</v>
      </c>
      <c r="Z78" s="87" t="s">
        <v>2997</v>
      </c>
      <c r="AA78" s="87" t="s">
        <v>2997</v>
      </c>
      <c r="AB78" s="87" t="s">
        <v>2997</v>
      </c>
      <c r="AC78" s="87" t="s">
        <v>2997</v>
      </c>
      <c r="AD78" s="87" t="s">
        <v>2997</v>
      </c>
      <c r="AE78" s="87" t="s">
        <v>2997</v>
      </c>
      <c r="AF78" s="87" t="s">
        <v>2997</v>
      </c>
      <c r="AG78" s="87" t="s">
        <v>2997</v>
      </c>
      <c r="AH78" s="87" t="s">
        <v>2997</v>
      </c>
      <c r="AI78" s="87" t="s">
        <v>2997</v>
      </c>
      <c r="AJ78" s="87" t="s">
        <v>2997</v>
      </c>
      <c r="AK78" s="87" t="s">
        <v>2997</v>
      </c>
      <c r="AL78" s="87" t="s">
        <v>2997</v>
      </c>
      <c r="AM78" s="87" t="s">
        <v>2997</v>
      </c>
      <c r="AN78" s="87" t="s">
        <v>2997</v>
      </c>
      <c r="AO78" s="87" t="s">
        <v>2997</v>
      </c>
      <c r="AP78" s="87" t="s">
        <v>2997</v>
      </c>
      <c r="AQ78" s="87" t="s">
        <v>2997</v>
      </c>
      <c r="AR78" s="87" t="s">
        <v>2997</v>
      </c>
      <c r="AS78" s="87" t="s">
        <v>2997</v>
      </c>
      <c r="AT78" s="87" t="s">
        <v>2997</v>
      </c>
      <c r="AU78" s="87" t="s">
        <v>2997</v>
      </c>
      <c r="AV78" s="87" t="s">
        <v>2997</v>
      </c>
      <c r="AW78" s="87" t="s">
        <v>2997</v>
      </c>
      <c r="AX78" s="87" t="s">
        <v>2997</v>
      </c>
      <c r="AY78" s="87" t="s">
        <v>2997</v>
      </c>
      <c r="AZ78" s="21" t="e">
        <f>CHOOSE(CharGenMain!$C$206,G78,J78,M78,P78,S78,V78,Y78,AB78,AE78,AH78,AK78,AN78,AQ78,AT78,AW78)</f>
        <v>#VALUE!</v>
      </c>
      <c r="BA78" s="21" t="e">
        <f>CHOOSE(CharGenMain!$C$206,H78,K78,N78,Q78,T78,W78,Z78,AC78,AF78,AI78,AL78,AO78,AR78,AU78,AX78)</f>
        <v>#VALUE!</v>
      </c>
      <c r="BB78" s="21" t="e">
        <f>CHOOSE(CharGenMain!$C$206,I78,L78,O78,R78,U78,X78,AA78,AD78,AG78,AJ78,AM78,AP78,AS78,AV78,AY78)</f>
        <v>#VALUE!</v>
      </c>
      <c r="BC78" s="21" t="e">
        <f>CHOOSE(CharGenMain!$C$207,G78,J78,M78,P78,S78,V78,Y78,AB78,AE78,AH78,AK78,AN78,AQ78,AT78,AW78)</f>
        <v>#VALUE!</v>
      </c>
      <c r="BD78" s="21" t="e">
        <f>CHOOSE(CharGenMain!$C$207,H78,K78,N78,Q78,T78,W78,Z78,AC78,AF78,AI78,AL78,AO78,AR78,AU78,AX78)</f>
        <v>#VALUE!</v>
      </c>
      <c r="BE78" s="28" t="e">
        <f>CHOOSE(CharGenMain!$C$207,I78,L78,O78,R78,U78,X78,AA78,AD78,AG78,AJ78,AM78,AP78,AS78,AV78,AY78)</f>
        <v>#VALUE!</v>
      </c>
    </row>
    <row r="79" spans="1:57">
      <c r="A79" s="20" t="s">
        <v>872</v>
      </c>
      <c r="B79" s="167" t="s">
        <v>1229</v>
      </c>
      <c r="C79" s="14" t="s">
        <v>2279</v>
      </c>
      <c r="D79" s="14">
        <v>3</v>
      </c>
      <c r="E79" s="14">
        <v>6</v>
      </c>
      <c r="F79" s="14">
        <v>13</v>
      </c>
      <c r="G79" s="87">
        <v>10</v>
      </c>
      <c r="H79" s="87">
        <v>0</v>
      </c>
      <c r="I79" s="206" t="s">
        <v>290</v>
      </c>
      <c r="J79" s="87">
        <v>10</v>
      </c>
      <c r="K79" s="87">
        <v>0</v>
      </c>
      <c r="L79" s="206" t="s">
        <v>873</v>
      </c>
      <c r="M79" s="87">
        <v>10</v>
      </c>
      <c r="N79" s="87">
        <v>0</v>
      </c>
      <c r="O79" s="206" t="s">
        <v>227</v>
      </c>
      <c r="P79" s="87">
        <v>10</v>
      </c>
      <c r="Q79" s="87">
        <v>2</v>
      </c>
      <c r="R79" s="206" t="s">
        <v>227</v>
      </c>
      <c r="S79" s="87">
        <v>10</v>
      </c>
      <c r="T79" s="87">
        <v>2</v>
      </c>
      <c r="U79" s="206" t="s">
        <v>228</v>
      </c>
      <c r="V79" s="87">
        <v>10</v>
      </c>
      <c r="W79" s="87">
        <v>2</v>
      </c>
      <c r="X79" s="206" t="s">
        <v>550</v>
      </c>
      <c r="Y79" s="87" t="s">
        <v>2997</v>
      </c>
      <c r="Z79" s="87" t="s">
        <v>2997</v>
      </c>
      <c r="AA79" s="87" t="s">
        <v>2997</v>
      </c>
      <c r="AB79" s="87" t="s">
        <v>2997</v>
      </c>
      <c r="AC79" s="87" t="s">
        <v>2997</v>
      </c>
      <c r="AD79" s="87" t="s">
        <v>2997</v>
      </c>
      <c r="AE79" s="87" t="s">
        <v>2997</v>
      </c>
      <c r="AF79" s="87" t="s">
        <v>2997</v>
      </c>
      <c r="AG79" s="87" t="s">
        <v>2997</v>
      </c>
      <c r="AH79" s="87" t="s">
        <v>2997</v>
      </c>
      <c r="AI79" s="87" t="s">
        <v>2997</v>
      </c>
      <c r="AJ79" s="87" t="s">
        <v>2997</v>
      </c>
      <c r="AK79" s="87" t="s">
        <v>2997</v>
      </c>
      <c r="AL79" s="87" t="s">
        <v>2997</v>
      </c>
      <c r="AM79" s="87" t="s">
        <v>2997</v>
      </c>
      <c r="AN79" s="87" t="s">
        <v>2997</v>
      </c>
      <c r="AO79" s="87" t="s">
        <v>2997</v>
      </c>
      <c r="AP79" s="87" t="s">
        <v>2997</v>
      </c>
      <c r="AQ79" s="87" t="s">
        <v>2997</v>
      </c>
      <c r="AR79" s="87" t="s">
        <v>2997</v>
      </c>
      <c r="AS79" s="87" t="s">
        <v>2997</v>
      </c>
      <c r="AT79" s="87" t="s">
        <v>2997</v>
      </c>
      <c r="AU79" s="87" t="s">
        <v>2997</v>
      </c>
      <c r="AV79" s="87" t="s">
        <v>2997</v>
      </c>
      <c r="AW79" s="87" t="s">
        <v>2997</v>
      </c>
      <c r="AX79" s="87" t="s">
        <v>2997</v>
      </c>
      <c r="AY79" s="87" t="s">
        <v>2997</v>
      </c>
      <c r="AZ79" s="21" t="e">
        <f>CHOOSE(CharGenMain!$C$206,G79,J79,M79,P79,S79,V79,Y79,AB79,AE79,AH79,AK79,AN79,AQ79,AT79,AW79)</f>
        <v>#VALUE!</v>
      </c>
      <c r="BA79" s="21" t="e">
        <f>CHOOSE(CharGenMain!$C$206,H79,K79,N79,Q79,T79,W79,Z79,AC79,AF79,AI79,AL79,AO79,AR79,AU79,AX79)</f>
        <v>#VALUE!</v>
      </c>
      <c r="BB79" s="21" t="e">
        <f>CHOOSE(CharGenMain!$C$206,I79,L79,O79,R79,U79,X79,AA79,AD79,AG79,AJ79,AM79,AP79,AS79,AV79,AY79)</f>
        <v>#VALUE!</v>
      </c>
      <c r="BC79" s="21" t="e">
        <f>CHOOSE(CharGenMain!$C$207,G79,J79,M79,P79,S79,V79,Y79,AB79,AE79,AH79,AK79,AN79,AQ79,AT79,AW79)</f>
        <v>#VALUE!</v>
      </c>
      <c r="BD79" s="21" t="e">
        <f>CHOOSE(CharGenMain!$C$207,H79,K79,N79,Q79,T79,W79,Z79,AC79,AF79,AI79,AL79,AO79,AR79,AU79,AX79)</f>
        <v>#VALUE!</v>
      </c>
      <c r="BE79" s="28" t="e">
        <f>CHOOSE(CharGenMain!$C$207,I79,L79,O79,R79,U79,X79,AA79,AD79,AG79,AJ79,AM79,AP79,AS79,AV79,AY79)</f>
        <v>#VALUE!</v>
      </c>
    </row>
    <row r="80" spans="1:57">
      <c r="A80" s="20" t="s">
        <v>551</v>
      </c>
      <c r="B80" s="167" t="s">
        <v>552</v>
      </c>
      <c r="C80" s="14" t="s">
        <v>2279</v>
      </c>
      <c r="D80" s="14">
        <v>4</v>
      </c>
      <c r="E80" s="14">
        <v>6</v>
      </c>
      <c r="F80" s="14">
        <v>23</v>
      </c>
      <c r="G80" s="87">
        <v>0</v>
      </c>
      <c r="H80" s="87">
        <v>0</v>
      </c>
      <c r="I80" s="206" t="s">
        <v>553</v>
      </c>
      <c r="J80" s="87">
        <v>5</v>
      </c>
      <c r="K80" s="87">
        <v>0</v>
      </c>
      <c r="L80" s="206" t="s">
        <v>553</v>
      </c>
      <c r="M80" s="87">
        <v>6</v>
      </c>
      <c r="N80" s="87">
        <v>0</v>
      </c>
      <c r="O80" s="206" t="s">
        <v>554</v>
      </c>
      <c r="P80" s="87">
        <v>7</v>
      </c>
      <c r="Q80" s="87">
        <v>0</v>
      </c>
      <c r="R80" s="206" t="s">
        <v>555</v>
      </c>
      <c r="S80" s="87">
        <v>8</v>
      </c>
      <c r="T80" s="87">
        <v>0</v>
      </c>
      <c r="U80" s="206" t="s">
        <v>555</v>
      </c>
      <c r="V80" s="87">
        <v>9</v>
      </c>
      <c r="W80" s="87">
        <v>0</v>
      </c>
      <c r="X80" s="206" t="s">
        <v>555</v>
      </c>
      <c r="Y80" s="87" t="s">
        <v>2997</v>
      </c>
      <c r="Z80" s="87" t="s">
        <v>2997</v>
      </c>
      <c r="AA80" s="87" t="s">
        <v>2997</v>
      </c>
      <c r="AB80" s="87" t="s">
        <v>2997</v>
      </c>
      <c r="AC80" s="87" t="s">
        <v>2997</v>
      </c>
      <c r="AD80" s="87" t="s">
        <v>2997</v>
      </c>
      <c r="AE80" s="87" t="s">
        <v>2997</v>
      </c>
      <c r="AF80" s="87" t="s">
        <v>2997</v>
      </c>
      <c r="AG80" s="87" t="s">
        <v>2997</v>
      </c>
      <c r="AH80" s="87" t="s">
        <v>2997</v>
      </c>
      <c r="AI80" s="87" t="s">
        <v>2997</v>
      </c>
      <c r="AJ80" s="87" t="s">
        <v>2997</v>
      </c>
      <c r="AK80" s="87" t="s">
        <v>2997</v>
      </c>
      <c r="AL80" s="87" t="s">
        <v>2997</v>
      </c>
      <c r="AM80" s="87" t="s">
        <v>2997</v>
      </c>
      <c r="AN80" s="87" t="s">
        <v>2997</v>
      </c>
      <c r="AO80" s="87" t="s">
        <v>2997</v>
      </c>
      <c r="AP80" s="87" t="s">
        <v>2997</v>
      </c>
      <c r="AQ80" s="87" t="s">
        <v>2997</v>
      </c>
      <c r="AR80" s="87" t="s">
        <v>2997</v>
      </c>
      <c r="AS80" s="87" t="s">
        <v>2997</v>
      </c>
      <c r="AT80" s="87" t="s">
        <v>2997</v>
      </c>
      <c r="AU80" s="87" t="s">
        <v>2997</v>
      </c>
      <c r="AV80" s="87" t="s">
        <v>2997</v>
      </c>
      <c r="AW80" s="87" t="s">
        <v>2997</v>
      </c>
      <c r="AX80" s="87" t="s">
        <v>2997</v>
      </c>
      <c r="AY80" s="87" t="s">
        <v>2997</v>
      </c>
      <c r="AZ80" s="21" t="e">
        <f>CHOOSE(CharGenMain!$C$206,G80,J80,M80,P80,S80,V80,Y80,AB80,AE80,AH80,AK80,AN80,AQ80,AT80,AW80)</f>
        <v>#VALUE!</v>
      </c>
      <c r="BA80" s="21" t="e">
        <f>CHOOSE(CharGenMain!$C$206,H80,K80,N80,Q80,T80,W80,Z80,AC80,AF80,AI80,AL80,AO80,AR80,AU80,AX80)</f>
        <v>#VALUE!</v>
      </c>
      <c r="BB80" s="21" t="e">
        <f>CHOOSE(CharGenMain!$C$206,I80,L80,O80,R80,U80,X80,AA80,AD80,AG80,AJ80,AM80,AP80,AS80,AV80,AY80)</f>
        <v>#VALUE!</v>
      </c>
      <c r="BC80" s="21" t="e">
        <f>CHOOSE(CharGenMain!$C$207,G80,J80,M80,P80,S80,V80,Y80,AB80,AE80,AH80,AK80,AN80,AQ80,AT80,AW80)</f>
        <v>#VALUE!</v>
      </c>
      <c r="BD80" s="21" t="e">
        <f>CHOOSE(CharGenMain!$C$207,H80,K80,N80,Q80,T80,W80,Z80,AC80,AF80,AI80,AL80,AO80,AR80,AU80,AX80)</f>
        <v>#VALUE!</v>
      </c>
      <c r="BE80" s="28" t="e">
        <f>CHOOSE(CharGenMain!$C$207,I80,L80,O80,R80,U80,X80,AA80,AD80,AG80,AJ80,AM80,AP80,AS80,AV80,AY80)</f>
        <v>#VALUE!</v>
      </c>
    </row>
    <row r="81" spans="1:57">
      <c r="A81" s="20" t="s">
        <v>556</v>
      </c>
      <c r="B81" s="167" t="s">
        <v>4742</v>
      </c>
      <c r="C81" s="14" t="s">
        <v>2279</v>
      </c>
      <c r="D81" s="14">
        <v>3</v>
      </c>
      <c r="E81" s="14">
        <v>10</v>
      </c>
      <c r="F81" s="14">
        <v>19</v>
      </c>
      <c r="G81" s="87">
        <v>15</v>
      </c>
      <c r="H81" s="87">
        <v>0</v>
      </c>
      <c r="I81" s="206" t="s">
        <v>557</v>
      </c>
      <c r="J81" s="87">
        <v>16</v>
      </c>
      <c r="K81" s="168">
        <v>0</v>
      </c>
      <c r="L81" s="206" t="s">
        <v>558</v>
      </c>
      <c r="M81" s="168">
        <v>17</v>
      </c>
      <c r="N81" s="168">
        <v>3</v>
      </c>
      <c r="O81" s="206" t="s">
        <v>559</v>
      </c>
      <c r="P81" s="168">
        <v>18</v>
      </c>
      <c r="Q81" s="168">
        <v>4</v>
      </c>
      <c r="R81" s="206" t="s">
        <v>560</v>
      </c>
      <c r="S81" s="168">
        <v>19</v>
      </c>
      <c r="T81" s="168">
        <v>5</v>
      </c>
      <c r="U81" s="206" t="s">
        <v>439</v>
      </c>
      <c r="V81" s="87">
        <v>20</v>
      </c>
      <c r="W81" s="168">
        <v>6</v>
      </c>
      <c r="X81" s="206" t="s">
        <v>439</v>
      </c>
      <c r="Y81" s="87">
        <v>21</v>
      </c>
      <c r="Z81" s="168">
        <v>7</v>
      </c>
      <c r="AA81" s="206" t="s">
        <v>439</v>
      </c>
      <c r="AB81" s="87">
        <v>22</v>
      </c>
      <c r="AC81" s="168">
        <v>8</v>
      </c>
      <c r="AD81" s="206" t="s">
        <v>439</v>
      </c>
      <c r="AE81" s="87">
        <v>23</v>
      </c>
      <c r="AF81" s="168">
        <v>9</v>
      </c>
      <c r="AG81" s="206" t="s">
        <v>439</v>
      </c>
      <c r="AH81" s="87">
        <v>24</v>
      </c>
      <c r="AI81" s="168">
        <v>10</v>
      </c>
      <c r="AJ81" s="206" t="s">
        <v>439</v>
      </c>
      <c r="AK81" s="87" t="s">
        <v>2997</v>
      </c>
      <c r="AL81" s="87" t="s">
        <v>2997</v>
      </c>
      <c r="AM81" s="87" t="s">
        <v>2997</v>
      </c>
      <c r="AN81" s="87" t="s">
        <v>2997</v>
      </c>
      <c r="AO81" s="87" t="s">
        <v>2997</v>
      </c>
      <c r="AP81" s="87" t="s">
        <v>2997</v>
      </c>
      <c r="AQ81" s="87" t="s">
        <v>2997</v>
      </c>
      <c r="AR81" s="87" t="s">
        <v>2997</v>
      </c>
      <c r="AS81" s="87" t="s">
        <v>2997</v>
      </c>
      <c r="AT81" s="87" t="s">
        <v>2997</v>
      </c>
      <c r="AU81" s="87" t="s">
        <v>2997</v>
      </c>
      <c r="AV81" s="87" t="s">
        <v>2997</v>
      </c>
      <c r="AW81" s="87" t="s">
        <v>2997</v>
      </c>
      <c r="AX81" s="87" t="s">
        <v>2997</v>
      </c>
      <c r="AY81" s="87" t="s">
        <v>2997</v>
      </c>
      <c r="AZ81" s="21" t="e">
        <f>CHOOSE(CharGenMain!$C$206,G81,J81,M81,P81,S81,V81,Y81,AB81,AE81,AH81,AK81,AN81,AQ81,AT81,AW81)</f>
        <v>#VALUE!</v>
      </c>
      <c r="BA81" s="21" t="e">
        <f>CHOOSE(CharGenMain!$C$206,H81,K81,N81,Q81,T81,W81,Z81,AC81,AF81,AI81,AL81,AO81,AR81,AU81,AX81)</f>
        <v>#VALUE!</v>
      </c>
      <c r="BB81" s="21" t="e">
        <f>CHOOSE(CharGenMain!$C$206,I81,L81,O81,R81,U81,X81,AA81,AD81,AG81,AJ81,AM81,AP81,AS81,AV81,AY81)</f>
        <v>#VALUE!</v>
      </c>
      <c r="BC81" s="21" t="e">
        <f>CHOOSE(CharGenMain!$C$207,G81,J81,M81,P81,S81,V81,Y81,AB81,AE81,AH81,AK81,AN81,AQ81,AT81,AW81)</f>
        <v>#VALUE!</v>
      </c>
      <c r="BD81" s="21" t="e">
        <f>CHOOSE(CharGenMain!$C$207,H81,K81,N81,Q81,T81,W81,Z81,AC81,AF81,AI81,AL81,AO81,AR81,AU81,AX81)</f>
        <v>#VALUE!</v>
      </c>
      <c r="BE81" s="28" t="e">
        <f>CHOOSE(CharGenMain!$C$207,I81,L81,O81,R81,U81,X81,AA81,AD81,AG81,AJ81,AM81,AP81,AS81,AV81,AY81)</f>
        <v>#VALUE!</v>
      </c>
    </row>
    <row r="82" spans="1:57">
      <c r="A82" s="20" t="s">
        <v>440</v>
      </c>
      <c r="B82" s="167" t="s">
        <v>1317</v>
      </c>
      <c r="C82" s="14" t="s">
        <v>2279</v>
      </c>
      <c r="D82" s="14">
        <v>1</v>
      </c>
      <c r="E82" s="14">
        <v>4</v>
      </c>
      <c r="F82" s="14">
        <v>12</v>
      </c>
      <c r="G82" s="87">
        <v>9</v>
      </c>
      <c r="H82" s="87">
        <v>0</v>
      </c>
      <c r="I82" s="206" t="s">
        <v>2238</v>
      </c>
      <c r="J82" s="87">
        <v>11</v>
      </c>
      <c r="K82" s="87">
        <v>0</v>
      </c>
      <c r="L82" s="206" t="s">
        <v>2238</v>
      </c>
      <c r="M82" s="87">
        <v>11</v>
      </c>
      <c r="N82" s="87">
        <v>0</v>
      </c>
      <c r="O82" s="206" t="s">
        <v>441</v>
      </c>
      <c r="P82" s="87">
        <v>13</v>
      </c>
      <c r="Q82" s="87">
        <v>0</v>
      </c>
      <c r="R82" s="206" t="s">
        <v>229</v>
      </c>
      <c r="S82" s="87" t="s">
        <v>2997</v>
      </c>
      <c r="T82" s="87" t="s">
        <v>2997</v>
      </c>
      <c r="U82" s="87" t="s">
        <v>2997</v>
      </c>
      <c r="V82" s="87" t="s">
        <v>2997</v>
      </c>
      <c r="W82" s="87" t="s">
        <v>2997</v>
      </c>
      <c r="X82" s="87" t="s">
        <v>2997</v>
      </c>
      <c r="Y82" s="87" t="s">
        <v>2997</v>
      </c>
      <c r="Z82" s="87" t="s">
        <v>2997</v>
      </c>
      <c r="AA82" s="87" t="s">
        <v>2997</v>
      </c>
      <c r="AB82" s="87" t="s">
        <v>2997</v>
      </c>
      <c r="AC82" s="87" t="s">
        <v>2997</v>
      </c>
      <c r="AD82" s="87" t="s">
        <v>2997</v>
      </c>
      <c r="AE82" s="87" t="s">
        <v>2997</v>
      </c>
      <c r="AF82" s="87" t="s">
        <v>2997</v>
      </c>
      <c r="AG82" s="87" t="s">
        <v>2997</v>
      </c>
      <c r="AH82" s="87" t="s">
        <v>2997</v>
      </c>
      <c r="AI82" s="87" t="s">
        <v>2997</v>
      </c>
      <c r="AJ82" s="87" t="s">
        <v>2997</v>
      </c>
      <c r="AK82" s="87" t="s">
        <v>2997</v>
      </c>
      <c r="AL82" s="87" t="s">
        <v>2997</v>
      </c>
      <c r="AM82" s="87" t="s">
        <v>2997</v>
      </c>
      <c r="AN82" s="87" t="s">
        <v>2997</v>
      </c>
      <c r="AO82" s="87" t="s">
        <v>2997</v>
      </c>
      <c r="AP82" s="87" t="s">
        <v>2997</v>
      </c>
      <c r="AQ82" s="87" t="s">
        <v>2997</v>
      </c>
      <c r="AR82" s="87" t="s">
        <v>2997</v>
      </c>
      <c r="AS82" s="87" t="s">
        <v>2997</v>
      </c>
      <c r="AT82" s="87" t="s">
        <v>2997</v>
      </c>
      <c r="AU82" s="87" t="s">
        <v>2997</v>
      </c>
      <c r="AV82" s="87" t="s">
        <v>2997</v>
      </c>
      <c r="AW82" s="87" t="s">
        <v>2997</v>
      </c>
      <c r="AX82" s="87" t="s">
        <v>2997</v>
      </c>
      <c r="AY82" s="87" t="s">
        <v>2997</v>
      </c>
      <c r="AZ82" s="21" t="e">
        <f>CHOOSE(CharGenMain!$C$206,G82,J82,M82,P82,S82,V82,Y82,AB82,AE82,AH82,AK82,AN82,AQ82,AT82,AW82)</f>
        <v>#VALUE!</v>
      </c>
      <c r="BA82" s="21" t="e">
        <f>CHOOSE(CharGenMain!$C$206,H82,K82,N82,Q82,T82,W82,Z82,AC82,AF82,AI82,AL82,AO82,AR82,AU82,AX82)</f>
        <v>#VALUE!</v>
      </c>
      <c r="BB82" s="21" t="e">
        <f>CHOOSE(CharGenMain!$C$206,I82,L82,O82,R82,U82,X82,AA82,AD82,AG82,AJ82,AM82,AP82,AS82,AV82,AY82)</f>
        <v>#VALUE!</v>
      </c>
      <c r="BC82" s="21" t="e">
        <f>CHOOSE(CharGenMain!$C$207,G82,J82,M82,P82,S82,V82,Y82,AB82,AE82,AH82,AK82,AN82,AQ82,AT82,AW82)</f>
        <v>#VALUE!</v>
      </c>
      <c r="BD82" s="21" t="e">
        <f>CHOOSE(CharGenMain!$C$207,H82,K82,N82,Q82,T82,W82,Z82,AC82,AF82,AI82,AL82,AO82,AR82,AU82,AX82)</f>
        <v>#VALUE!</v>
      </c>
      <c r="BE82" s="28" t="e">
        <f>CHOOSE(CharGenMain!$C$207,I82,L82,O82,R82,U82,X82,AA82,AD82,AG82,AJ82,AM82,AP82,AS82,AV82,AY82)</f>
        <v>#VALUE!</v>
      </c>
    </row>
    <row r="83" spans="1:57">
      <c r="A83" s="20" t="s">
        <v>700</v>
      </c>
      <c r="B83" s="167" t="s">
        <v>701</v>
      </c>
      <c r="C83" s="14" t="s">
        <v>2279</v>
      </c>
      <c r="D83" s="14">
        <v>2</v>
      </c>
      <c r="E83" s="14">
        <v>5</v>
      </c>
      <c r="F83" s="14">
        <v>12</v>
      </c>
      <c r="G83" s="87">
        <v>9</v>
      </c>
      <c r="H83" s="87">
        <v>0</v>
      </c>
      <c r="I83" s="87" t="s">
        <v>1215</v>
      </c>
      <c r="J83" s="87">
        <v>9</v>
      </c>
      <c r="K83" s="87">
        <v>0</v>
      </c>
      <c r="L83" s="206" t="s">
        <v>2359</v>
      </c>
      <c r="M83" s="87">
        <v>9</v>
      </c>
      <c r="N83" s="87">
        <v>0</v>
      </c>
      <c r="O83" s="206" t="s">
        <v>702</v>
      </c>
      <c r="P83" s="87">
        <v>10</v>
      </c>
      <c r="Q83" s="87">
        <v>0</v>
      </c>
      <c r="R83" s="206" t="s">
        <v>703</v>
      </c>
      <c r="S83" s="87">
        <v>10</v>
      </c>
      <c r="T83" s="87">
        <v>0</v>
      </c>
      <c r="U83" s="206" t="s">
        <v>704</v>
      </c>
      <c r="V83" s="87" t="s">
        <v>2997</v>
      </c>
      <c r="W83" s="87" t="s">
        <v>2997</v>
      </c>
      <c r="X83" s="87" t="s">
        <v>2997</v>
      </c>
      <c r="Y83" s="87" t="s">
        <v>2997</v>
      </c>
      <c r="Z83" s="87" t="s">
        <v>2997</v>
      </c>
      <c r="AA83" s="87" t="s">
        <v>2997</v>
      </c>
      <c r="AB83" s="87" t="s">
        <v>2997</v>
      </c>
      <c r="AC83" s="87" t="s">
        <v>2997</v>
      </c>
      <c r="AD83" s="87" t="s">
        <v>2997</v>
      </c>
      <c r="AE83" s="87" t="s">
        <v>2997</v>
      </c>
      <c r="AF83" s="87" t="s">
        <v>2997</v>
      </c>
      <c r="AG83" s="87" t="s">
        <v>2997</v>
      </c>
      <c r="AH83" s="87" t="s">
        <v>2997</v>
      </c>
      <c r="AI83" s="87" t="s">
        <v>2997</v>
      </c>
      <c r="AJ83" s="87" t="s">
        <v>2997</v>
      </c>
      <c r="AK83" s="87" t="s">
        <v>2997</v>
      </c>
      <c r="AL83" s="87" t="s">
        <v>2997</v>
      </c>
      <c r="AM83" s="87" t="s">
        <v>2997</v>
      </c>
      <c r="AN83" s="87" t="s">
        <v>2997</v>
      </c>
      <c r="AO83" s="87" t="s">
        <v>2997</v>
      </c>
      <c r="AP83" s="87" t="s">
        <v>2997</v>
      </c>
      <c r="AQ83" s="87" t="s">
        <v>2997</v>
      </c>
      <c r="AR83" s="87" t="s">
        <v>2997</v>
      </c>
      <c r="AS83" s="87" t="s">
        <v>2997</v>
      </c>
      <c r="AT83" s="87" t="s">
        <v>2997</v>
      </c>
      <c r="AU83" s="87" t="s">
        <v>2997</v>
      </c>
      <c r="AV83" s="87" t="s">
        <v>2997</v>
      </c>
      <c r="AW83" s="87" t="s">
        <v>2997</v>
      </c>
      <c r="AX83" s="87" t="s">
        <v>2997</v>
      </c>
      <c r="AY83" s="87" t="s">
        <v>2997</v>
      </c>
      <c r="AZ83" s="21" t="e">
        <f>CHOOSE(CharGenMain!$C$206,G83,J83,M83,P83,S83,V83,Y83,AB83,AE83,AH83,AK83,AN83,AQ83,AT83,AW83)</f>
        <v>#VALUE!</v>
      </c>
      <c r="BA83" s="21" t="e">
        <f>CHOOSE(CharGenMain!$C$206,H83,K83,N83,Q83,T83,W83,Z83,AC83,AF83,AI83,AL83,AO83,AR83,AU83,AX83)</f>
        <v>#VALUE!</v>
      </c>
      <c r="BB83" s="21" t="e">
        <f>CHOOSE(CharGenMain!$C$206,I83,L83,O83,R83,U83,X83,AA83,AD83,AG83,AJ83,AM83,AP83,AS83,AV83,AY83)</f>
        <v>#VALUE!</v>
      </c>
      <c r="BC83" s="21" t="e">
        <f>CHOOSE(CharGenMain!$C$207,G83,J83,M83,P83,S83,V83,Y83,AB83,AE83,AH83,AK83,AN83,AQ83,AT83,AW83)</f>
        <v>#VALUE!</v>
      </c>
      <c r="BD83" s="21" t="e">
        <f>CHOOSE(CharGenMain!$C$207,H83,K83,N83,Q83,T83,W83,Z83,AC83,AF83,AI83,AL83,AO83,AR83,AU83,AX83)</f>
        <v>#VALUE!</v>
      </c>
      <c r="BE83" s="28" t="e">
        <f>CHOOSE(CharGenMain!$C$207,I83,L83,O83,R83,U83,X83,AA83,AD83,AG83,AJ83,AM83,AP83,AS83,AV83,AY83)</f>
        <v>#VALUE!</v>
      </c>
    </row>
    <row r="84" spans="1:57">
      <c r="A84" s="20" t="s">
        <v>230</v>
      </c>
      <c r="B84" s="167" t="s">
        <v>777</v>
      </c>
      <c r="C84" s="14" t="s">
        <v>2279</v>
      </c>
      <c r="D84" s="14">
        <v>3</v>
      </c>
      <c r="E84" s="14">
        <v>9</v>
      </c>
      <c r="F84" s="14">
        <v>22</v>
      </c>
      <c r="G84" s="168">
        <v>10</v>
      </c>
      <c r="H84" s="168">
        <v>0</v>
      </c>
      <c r="I84" s="168" t="s">
        <v>1125</v>
      </c>
      <c r="J84" s="168">
        <v>11</v>
      </c>
      <c r="K84" s="168">
        <v>0</v>
      </c>
      <c r="L84" s="168" t="s">
        <v>1125</v>
      </c>
      <c r="M84" s="168">
        <v>11</v>
      </c>
      <c r="N84" s="168">
        <v>0</v>
      </c>
      <c r="O84" s="168" t="s">
        <v>1125</v>
      </c>
      <c r="P84" s="168">
        <v>12</v>
      </c>
      <c r="Q84" s="168">
        <v>0</v>
      </c>
      <c r="R84" s="168" t="s">
        <v>1125</v>
      </c>
      <c r="S84" s="168">
        <v>12</v>
      </c>
      <c r="T84" s="168">
        <v>0</v>
      </c>
      <c r="U84" s="168" t="s">
        <v>1125</v>
      </c>
      <c r="V84" s="168">
        <v>13</v>
      </c>
      <c r="W84" s="168">
        <v>0</v>
      </c>
      <c r="X84" s="168" t="s">
        <v>1125</v>
      </c>
      <c r="Y84" s="168">
        <v>13</v>
      </c>
      <c r="Z84" s="168">
        <v>0</v>
      </c>
      <c r="AA84" s="168" t="s">
        <v>1125</v>
      </c>
      <c r="AB84" s="168">
        <v>14</v>
      </c>
      <c r="AC84" s="168">
        <v>0</v>
      </c>
      <c r="AD84" s="168" t="s">
        <v>1125</v>
      </c>
      <c r="AE84" s="168">
        <v>14</v>
      </c>
      <c r="AF84" s="168">
        <v>0</v>
      </c>
      <c r="AG84" s="168" t="s">
        <v>1125</v>
      </c>
      <c r="AH84" s="87" t="s">
        <v>2997</v>
      </c>
      <c r="AI84" s="87" t="s">
        <v>2997</v>
      </c>
      <c r="AJ84" s="87" t="s">
        <v>2997</v>
      </c>
      <c r="AK84" s="87" t="s">
        <v>2997</v>
      </c>
      <c r="AL84" s="87" t="s">
        <v>2997</v>
      </c>
      <c r="AM84" s="87" t="s">
        <v>2997</v>
      </c>
      <c r="AN84" s="87" t="s">
        <v>2997</v>
      </c>
      <c r="AO84" s="87" t="s">
        <v>2997</v>
      </c>
      <c r="AP84" s="87" t="s">
        <v>2997</v>
      </c>
      <c r="AQ84" s="87" t="s">
        <v>2997</v>
      </c>
      <c r="AR84" s="87" t="s">
        <v>2997</v>
      </c>
      <c r="AS84" s="87" t="s">
        <v>2997</v>
      </c>
      <c r="AT84" s="87" t="s">
        <v>2997</v>
      </c>
      <c r="AU84" s="87" t="s">
        <v>2997</v>
      </c>
      <c r="AV84" s="87" t="s">
        <v>2997</v>
      </c>
      <c r="AW84" s="87" t="s">
        <v>2997</v>
      </c>
      <c r="AX84" s="87" t="s">
        <v>2997</v>
      </c>
      <c r="AY84" s="87" t="s">
        <v>2997</v>
      </c>
      <c r="AZ84" s="21" t="e">
        <f>CHOOSE(CharGenMain!$C$206,G84,J84,M84,P84,S84,V84,Y84,AB84,AE84,AH84,AK84,AN84,AQ84,AT84,AW84)</f>
        <v>#VALUE!</v>
      </c>
      <c r="BA84" s="21" t="e">
        <f>CHOOSE(CharGenMain!$C$206,H84,K84,N84,Q84,T84,W84,Z84,AC84,AF84,AI84,AL84,AO84,AR84,AU84,AX84)</f>
        <v>#VALUE!</v>
      </c>
      <c r="BB84" s="21" t="e">
        <f>CHOOSE(CharGenMain!$C$206,I84,L84,O84,R84,U84,X84,AA84,AD84,AG84,AJ84,AM84,AP84,AS84,AV84,AY84)</f>
        <v>#VALUE!</v>
      </c>
      <c r="BC84" s="21" t="e">
        <f>CHOOSE(CharGenMain!$C$207,G84,J84,M84,P84,S84,V84,Y84,AB84,AE84,AH84,AK84,AN84,AQ84,AT84,AW84)</f>
        <v>#VALUE!</v>
      </c>
      <c r="BD84" s="21" t="e">
        <f>CHOOSE(CharGenMain!$C$207,H84,K84,N84,Q84,T84,W84,Z84,AC84,AF84,AI84,AL84,AO84,AR84,AU84,AX84)</f>
        <v>#VALUE!</v>
      </c>
      <c r="BE84" s="28" t="e">
        <f>CHOOSE(CharGenMain!$C$207,I84,L84,O84,R84,U84,X84,AA84,AD84,AG84,AJ84,AM84,AP84,AS84,AV84,AY84)</f>
        <v>#VALUE!</v>
      </c>
    </row>
    <row r="85" spans="1:57">
      <c r="A85" s="20" t="s">
        <v>705</v>
      </c>
      <c r="B85" s="167" t="s">
        <v>706</v>
      </c>
      <c r="C85" s="14" t="s">
        <v>2279</v>
      </c>
      <c r="D85" s="14">
        <v>3</v>
      </c>
      <c r="E85" s="14">
        <v>5</v>
      </c>
      <c r="F85" s="14">
        <v>18</v>
      </c>
      <c r="G85" s="87">
        <v>6</v>
      </c>
      <c r="H85" s="87">
        <v>0</v>
      </c>
      <c r="I85" s="87" t="s">
        <v>2578</v>
      </c>
      <c r="J85" s="87">
        <v>7</v>
      </c>
      <c r="K85" s="87">
        <v>0</v>
      </c>
      <c r="L85" s="87" t="s">
        <v>2578</v>
      </c>
      <c r="M85" s="87">
        <v>7</v>
      </c>
      <c r="N85" s="87">
        <v>0</v>
      </c>
      <c r="O85" s="87" t="s">
        <v>2578</v>
      </c>
      <c r="P85" s="87">
        <v>7</v>
      </c>
      <c r="Q85" s="87">
        <v>0</v>
      </c>
      <c r="R85" s="87" t="s">
        <v>2578</v>
      </c>
      <c r="S85" s="87">
        <v>7</v>
      </c>
      <c r="T85" s="87">
        <v>0</v>
      </c>
      <c r="U85" s="87" t="s">
        <v>2578</v>
      </c>
      <c r="V85" s="87" t="s">
        <v>2997</v>
      </c>
      <c r="W85" s="87" t="s">
        <v>2997</v>
      </c>
      <c r="X85" s="87" t="s">
        <v>2997</v>
      </c>
      <c r="Y85" s="87" t="s">
        <v>2997</v>
      </c>
      <c r="Z85" s="87" t="s">
        <v>2997</v>
      </c>
      <c r="AA85" s="87" t="s">
        <v>2997</v>
      </c>
      <c r="AB85" s="87" t="s">
        <v>2997</v>
      </c>
      <c r="AC85" s="87" t="s">
        <v>2997</v>
      </c>
      <c r="AD85" s="87" t="s">
        <v>2997</v>
      </c>
      <c r="AE85" s="87" t="s">
        <v>2997</v>
      </c>
      <c r="AF85" s="87" t="s">
        <v>2997</v>
      </c>
      <c r="AG85" s="87" t="s">
        <v>2997</v>
      </c>
      <c r="AH85" s="87" t="s">
        <v>2997</v>
      </c>
      <c r="AI85" s="87" t="s">
        <v>2997</v>
      </c>
      <c r="AJ85" s="87" t="s">
        <v>2997</v>
      </c>
      <c r="AK85" s="87" t="s">
        <v>2997</v>
      </c>
      <c r="AL85" s="87" t="s">
        <v>2997</v>
      </c>
      <c r="AM85" s="87" t="s">
        <v>2997</v>
      </c>
      <c r="AN85" s="87" t="s">
        <v>2997</v>
      </c>
      <c r="AO85" s="87" t="s">
        <v>2997</v>
      </c>
      <c r="AP85" s="87" t="s">
        <v>2997</v>
      </c>
      <c r="AQ85" s="87" t="s">
        <v>2997</v>
      </c>
      <c r="AR85" s="87" t="s">
        <v>2997</v>
      </c>
      <c r="AS85" s="87" t="s">
        <v>2997</v>
      </c>
      <c r="AT85" s="87" t="s">
        <v>2997</v>
      </c>
      <c r="AU85" s="87" t="s">
        <v>2997</v>
      </c>
      <c r="AV85" s="87" t="s">
        <v>2997</v>
      </c>
      <c r="AW85" s="87" t="s">
        <v>2997</v>
      </c>
      <c r="AX85" s="87" t="s">
        <v>2997</v>
      </c>
      <c r="AY85" s="87" t="s">
        <v>2997</v>
      </c>
      <c r="AZ85" s="21" t="e">
        <f>CHOOSE(CharGenMain!$C$206,G85,J85,M85,P85,S85,V85,Y85,AB85,AE85,AH85,AK85,AN85,AQ85,AT85,AW85)</f>
        <v>#VALUE!</v>
      </c>
      <c r="BA85" s="21" t="e">
        <f>CHOOSE(CharGenMain!$C$206,H85,K85,N85,Q85,T85,W85,Z85,AC85,AF85,AI85,AL85,AO85,AR85,AU85,AX85)</f>
        <v>#VALUE!</v>
      </c>
      <c r="BB85" s="21" t="e">
        <f>CHOOSE(CharGenMain!$C$206,I85,L85,O85,R85,U85,X85,AA85,AD85,AG85,AJ85,AM85,AP85,AS85,AV85,AY85)</f>
        <v>#VALUE!</v>
      </c>
      <c r="BC85" s="21" t="e">
        <f>CHOOSE(CharGenMain!$C$207,G85,J85,M85,P85,S85,V85,Y85,AB85,AE85,AH85,AK85,AN85,AQ85,AT85,AW85)</f>
        <v>#VALUE!</v>
      </c>
      <c r="BD85" s="21" t="e">
        <f>CHOOSE(CharGenMain!$C$207,H85,K85,N85,Q85,T85,W85,Z85,AC85,AF85,AI85,AL85,AO85,AR85,AU85,AX85)</f>
        <v>#VALUE!</v>
      </c>
      <c r="BE85" s="28" t="e">
        <f>CHOOSE(CharGenMain!$C$207,I85,L85,O85,R85,U85,X85,AA85,AD85,AG85,AJ85,AM85,AP85,AS85,AV85,AY85)</f>
        <v>#VALUE!</v>
      </c>
    </row>
    <row r="86" spans="1:57">
      <c r="A86" s="20" t="s">
        <v>707</v>
      </c>
      <c r="B86" s="167" t="s">
        <v>1024</v>
      </c>
      <c r="C86" s="14" t="s">
        <v>2279</v>
      </c>
      <c r="D86" s="14">
        <v>2</v>
      </c>
      <c r="E86" s="14">
        <v>5</v>
      </c>
      <c r="F86" s="14">
        <v>12</v>
      </c>
      <c r="G86" s="168">
        <v>8</v>
      </c>
      <c r="H86" s="168">
        <v>0</v>
      </c>
      <c r="I86" s="168" t="s">
        <v>1215</v>
      </c>
      <c r="J86" s="168">
        <v>8</v>
      </c>
      <c r="K86" s="168">
        <v>0</v>
      </c>
      <c r="L86" s="207" t="s">
        <v>2238</v>
      </c>
      <c r="M86" s="168">
        <v>9</v>
      </c>
      <c r="N86" s="168">
        <v>0</v>
      </c>
      <c r="O86" s="207" t="s">
        <v>2238</v>
      </c>
      <c r="P86" s="168">
        <v>10</v>
      </c>
      <c r="Q86" s="168">
        <v>0</v>
      </c>
      <c r="R86" s="207" t="s">
        <v>2239</v>
      </c>
      <c r="S86" s="168">
        <v>10</v>
      </c>
      <c r="T86" s="168">
        <v>0</v>
      </c>
      <c r="U86" s="207" t="s">
        <v>708</v>
      </c>
      <c r="V86" s="87" t="s">
        <v>2997</v>
      </c>
      <c r="W86" s="87" t="s">
        <v>2997</v>
      </c>
      <c r="X86" s="87" t="s">
        <v>2997</v>
      </c>
      <c r="Y86" s="87" t="s">
        <v>2997</v>
      </c>
      <c r="Z86" s="87" t="s">
        <v>2997</v>
      </c>
      <c r="AA86" s="87" t="s">
        <v>2997</v>
      </c>
      <c r="AB86" s="87" t="s">
        <v>2997</v>
      </c>
      <c r="AC86" s="87" t="s">
        <v>2997</v>
      </c>
      <c r="AD86" s="87" t="s">
        <v>2997</v>
      </c>
      <c r="AE86" s="87" t="s">
        <v>2997</v>
      </c>
      <c r="AF86" s="87" t="s">
        <v>2997</v>
      </c>
      <c r="AG86" s="87" t="s">
        <v>2997</v>
      </c>
      <c r="AH86" s="87" t="s">
        <v>2997</v>
      </c>
      <c r="AI86" s="87" t="s">
        <v>2997</v>
      </c>
      <c r="AJ86" s="87" t="s">
        <v>2997</v>
      </c>
      <c r="AK86" s="87" t="s">
        <v>2997</v>
      </c>
      <c r="AL86" s="87" t="s">
        <v>2997</v>
      </c>
      <c r="AM86" s="87" t="s">
        <v>2997</v>
      </c>
      <c r="AN86" s="87" t="s">
        <v>2997</v>
      </c>
      <c r="AO86" s="87" t="s">
        <v>2997</v>
      </c>
      <c r="AP86" s="87" t="s">
        <v>2997</v>
      </c>
      <c r="AQ86" s="87" t="s">
        <v>2997</v>
      </c>
      <c r="AR86" s="87" t="s">
        <v>2997</v>
      </c>
      <c r="AS86" s="87" t="s">
        <v>2997</v>
      </c>
      <c r="AT86" s="87" t="s">
        <v>2997</v>
      </c>
      <c r="AU86" s="87" t="s">
        <v>2997</v>
      </c>
      <c r="AV86" s="87" t="s">
        <v>2997</v>
      </c>
      <c r="AW86" s="87" t="s">
        <v>2997</v>
      </c>
      <c r="AX86" s="87" t="s">
        <v>2997</v>
      </c>
      <c r="AY86" s="87" t="s">
        <v>2997</v>
      </c>
      <c r="AZ86" s="21" t="e">
        <f>CHOOSE(CharGenMain!$C$206,G86,J86,M86,P86,S86,V86,Y86,AB86,AE86,AH86,AK86,AN86,AQ86,AT86,AW86)</f>
        <v>#VALUE!</v>
      </c>
      <c r="BA86" s="21" t="e">
        <f>CHOOSE(CharGenMain!$C$206,H86,K86,N86,Q86,T86,W86,Z86,AC86,AF86,AI86,AL86,AO86,AR86,AU86,AX86)</f>
        <v>#VALUE!</v>
      </c>
      <c r="BB86" s="21" t="e">
        <f>CHOOSE(CharGenMain!$C$206,I86,L86,O86,R86,U86,X86,AA86,AD86,AG86,AJ86,AM86,AP86,AS86,AV86,AY86)</f>
        <v>#VALUE!</v>
      </c>
      <c r="BC86" s="21" t="e">
        <f>CHOOSE(CharGenMain!$C$207,G86,J86,M86,P86,S86,V86,Y86,AB86,AE86,AH86,AK86,AN86,AQ86,AT86,AW86)</f>
        <v>#VALUE!</v>
      </c>
      <c r="BD86" s="21" t="e">
        <f>CHOOSE(CharGenMain!$C$207,H86,K86,N86,Q86,T86,W86,Z86,AC86,AF86,AI86,AL86,AO86,AR86,AU86,AX86)</f>
        <v>#VALUE!</v>
      </c>
      <c r="BE86" s="28" t="e">
        <f>CHOOSE(CharGenMain!$C$207,I86,L86,O86,R86,U86,X86,AA86,AD86,AG86,AJ86,AM86,AP86,AS86,AV86,AY86)</f>
        <v>#VALUE!</v>
      </c>
    </row>
    <row r="87" spans="1:57">
      <c r="A87" s="226" t="s">
        <v>5820</v>
      </c>
      <c r="B87" s="167" t="s">
        <v>408</v>
      </c>
      <c r="C87" s="14" t="s">
        <v>2667</v>
      </c>
      <c r="D87" s="14">
        <v>2</v>
      </c>
      <c r="E87" s="14">
        <v>6</v>
      </c>
      <c r="F87" s="14">
        <v>12</v>
      </c>
      <c r="G87" s="168">
        <v>6</v>
      </c>
      <c r="H87" s="168">
        <v>0</v>
      </c>
      <c r="I87" s="168" t="s">
        <v>5852</v>
      </c>
      <c r="J87" s="168">
        <v>6</v>
      </c>
      <c r="K87" s="168">
        <v>1</v>
      </c>
      <c r="L87" s="168" t="s">
        <v>5852</v>
      </c>
      <c r="M87" s="168">
        <v>7</v>
      </c>
      <c r="N87" s="168">
        <v>1</v>
      </c>
      <c r="O87" s="168" t="s">
        <v>5853</v>
      </c>
      <c r="P87" s="168">
        <v>8</v>
      </c>
      <c r="Q87" s="168">
        <v>1</v>
      </c>
      <c r="R87" s="168" t="s">
        <v>5853</v>
      </c>
      <c r="S87" s="168">
        <v>8</v>
      </c>
      <c r="T87" s="168">
        <v>1</v>
      </c>
      <c r="U87" s="168" t="s">
        <v>5854</v>
      </c>
      <c r="V87" s="168">
        <v>8</v>
      </c>
      <c r="W87" s="168">
        <v>2</v>
      </c>
      <c r="X87" s="168" t="s">
        <v>5854</v>
      </c>
      <c r="Y87" s="87" t="s">
        <v>2997</v>
      </c>
      <c r="Z87" s="87" t="s">
        <v>2997</v>
      </c>
      <c r="AA87" s="87" t="s">
        <v>2997</v>
      </c>
      <c r="AB87" s="87" t="s">
        <v>2997</v>
      </c>
      <c r="AC87" s="87" t="s">
        <v>2997</v>
      </c>
      <c r="AD87" s="87" t="s">
        <v>2997</v>
      </c>
      <c r="AE87" s="87" t="s">
        <v>2997</v>
      </c>
      <c r="AF87" s="87" t="s">
        <v>2997</v>
      </c>
      <c r="AG87" s="87" t="s">
        <v>2997</v>
      </c>
      <c r="AH87" s="87" t="s">
        <v>2997</v>
      </c>
      <c r="AI87" s="87" t="s">
        <v>2997</v>
      </c>
      <c r="AJ87" s="87" t="s">
        <v>2997</v>
      </c>
      <c r="AK87" s="87" t="s">
        <v>2997</v>
      </c>
      <c r="AL87" s="87" t="s">
        <v>2997</v>
      </c>
      <c r="AM87" s="87" t="s">
        <v>2997</v>
      </c>
      <c r="AN87" s="87" t="s">
        <v>2997</v>
      </c>
      <c r="AO87" s="87" t="s">
        <v>2997</v>
      </c>
      <c r="AP87" s="87" t="s">
        <v>2997</v>
      </c>
      <c r="AQ87" s="87" t="s">
        <v>2997</v>
      </c>
      <c r="AR87" s="87" t="s">
        <v>2997</v>
      </c>
      <c r="AS87" s="87" t="s">
        <v>2997</v>
      </c>
      <c r="AT87" s="87" t="s">
        <v>2997</v>
      </c>
      <c r="AU87" s="87" t="s">
        <v>2997</v>
      </c>
      <c r="AV87" s="87" t="s">
        <v>2997</v>
      </c>
      <c r="AW87" s="87" t="s">
        <v>2997</v>
      </c>
      <c r="AX87" s="87" t="s">
        <v>2997</v>
      </c>
      <c r="AY87" s="87" t="s">
        <v>2997</v>
      </c>
      <c r="AZ87" s="21" t="e">
        <f>CHOOSE(CharGenMain!$C$206,G87,J87,M87,P87,S87,V87,Y87,AB87,AE87,AH87,AK87,AN87,AQ87,AT87,AW87)</f>
        <v>#VALUE!</v>
      </c>
      <c r="BA87" s="21" t="e">
        <f>CHOOSE(CharGenMain!$C$206,H87,K87,N87,Q87,T87,W87,Z87,AC87,AF87,AI87,AL87,AO87,AR87,AU87,AX87)</f>
        <v>#VALUE!</v>
      </c>
      <c r="BB87" s="21" t="e">
        <f>CHOOSE(CharGenMain!$C$206,I87,L87,O87,R87,U87,X87,AA87,AD87,AG87,AJ87,AM87,AP87,AS87,AV87,AY87)</f>
        <v>#VALUE!</v>
      </c>
      <c r="BC87" s="21" t="e">
        <f>CHOOSE(CharGenMain!$C$207,G87,J87,M87,P87,S87,V87,Y87,AB87,AE87,AH87,AK87,AN87,AQ87,AT87,AW87)</f>
        <v>#VALUE!</v>
      </c>
      <c r="BD87" s="21" t="e">
        <f>CHOOSE(CharGenMain!$C$207,H87,K87,N87,Q87,T87,W87,Z87,AC87,AF87,AI87,AL87,AO87,AR87,AU87,AX87)</f>
        <v>#VALUE!</v>
      </c>
      <c r="BE87" s="28" t="e">
        <f>CHOOSE(CharGenMain!$C$207,I87,L87,O87,R87,U87,X87,AA87,AD87,AG87,AJ87,AM87,AP87,AS87,AV87,AY87)</f>
        <v>#VALUE!</v>
      </c>
    </row>
    <row r="88" spans="1:57">
      <c r="A88" s="226" t="s">
        <v>5855</v>
      </c>
      <c r="B88" s="167" t="s">
        <v>2305</v>
      </c>
      <c r="C88" s="14" t="s">
        <v>2667</v>
      </c>
      <c r="D88" s="14">
        <v>2</v>
      </c>
      <c r="E88" s="14">
        <v>4</v>
      </c>
      <c r="F88" s="14">
        <v>13</v>
      </c>
      <c r="G88" s="87">
        <v>4</v>
      </c>
      <c r="H88" s="87">
        <v>0</v>
      </c>
      <c r="I88" s="87" t="s">
        <v>1215</v>
      </c>
      <c r="J88" s="87">
        <v>5</v>
      </c>
      <c r="K88" s="87">
        <v>0</v>
      </c>
      <c r="L88" s="87" t="s">
        <v>1215</v>
      </c>
      <c r="M88" s="87">
        <v>6</v>
      </c>
      <c r="N88" s="87">
        <v>0</v>
      </c>
      <c r="O88" s="87" t="s">
        <v>1215</v>
      </c>
      <c r="P88" s="87">
        <v>7</v>
      </c>
      <c r="Q88" s="87">
        <v>0</v>
      </c>
      <c r="R88" s="87" t="s">
        <v>1215</v>
      </c>
      <c r="S88" s="87" t="s">
        <v>2997</v>
      </c>
      <c r="T88" s="87" t="s">
        <v>2997</v>
      </c>
      <c r="U88" s="87" t="s">
        <v>2997</v>
      </c>
      <c r="V88" s="87" t="s">
        <v>2997</v>
      </c>
      <c r="W88" s="87" t="s">
        <v>2997</v>
      </c>
      <c r="X88" s="87" t="s">
        <v>2997</v>
      </c>
      <c r="Y88" s="87" t="s">
        <v>2997</v>
      </c>
      <c r="Z88" s="87" t="s">
        <v>2997</v>
      </c>
      <c r="AA88" s="87" t="s">
        <v>2997</v>
      </c>
      <c r="AB88" s="87" t="s">
        <v>2997</v>
      </c>
      <c r="AC88" s="87" t="s">
        <v>2997</v>
      </c>
      <c r="AD88" s="87" t="s">
        <v>2997</v>
      </c>
      <c r="AE88" s="87" t="s">
        <v>2997</v>
      </c>
      <c r="AF88" s="87" t="s">
        <v>2997</v>
      </c>
      <c r="AG88" s="87" t="s">
        <v>2997</v>
      </c>
      <c r="AH88" s="87" t="s">
        <v>2997</v>
      </c>
      <c r="AI88" s="87" t="s">
        <v>2997</v>
      </c>
      <c r="AJ88" s="87" t="s">
        <v>2997</v>
      </c>
      <c r="AK88" s="87" t="s">
        <v>2997</v>
      </c>
      <c r="AL88" s="87" t="s">
        <v>2997</v>
      </c>
      <c r="AM88" s="87" t="s">
        <v>2997</v>
      </c>
      <c r="AN88" s="87" t="s">
        <v>2997</v>
      </c>
      <c r="AO88" s="87" t="s">
        <v>2997</v>
      </c>
      <c r="AP88" s="87" t="s">
        <v>2997</v>
      </c>
      <c r="AQ88" s="87" t="s">
        <v>2997</v>
      </c>
      <c r="AR88" s="87" t="s">
        <v>2997</v>
      </c>
      <c r="AS88" s="87" t="s">
        <v>2997</v>
      </c>
      <c r="AT88" s="87" t="s">
        <v>2997</v>
      </c>
      <c r="AU88" s="87" t="s">
        <v>2997</v>
      </c>
      <c r="AV88" s="87" t="s">
        <v>2997</v>
      </c>
      <c r="AW88" s="87" t="s">
        <v>2997</v>
      </c>
      <c r="AX88" s="87" t="s">
        <v>2997</v>
      </c>
      <c r="AY88" s="87" t="s">
        <v>2997</v>
      </c>
      <c r="AZ88" s="21" t="e">
        <f>CHOOSE(CharGenMain!$C$206,G88,J88,M88,P88,S88,V88,Y88,AB88,AE88,AH88,AK88,AN88,AQ88,AT88,AW88)</f>
        <v>#VALUE!</v>
      </c>
      <c r="BA88" s="21" t="e">
        <f>CHOOSE(CharGenMain!$C$206,H88,K88,N88,Q88,T88,W88,Z88,AC88,AF88,AI88,AL88,AO88,AR88,AU88,AX88)</f>
        <v>#VALUE!</v>
      </c>
      <c r="BB88" s="21" t="e">
        <f>CHOOSE(CharGenMain!$C$206,I88,L88,O88,R88,U88,X88,AA88,AD88,AG88,AJ88,AM88,AP88,AS88,AV88,AY88)</f>
        <v>#VALUE!</v>
      </c>
      <c r="BC88" s="21" t="e">
        <f>CHOOSE(CharGenMain!$C$207,G88,J88,M88,P88,S88,V88,Y88,AB88,AE88,AH88,AK88,AN88,AQ88,AT88,AW88)</f>
        <v>#VALUE!</v>
      </c>
      <c r="BD88" s="21" t="e">
        <f>CHOOSE(CharGenMain!$C$207,H88,K88,N88,Q88,T88,W88,Z88,AC88,AF88,AI88,AL88,AO88,AR88,AU88,AX88)</f>
        <v>#VALUE!</v>
      </c>
      <c r="BE88" s="28" t="e">
        <f>CHOOSE(CharGenMain!$C$207,I88,L88,O88,R88,U88,X88,AA88,AD88,AG88,AJ88,AM88,AP88,AS88,AV88,AY88)</f>
        <v>#VALUE!</v>
      </c>
    </row>
    <row r="89" spans="1:57">
      <c r="A89" s="226" t="s">
        <v>709</v>
      </c>
      <c r="B89" s="167" t="s">
        <v>2305</v>
      </c>
      <c r="C89" s="14" t="s">
        <v>2223</v>
      </c>
      <c r="D89" s="14">
        <v>2</v>
      </c>
      <c r="E89" s="14">
        <v>5</v>
      </c>
      <c r="F89" s="14">
        <v>13</v>
      </c>
      <c r="G89" s="87">
        <v>11</v>
      </c>
      <c r="H89" s="87">
        <v>0</v>
      </c>
      <c r="I89" s="87" t="s">
        <v>1215</v>
      </c>
      <c r="J89" s="87">
        <v>12</v>
      </c>
      <c r="K89" s="87">
        <v>0</v>
      </c>
      <c r="L89" s="87" t="s">
        <v>1215</v>
      </c>
      <c r="M89" s="87">
        <v>12</v>
      </c>
      <c r="N89" s="87">
        <v>0</v>
      </c>
      <c r="O89" s="206" t="s">
        <v>710</v>
      </c>
      <c r="P89" s="87">
        <v>13</v>
      </c>
      <c r="Q89" s="87">
        <v>0</v>
      </c>
      <c r="R89" s="206" t="s">
        <v>711</v>
      </c>
      <c r="S89" s="87">
        <v>13</v>
      </c>
      <c r="T89" s="87">
        <v>0</v>
      </c>
      <c r="U89" s="206" t="s">
        <v>712</v>
      </c>
      <c r="V89" s="87" t="s">
        <v>2997</v>
      </c>
      <c r="W89" s="87" t="s">
        <v>2997</v>
      </c>
      <c r="X89" s="87" t="s">
        <v>2997</v>
      </c>
      <c r="Y89" s="87" t="s">
        <v>2997</v>
      </c>
      <c r="Z89" s="87" t="s">
        <v>2997</v>
      </c>
      <c r="AA89" s="87" t="s">
        <v>2997</v>
      </c>
      <c r="AB89" s="87" t="s">
        <v>2997</v>
      </c>
      <c r="AC89" s="87" t="s">
        <v>2997</v>
      </c>
      <c r="AD89" s="87" t="s">
        <v>2997</v>
      </c>
      <c r="AE89" s="87" t="s">
        <v>2997</v>
      </c>
      <c r="AF89" s="87" t="s">
        <v>2997</v>
      </c>
      <c r="AG89" s="87" t="s">
        <v>2997</v>
      </c>
      <c r="AH89" s="87" t="s">
        <v>2997</v>
      </c>
      <c r="AI89" s="87" t="s">
        <v>2997</v>
      </c>
      <c r="AJ89" s="87" t="s">
        <v>2997</v>
      </c>
      <c r="AK89" s="87" t="s">
        <v>2997</v>
      </c>
      <c r="AL89" s="87" t="s">
        <v>2997</v>
      </c>
      <c r="AM89" s="87" t="s">
        <v>2997</v>
      </c>
      <c r="AN89" s="87" t="s">
        <v>2997</v>
      </c>
      <c r="AO89" s="87" t="s">
        <v>2997</v>
      </c>
      <c r="AP89" s="87" t="s">
        <v>2997</v>
      </c>
      <c r="AQ89" s="87" t="s">
        <v>2997</v>
      </c>
      <c r="AR89" s="87" t="s">
        <v>2997</v>
      </c>
      <c r="AS89" s="87" t="s">
        <v>2997</v>
      </c>
      <c r="AT89" s="87" t="s">
        <v>2997</v>
      </c>
      <c r="AU89" s="87" t="s">
        <v>2997</v>
      </c>
      <c r="AV89" s="87" t="s">
        <v>2997</v>
      </c>
      <c r="AW89" s="87" t="s">
        <v>2997</v>
      </c>
      <c r="AX89" s="87" t="s">
        <v>2997</v>
      </c>
      <c r="AY89" s="87" t="s">
        <v>2997</v>
      </c>
      <c r="AZ89" s="21" t="e">
        <f>CHOOSE(CharGenMain!$C$206,G89,J89,M89,P89,S89,V89,Y89,AB89,AE89,AH89,AK89,AN89,AQ89,AT89,AW89)</f>
        <v>#VALUE!</v>
      </c>
      <c r="BA89" s="21" t="e">
        <f>CHOOSE(CharGenMain!$C$206,H89,K89,N89,Q89,T89,W89,Z89,AC89,AF89,AI89,AL89,AO89,AR89,AU89,AX89)</f>
        <v>#VALUE!</v>
      </c>
      <c r="BB89" s="21" t="e">
        <f>CHOOSE(CharGenMain!$C$206,I89,L89,O89,R89,U89,X89,AA89,AD89,AG89,AJ89,AM89,AP89,AS89,AV89,AY89)</f>
        <v>#VALUE!</v>
      </c>
      <c r="BC89" s="21" t="e">
        <f>CHOOSE(CharGenMain!$C$207,G89,J89,M89,P89,S89,V89,Y89,AB89,AE89,AH89,AK89,AN89,AQ89,AT89,AW89)</f>
        <v>#VALUE!</v>
      </c>
      <c r="BD89" s="21" t="e">
        <f>CHOOSE(CharGenMain!$C$207,H89,K89,N89,Q89,T89,W89,Z89,AC89,AF89,AI89,AL89,AO89,AR89,AU89,AX89)</f>
        <v>#VALUE!</v>
      </c>
      <c r="BE89" s="28" t="e">
        <f>CHOOSE(CharGenMain!$C$207,I89,L89,O89,R89,U89,X89,AA89,AD89,AG89,AJ89,AM89,AP89,AS89,AV89,AY89)</f>
        <v>#VALUE!</v>
      </c>
    </row>
    <row r="90" spans="1:57">
      <c r="A90" s="20" t="s">
        <v>713</v>
      </c>
      <c r="B90" s="167" t="s">
        <v>714</v>
      </c>
      <c r="C90" s="14" t="s">
        <v>2279</v>
      </c>
      <c r="D90" s="14">
        <v>3</v>
      </c>
      <c r="E90" s="14">
        <v>9</v>
      </c>
      <c r="F90" s="14">
        <v>14</v>
      </c>
      <c r="G90" s="168">
        <v>6</v>
      </c>
      <c r="H90" s="168">
        <v>0</v>
      </c>
      <c r="I90" s="168" t="s">
        <v>582</v>
      </c>
      <c r="J90" s="168">
        <v>7</v>
      </c>
      <c r="K90" s="168">
        <v>0</v>
      </c>
      <c r="L90" s="168" t="s">
        <v>583</v>
      </c>
      <c r="M90" s="168">
        <v>7</v>
      </c>
      <c r="N90" s="168">
        <v>0</v>
      </c>
      <c r="O90" s="168" t="s">
        <v>584</v>
      </c>
      <c r="P90" s="168">
        <v>8</v>
      </c>
      <c r="Q90" s="168">
        <v>0</v>
      </c>
      <c r="R90" s="168" t="s">
        <v>584</v>
      </c>
      <c r="S90" s="168">
        <v>8</v>
      </c>
      <c r="T90" s="168">
        <v>0</v>
      </c>
      <c r="U90" s="168" t="s">
        <v>718</v>
      </c>
      <c r="V90" s="168">
        <v>9</v>
      </c>
      <c r="W90" s="168">
        <v>0</v>
      </c>
      <c r="X90" s="168" t="s">
        <v>718</v>
      </c>
      <c r="Y90" s="168">
        <v>9</v>
      </c>
      <c r="Z90" s="168">
        <v>0</v>
      </c>
      <c r="AA90" s="168" t="s">
        <v>822</v>
      </c>
      <c r="AB90" s="168">
        <v>10</v>
      </c>
      <c r="AC90" s="168">
        <v>0</v>
      </c>
      <c r="AD90" s="168" t="s">
        <v>822</v>
      </c>
      <c r="AE90" s="168">
        <v>10</v>
      </c>
      <c r="AF90" s="168">
        <v>0</v>
      </c>
      <c r="AG90" s="168" t="s">
        <v>720</v>
      </c>
      <c r="AH90" s="87" t="s">
        <v>2997</v>
      </c>
      <c r="AI90" s="87" t="s">
        <v>2997</v>
      </c>
      <c r="AJ90" s="87" t="s">
        <v>2997</v>
      </c>
      <c r="AK90" s="87" t="s">
        <v>2997</v>
      </c>
      <c r="AL90" s="87" t="s">
        <v>2997</v>
      </c>
      <c r="AM90" s="87" t="s">
        <v>2997</v>
      </c>
      <c r="AN90" s="87" t="s">
        <v>2997</v>
      </c>
      <c r="AO90" s="87" t="s">
        <v>2997</v>
      </c>
      <c r="AP90" s="87" t="s">
        <v>2997</v>
      </c>
      <c r="AQ90" s="87" t="s">
        <v>2997</v>
      </c>
      <c r="AR90" s="87" t="s">
        <v>2997</v>
      </c>
      <c r="AS90" s="87" t="s">
        <v>2997</v>
      </c>
      <c r="AT90" s="87" t="s">
        <v>2997</v>
      </c>
      <c r="AU90" s="87" t="s">
        <v>2997</v>
      </c>
      <c r="AV90" s="87" t="s">
        <v>2997</v>
      </c>
      <c r="AW90" s="87" t="s">
        <v>2997</v>
      </c>
      <c r="AX90" s="87" t="s">
        <v>2997</v>
      </c>
      <c r="AY90" s="87" t="s">
        <v>2997</v>
      </c>
      <c r="AZ90" s="21" t="e">
        <f>CHOOSE(CharGenMain!$C$206,G90,J90,M90,P90,S90,V90,Y90,AB90,AE90,AH90,AK90,AN90,AQ90,AT90,AW90)</f>
        <v>#VALUE!</v>
      </c>
      <c r="BA90" s="21" t="e">
        <f>CHOOSE(CharGenMain!$C$206,H90,K90,N90,Q90,T90,W90,Z90,AC90,AF90,AI90,AL90,AO90,AR90,AU90,AX90)</f>
        <v>#VALUE!</v>
      </c>
      <c r="BB90" s="21" t="e">
        <f>CHOOSE(CharGenMain!$C$206,I90,L90,O90,R90,U90,X90,AA90,AD90,AG90,AJ90,AM90,AP90,AS90,AV90,AY90)</f>
        <v>#VALUE!</v>
      </c>
      <c r="BC90" s="21" t="e">
        <f>CHOOSE(CharGenMain!$C$207,G90,J90,M90,P90,S90,V90,Y90,AB90,AE90,AH90,AK90,AN90,AQ90,AT90,AW90)</f>
        <v>#VALUE!</v>
      </c>
      <c r="BD90" s="21" t="e">
        <f>CHOOSE(CharGenMain!$C$207,H90,K90,N90,Q90,T90,W90,Z90,AC90,AF90,AI90,AL90,AO90,AR90,AU90,AX90)</f>
        <v>#VALUE!</v>
      </c>
      <c r="BE90" s="28" t="e">
        <f>CHOOSE(CharGenMain!$C$207,I90,L90,O90,R90,U90,X90,AA90,AD90,AG90,AJ90,AM90,AP90,AS90,AV90,AY90)</f>
        <v>#VALUE!</v>
      </c>
    </row>
    <row r="91" spans="1:57">
      <c r="A91" s="226" t="s">
        <v>5856</v>
      </c>
      <c r="B91" s="167" t="s">
        <v>530</v>
      </c>
      <c r="C91" s="14" t="s">
        <v>2667</v>
      </c>
      <c r="D91" s="14">
        <v>1</v>
      </c>
      <c r="E91" s="14">
        <v>4</v>
      </c>
      <c r="F91" s="14">
        <v>8</v>
      </c>
      <c r="G91" s="168">
        <v>11</v>
      </c>
      <c r="H91" s="168">
        <v>0</v>
      </c>
      <c r="I91" s="168" t="s">
        <v>1215</v>
      </c>
      <c r="J91" s="168">
        <v>11</v>
      </c>
      <c r="K91" s="168">
        <v>1</v>
      </c>
      <c r="L91" s="168" t="s">
        <v>1215</v>
      </c>
      <c r="M91" s="168">
        <v>12</v>
      </c>
      <c r="N91" s="168">
        <v>1</v>
      </c>
      <c r="O91" s="168" t="s">
        <v>1215</v>
      </c>
      <c r="P91" s="168">
        <v>12</v>
      </c>
      <c r="Q91" s="168">
        <v>2</v>
      </c>
      <c r="R91" s="168" t="s">
        <v>1215</v>
      </c>
      <c r="S91" s="87" t="s">
        <v>2997</v>
      </c>
      <c r="T91" s="87" t="s">
        <v>2997</v>
      </c>
      <c r="U91" s="87" t="s">
        <v>2997</v>
      </c>
      <c r="V91" s="87" t="s">
        <v>2997</v>
      </c>
      <c r="W91" s="87" t="s">
        <v>2997</v>
      </c>
      <c r="X91" s="87" t="s">
        <v>2997</v>
      </c>
      <c r="Y91" s="87" t="s">
        <v>2997</v>
      </c>
      <c r="Z91" s="87" t="s">
        <v>2997</v>
      </c>
      <c r="AA91" s="87" t="s">
        <v>2997</v>
      </c>
      <c r="AB91" s="87" t="s">
        <v>2997</v>
      </c>
      <c r="AC91" s="87" t="s">
        <v>2997</v>
      </c>
      <c r="AD91" s="87" t="s">
        <v>2997</v>
      </c>
      <c r="AE91" s="87" t="s">
        <v>2997</v>
      </c>
      <c r="AF91" s="87" t="s">
        <v>2997</v>
      </c>
      <c r="AG91" s="87" t="s">
        <v>2997</v>
      </c>
      <c r="AH91" s="87" t="s">
        <v>2997</v>
      </c>
      <c r="AI91" s="87" t="s">
        <v>2997</v>
      </c>
      <c r="AJ91" s="87" t="s">
        <v>2997</v>
      </c>
      <c r="AK91" s="87" t="s">
        <v>2997</v>
      </c>
      <c r="AL91" s="87" t="s">
        <v>2997</v>
      </c>
      <c r="AM91" s="87" t="s">
        <v>2997</v>
      </c>
      <c r="AN91" s="87" t="s">
        <v>2997</v>
      </c>
      <c r="AO91" s="87" t="s">
        <v>2997</v>
      </c>
      <c r="AP91" s="87" t="s">
        <v>2997</v>
      </c>
      <c r="AQ91" s="87" t="s">
        <v>2997</v>
      </c>
      <c r="AR91" s="87" t="s">
        <v>2997</v>
      </c>
      <c r="AS91" s="87" t="s">
        <v>2997</v>
      </c>
      <c r="AT91" s="87" t="s">
        <v>2997</v>
      </c>
      <c r="AU91" s="87" t="s">
        <v>2997</v>
      </c>
      <c r="AV91" s="87" t="s">
        <v>2997</v>
      </c>
      <c r="AW91" s="87" t="s">
        <v>2997</v>
      </c>
      <c r="AX91" s="87" t="s">
        <v>2997</v>
      </c>
      <c r="AY91" s="87" t="s">
        <v>2997</v>
      </c>
      <c r="AZ91" s="21" t="e">
        <f>CHOOSE(CharGenMain!$C$206,G91,J91,M91,P91,S91,V91,Y91,AB91,AE91,AH91,AK91,AN91,AQ91,AT91,AW91)</f>
        <v>#VALUE!</v>
      </c>
      <c r="BA91" s="21" t="e">
        <f>CHOOSE(CharGenMain!$C$206,H91,K91,N91,Q91,T91,W91,Z91,AC91,AF91,AI91,AL91,AO91,AR91,AU91,AX91)</f>
        <v>#VALUE!</v>
      </c>
      <c r="BB91" s="21" t="e">
        <f>CHOOSE(CharGenMain!$C$206,I91,L91,O91,R91,U91,X91,AA91,AD91,AG91,AJ91,AM91,AP91,AS91,AV91,AY91)</f>
        <v>#VALUE!</v>
      </c>
      <c r="BC91" s="21" t="e">
        <f>CHOOSE(CharGenMain!$C$207,G91,J91,M91,P91,S91,V91,Y91,AB91,AE91,AH91,AK91,AN91,AQ91,AT91,AW91)</f>
        <v>#VALUE!</v>
      </c>
      <c r="BD91" s="21" t="e">
        <f>CHOOSE(CharGenMain!$C$207,H91,K91,N91,Q91,T91,W91,Z91,AC91,AF91,AI91,AL91,AO91,AR91,AU91,AX91)</f>
        <v>#VALUE!</v>
      </c>
      <c r="BE91" s="28" t="e">
        <f>CHOOSE(CharGenMain!$C$207,I91,L91,O91,R91,U91,X91,AA91,AD91,AG91,AJ91,AM91,AP91,AS91,AV91,AY91)</f>
        <v>#VALUE!</v>
      </c>
    </row>
    <row r="92" spans="1:57">
      <c r="A92" s="226" t="s">
        <v>721</v>
      </c>
      <c r="B92" s="167" t="s">
        <v>695</v>
      </c>
      <c r="C92" s="14" t="s">
        <v>2667</v>
      </c>
      <c r="D92" s="14">
        <v>1</v>
      </c>
      <c r="E92" s="14">
        <v>4</v>
      </c>
      <c r="F92" s="14">
        <v>9</v>
      </c>
      <c r="G92" s="87">
        <v>11</v>
      </c>
      <c r="H92" s="87">
        <v>0</v>
      </c>
      <c r="I92" s="87" t="s">
        <v>1215</v>
      </c>
      <c r="J92" s="87">
        <v>11</v>
      </c>
      <c r="K92" s="87">
        <v>0</v>
      </c>
      <c r="L92" s="206" t="s">
        <v>921</v>
      </c>
      <c r="M92" s="87">
        <v>12</v>
      </c>
      <c r="N92" s="87">
        <v>0</v>
      </c>
      <c r="O92" s="206" t="s">
        <v>921</v>
      </c>
      <c r="P92" s="87">
        <v>12</v>
      </c>
      <c r="Q92" s="87">
        <v>0</v>
      </c>
      <c r="R92" s="206" t="s">
        <v>922</v>
      </c>
      <c r="S92" s="87" t="s">
        <v>2997</v>
      </c>
      <c r="T92" s="87" t="s">
        <v>2997</v>
      </c>
      <c r="U92" s="87" t="s">
        <v>2997</v>
      </c>
      <c r="V92" s="87" t="s">
        <v>2997</v>
      </c>
      <c r="W92" s="87" t="s">
        <v>2997</v>
      </c>
      <c r="X92" s="87" t="s">
        <v>2997</v>
      </c>
      <c r="Y92" s="87" t="s">
        <v>2997</v>
      </c>
      <c r="Z92" s="87" t="s">
        <v>2997</v>
      </c>
      <c r="AA92" s="87" t="s">
        <v>2997</v>
      </c>
      <c r="AB92" s="87" t="s">
        <v>2997</v>
      </c>
      <c r="AC92" s="87" t="s">
        <v>2997</v>
      </c>
      <c r="AD92" s="87" t="s">
        <v>2997</v>
      </c>
      <c r="AE92" s="87" t="s">
        <v>2997</v>
      </c>
      <c r="AF92" s="87" t="s">
        <v>2997</v>
      </c>
      <c r="AG92" s="87" t="s">
        <v>2997</v>
      </c>
      <c r="AH92" s="87" t="s">
        <v>2997</v>
      </c>
      <c r="AI92" s="87" t="s">
        <v>2997</v>
      </c>
      <c r="AJ92" s="87" t="s">
        <v>2997</v>
      </c>
      <c r="AK92" s="87" t="s">
        <v>2997</v>
      </c>
      <c r="AL92" s="87" t="s">
        <v>2997</v>
      </c>
      <c r="AM92" s="87" t="s">
        <v>2997</v>
      </c>
      <c r="AN92" s="87" t="s">
        <v>2997</v>
      </c>
      <c r="AO92" s="87" t="s">
        <v>2997</v>
      </c>
      <c r="AP92" s="87" t="s">
        <v>2997</v>
      </c>
      <c r="AQ92" s="87" t="s">
        <v>2997</v>
      </c>
      <c r="AR92" s="87" t="s">
        <v>2997</v>
      </c>
      <c r="AS92" s="87" t="s">
        <v>2997</v>
      </c>
      <c r="AT92" s="87" t="s">
        <v>2997</v>
      </c>
      <c r="AU92" s="87" t="s">
        <v>2997</v>
      </c>
      <c r="AV92" s="87" t="s">
        <v>2997</v>
      </c>
      <c r="AW92" s="87" t="s">
        <v>2997</v>
      </c>
      <c r="AX92" s="87" t="s">
        <v>2997</v>
      </c>
      <c r="AY92" s="87" t="s">
        <v>2997</v>
      </c>
      <c r="AZ92" s="21" t="e">
        <f>CHOOSE(CharGenMain!$C$206,G92,J92,M92,P92,S92,V92,Y92,AB92,AE92,AH92,AK92,AN92,AQ92,AT92,AW92)</f>
        <v>#VALUE!</v>
      </c>
      <c r="BA92" s="21" t="e">
        <f>CHOOSE(CharGenMain!$C$206,H92,K92,N92,Q92,T92,W92,Z92,AC92,AF92,AI92,AL92,AO92,AR92,AU92,AX92)</f>
        <v>#VALUE!</v>
      </c>
      <c r="BB92" s="21" t="e">
        <f>CHOOSE(CharGenMain!$C$206,I92,L92,O92,R92,U92,X92,AA92,AD92,AG92,AJ92,AM92,AP92,AS92,AV92,AY92)</f>
        <v>#VALUE!</v>
      </c>
      <c r="BC92" s="21" t="e">
        <f>CHOOSE(CharGenMain!$C$207,G92,J92,M92,P92,S92,V92,Y92,AB92,AE92,AH92,AK92,AN92,AQ92,AT92,AW92)</f>
        <v>#VALUE!</v>
      </c>
      <c r="BD92" s="21" t="e">
        <f>CHOOSE(CharGenMain!$C$207,H92,K92,N92,Q92,T92,W92,Z92,AC92,AF92,AI92,AL92,AO92,AR92,AU92,AX92)</f>
        <v>#VALUE!</v>
      </c>
      <c r="BE92" s="28" t="e">
        <f>CHOOSE(CharGenMain!$C$207,I92,L92,O92,R92,U92,X92,AA92,AD92,AG92,AJ92,AM92,AP92,AS92,AV92,AY92)</f>
        <v>#VALUE!</v>
      </c>
    </row>
    <row r="93" spans="1:57">
      <c r="A93" s="20" t="s">
        <v>724</v>
      </c>
      <c r="B93" s="167" t="s">
        <v>725</v>
      </c>
      <c r="C93" s="14" t="s">
        <v>2279</v>
      </c>
      <c r="D93" s="14">
        <v>2</v>
      </c>
      <c r="E93" s="14">
        <v>8</v>
      </c>
      <c r="F93" s="14">
        <v>12</v>
      </c>
      <c r="G93" s="87">
        <v>10</v>
      </c>
      <c r="H93" s="87">
        <v>0</v>
      </c>
      <c r="I93" s="87" t="s">
        <v>1215</v>
      </c>
      <c r="J93" s="87">
        <v>10</v>
      </c>
      <c r="K93" s="87">
        <v>0</v>
      </c>
      <c r="L93" s="87" t="s">
        <v>726</v>
      </c>
      <c r="M93" s="87">
        <v>11</v>
      </c>
      <c r="N93" s="87">
        <v>0</v>
      </c>
      <c r="O93" s="206" t="s">
        <v>827</v>
      </c>
      <c r="P93" s="87">
        <v>11</v>
      </c>
      <c r="Q93" s="87">
        <v>0</v>
      </c>
      <c r="R93" s="206" t="s">
        <v>828</v>
      </c>
      <c r="S93" s="87">
        <v>12</v>
      </c>
      <c r="T93" s="87">
        <v>0</v>
      </c>
      <c r="U93" s="206" t="s">
        <v>730</v>
      </c>
      <c r="V93" s="87">
        <v>13</v>
      </c>
      <c r="W93" s="87">
        <v>0</v>
      </c>
      <c r="X93" s="206" t="s">
        <v>730</v>
      </c>
      <c r="Y93" s="87">
        <v>13</v>
      </c>
      <c r="Z93" s="87">
        <v>0</v>
      </c>
      <c r="AA93" s="206" t="s">
        <v>731</v>
      </c>
      <c r="AB93" s="87">
        <v>14</v>
      </c>
      <c r="AC93" s="87">
        <v>0</v>
      </c>
      <c r="AD93" s="206" t="s">
        <v>480</v>
      </c>
      <c r="AE93" s="87" t="s">
        <v>2997</v>
      </c>
      <c r="AF93" s="87" t="s">
        <v>2997</v>
      </c>
      <c r="AG93" s="87" t="s">
        <v>2997</v>
      </c>
      <c r="AH93" s="87" t="s">
        <v>2997</v>
      </c>
      <c r="AI93" s="87" t="s">
        <v>2997</v>
      </c>
      <c r="AJ93" s="87" t="s">
        <v>2997</v>
      </c>
      <c r="AK93" s="87" t="s">
        <v>2997</v>
      </c>
      <c r="AL93" s="87" t="s">
        <v>2997</v>
      </c>
      <c r="AM93" s="87" t="s">
        <v>2997</v>
      </c>
      <c r="AN93" s="87" t="s">
        <v>2997</v>
      </c>
      <c r="AO93" s="87" t="s">
        <v>2997</v>
      </c>
      <c r="AP93" s="87" t="s">
        <v>2997</v>
      </c>
      <c r="AQ93" s="87" t="s">
        <v>2997</v>
      </c>
      <c r="AR93" s="87" t="s">
        <v>2997</v>
      </c>
      <c r="AS93" s="87" t="s">
        <v>2997</v>
      </c>
      <c r="AT93" s="87" t="s">
        <v>2997</v>
      </c>
      <c r="AU93" s="87" t="s">
        <v>2997</v>
      </c>
      <c r="AV93" s="87" t="s">
        <v>2997</v>
      </c>
      <c r="AW93" s="87" t="s">
        <v>2997</v>
      </c>
      <c r="AX93" s="87" t="s">
        <v>2997</v>
      </c>
      <c r="AY93" s="87" t="s">
        <v>2997</v>
      </c>
      <c r="AZ93" s="21" t="e">
        <f>CHOOSE(CharGenMain!$C$206,G93,J93,M93,P93,S93,V93,Y93,AB93,AE93,AH93,AK93,AN93,AQ93,AT93,AW93)</f>
        <v>#VALUE!</v>
      </c>
      <c r="BA93" s="21" t="e">
        <f>CHOOSE(CharGenMain!$C$206,H93,K93,N93,Q93,T93,W93,Z93,AC93,AF93,AI93,AL93,AO93,AR93,AU93,AX93)</f>
        <v>#VALUE!</v>
      </c>
      <c r="BB93" s="21" t="e">
        <f>CHOOSE(CharGenMain!$C$206,I93,L93,O93,R93,U93,X93,AA93,AD93,AG93,AJ93,AM93,AP93,AS93,AV93,AY93)</f>
        <v>#VALUE!</v>
      </c>
      <c r="BC93" s="21" t="e">
        <f>CHOOSE(CharGenMain!$C$207,G93,J93,M93,P93,S93,V93,Y93,AB93,AE93,AH93,AK93,AN93,AQ93,AT93,AW93)</f>
        <v>#VALUE!</v>
      </c>
      <c r="BD93" s="21" t="e">
        <f>CHOOSE(CharGenMain!$C$207,H93,K93,N93,Q93,T93,W93,Z93,AC93,AF93,AI93,AL93,AO93,AR93,AU93,AX93)</f>
        <v>#VALUE!</v>
      </c>
      <c r="BE93" s="28" t="e">
        <f>CHOOSE(CharGenMain!$C$207,I93,L93,O93,R93,U93,X93,AA93,AD93,AG93,AJ93,AM93,AP93,AS93,AV93,AY93)</f>
        <v>#VALUE!</v>
      </c>
    </row>
    <row r="94" spans="1:57">
      <c r="A94" s="20" t="s">
        <v>481</v>
      </c>
      <c r="B94" s="167" t="s">
        <v>482</v>
      </c>
      <c r="C94" s="14" t="s">
        <v>2279</v>
      </c>
      <c r="D94" s="14">
        <v>2</v>
      </c>
      <c r="E94" s="14">
        <v>7</v>
      </c>
      <c r="F94" s="14">
        <v>13</v>
      </c>
      <c r="G94" s="87">
        <v>6</v>
      </c>
      <c r="H94" s="87">
        <v>0</v>
      </c>
      <c r="I94" s="87" t="s">
        <v>483</v>
      </c>
      <c r="J94" s="87">
        <v>6</v>
      </c>
      <c r="K94" s="87">
        <v>0</v>
      </c>
      <c r="L94" s="87" t="s">
        <v>483</v>
      </c>
      <c r="M94" s="87">
        <v>7</v>
      </c>
      <c r="N94" s="87">
        <v>0</v>
      </c>
      <c r="O94" s="87" t="s">
        <v>483</v>
      </c>
      <c r="P94" s="87">
        <v>7</v>
      </c>
      <c r="Q94" s="87">
        <v>0</v>
      </c>
      <c r="R94" s="87" t="s">
        <v>483</v>
      </c>
      <c r="S94" s="87">
        <v>7</v>
      </c>
      <c r="T94" s="87">
        <v>0</v>
      </c>
      <c r="U94" s="87" t="s">
        <v>483</v>
      </c>
      <c r="V94" s="87">
        <v>8</v>
      </c>
      <c r="W94" s="87">
        <v>0</v>
      </c>
      <c r="X94" s="87" t="s">
        <v>483</v>
      </c>
      <c r="Y94" s="87">
        <v>8</v>
      </c>
      <c r="Z94" s="87">
        <v>0</v>
      </c>
      <c r="AA94" s="87" t="s">
        <v>483</v>
      </c>
      <c r="AB94" s="87" t="s">
        <v>2997</v>
      </c>
      <c r="AC94" s="87" t="s">
        <v>2997</v>
      </c>
      <c r="AD94" s="87" t="s">
        <v>2997</v>
      </c>
      <c r="AE94" s="87" t="s">
        <v>2997</v>
      </c>
      <c r="AF94" s="87" t="s">
        <v>2997</v>
      </c>
      <c r="AG94" s="87" t="s">
        <v>2997</v>
      </c>
      <c r="AH94" s="87" t="s">
        <v>2997</v>
      </c>
      <c r="AI94" s="87" t="s">
        <v>2997</v>
      </c>
      <c r="AJ94" s="87" t="s">
        <v>2997</v>
      </c>
      <c r="AK94" s="87" t="s">
        <v>2997</v>
      </c>
      <c r="AL94" s="87" t="s">
        <v>2997</v>
      </c>
      <c r="AM94" s="87" t="s">
        <v>2997</v>
      </c>
      <c r="AN94" s="87" t="s">
        <v>2997</v>
      </c>
      <c r="AO94" s="87" t="s">
        <v>2997</v>
      </c>
      <c r="AP94" s="87" t="s">
        <v>2997</v>
      </c>
      <c r="AQ94" s="87" t="s">
        <v>2997</v>
      </c>
      <c r="AR94" s="87" t="s">
        <v>2997</v>
      </c>
      <c r="AS94" s="87" t="s">
        <v>2997</v>
      </c>
      <c r="AT94" s="87" t="s">
        <v>2997</v>
      </c>
      <c r="AU94" s="87" t="s">
        <v>2997</v>
      </c>
      <c r="AV94" s="87" t="s">
        <v>2997</v>
      </c>
      <c r="AW94" s="87" t="s">
        <v>2997</v>
      </c>
      <c r="AX94" s="87" t="s">
        <v>2997</v>
      </c>
      <c r="AY94" s="87" t="s">
        <v>2997</v>
      </c>
      <c r="AZ94" s="21" t="e">
        <f>CHOOSE(CharGenMain!$C$206,G94,J94,M94,P94,S94,V94,Y94,AB94,AE94,AH94,AK94,AN94,AQ94,AT94,AW94)</f>
        <v>#VALUE!</v>
      </c>
      <c r="BA94" s="21" t="e">
        <f>CHOOSE(CharGenMain!$C$206,H94,K94,N94,Q94,T94,W94,Z94,AC94,AF94,AI94,AL94,AO94,AR94,AU94,AX94)</f>
        <v>#VALUE!</v>
      </c>
      <c r="BB94" s="21" t="e">
        <f>CHOOSE(CharGenMain!$C$206,I94,L94,O94,R94,U94,X94,AA94,AD94,AG94,AJ94,AM94,AP94,AS94,AV94,AY94)</f>
        <v>#VALUE!</v>
      </c>
      <c r="BC94" s="21" t="e">
        <f>CHOOSE(CharGenMain!$C$207,G94,J94,M94,P94,S94,V94,Y94,AB94,AE94,AH94,AK94,AN94,AQ94,AT94,AW94)</f>
        <v>#VALUE!</v>
      </c>
      <c r="BD94" s="21" t="e">
        <f>CHOOSE(CharGenMain!$C$207,H94,K94,N94,Q94,T94,W94,Z94,AC94,AF94,AI94,AL94,AO94,AR94,AU94,AX94)</f>
        <v>#VALUE!</v>
      </c>
      <c r="BE94" s="28" t="e">
        <f>CHOOSE(CharGenMain!$C$207,I94,L94,O94,R94,U94,X94,AA94,AD94,AG94,AJ94,AM94,AP94,AS94,AV94,AY94)</f>
        <v>#VALUE!</v>
      </c>
    </row>
    <row r="95" spans="1:57">
      <c r="A95" s="20" t="s">
        <v>484</v>
      </c>
      <c r="B95" s="167" t="s">
        <v>485</v>
      </c>
      <c r="C95" s="14" t="s">
        <v>2279</v>
      </c>
      <c r="D95" s="14">
        <v>4</v>
      </c>
      <c r="E95" s="14">
        <v>6</v>
      </c>
      <c r="F95" s="14">
        <v>23</v>
      </c>
      <c r="G95" s="87">
        <v>11</v>
      </c>
      <c r="H95" s="87">
        <v>0</v>
      </c>
      <c r="I95" s="87" t="s">
        <v>1215</v>
      </c>
      <c r="J95" s="87">
        <v>12</v>
      </c>
      <c r="K95" s="87">
        <v>0</v>
      </c>
      <c r="L95" s="87" t="s">
        <v>1215</v>
      </c>
      <c r="M95" s="87">
        <v>12</v>
      </c>
      <c r="N95" s="87">
        <v>0</v>
      </c>
      <c r="O95" s="206" t="s">
        <v>767</v>
      </c>
      <c r="P95" s="87">
        <v>13</v>
      </c>
      <c r="Q95" s="87">
        <v>0</v>
      </c>
      <c r="R95" s="206" t="s">
        <v>486</v>
      </c>
      <c r="S95" s="87">
        <v>15</v>
      </c>
      <c r="T95" s="87">
        <v>0</v>
      </c>
      <c r="U95" s="206" t="s">
        <v>487</v>
      </c>
      <c r="V95" s="87">
        <v>15</v>
      </c>
      <c r="W95" s="87">
        <v>0</v>
      </c>
      <c r="X95" s="206" t="s">
        <v>488</v>
      </c>
      <c r="Y95" s="87" t="s">
        <v>2997</v>
      </c>
      <c r="Z95" s="87" t="s">
        <v>2997</v>
      </c>
      <c r="AA95" s="87" t="s">
        <v>2997</v>
      </c>
      <c r="AB95" s="87" t="s">
        <v>2997</v>
      </c>
      <c r="AC95" s="87" t="s">
        <v>2997</v>
      </c>
      <c r="AD95" s="87" t="s">
        <v>2997</v>
      </c>
      <c r="AE95" s="87" t="s">
        <v>2997</v>
      </c>
      <c r="AF95" s="87" t="s">
        <v>2997</v>
      </c>
      <c r="AG95" s="87" t="s">
        <v>2997</v>
      </c>
      <c r="AH95" s="87" t="s">
        <v>2997</v>
      </c>
      <c r="AI95" s="87" t="s">
        <v>2997</v>
      </c>
      <c r="AJ95" s="87" t="s">
        <v>2997</v>
      </c>
      <c r="AK95" s="87" t="s">
        <v>2997</v>
      </c>
      <c r="AL95" s="87" t="s">
        <v>2997</v>
      </c>
      <c r="AM95" s="87" t="s">
        <v>2997</v>
      </c>
      <c r="AN95" s="87" t="s">
        <v>2997</v>
      </c>
      <c r="AO95" s="87" t="s">
        <v>2997</v>
      </c>
      <c r="AP95" s="87" t="s">
        <v>2997</v>
      </c>
      <c r="AQ95" s="87" t="s">
        <v>2997</v>
      </c>
      <c r="AR95" s="87" t="s">
        <v>2997</v>
      </c>
      <c r="AS95" s="87" t="s">
        <v>2997</v>
      </c>
      <c r="AT95" s="87" t="s">
        <v>2997</v>
      </c>
      <c r="AU95" s="87" t="s">
        <v>2997</v>
      </c>
      <c r="AV95" s="87" t="s">
        <v>2997</v>
      </c>
      <c r="AW95" s="87" t="s">
        <v>2997</v>
      </c>
      <c r="AX95" s="87" t="s">
        <v>2997</v>
      </c>
      <c r="AY95" s="87" t="s">
        <v>2997</v>
      </c>
      <c r="AZ95" s="21" t="e">
        <f>CHOOSE(CharGenMain!$C$206,G95,J95,M95,P95,S95,V95,Y95,AB95,AE95,AH95,AK95,AN95,AQ95,AT95,AW95)</f>
        <v>#VALUE!</v>
      </c>
      <c r="BA95" s="21" t="e">
        <f>CHOOSE(CharGenMain!$C$206,H95,K95,N95,Q95,T95,W95,Z95,AC95,AF95,AI95,AL95,AO95,AR95,AU95,AX95)</f>
        <v>#VALUE!</v>
      </c>
      <c r="BB95" s="21" t="e">
        <f>CHOOSE(CharGenMain!$C$206,I95,L95,O95,R95,U95,X95,AA95,AD95,AG95,AJ95,AM95,AP95,AS95,AV95,AY95)</f>
        <v>#VALUE!</v>
      </c>
      <c r="BC95" s="21" t="e">
        <f>CHOOSE(CharGenMain!$C$207,G95,J95,M95,P95,S95,V95,Y95,AB95,AE95,AH95,AK95,AN95,AQ95,AT95,AW95)</f>
        <v>#VALUE!</v>
      </c>
      <c r="BD95" s="21" t="e">
        <f>CHOOSE(CharGenMain!$C$207,H95,K95,N95,Q95,T95,W95,Z95,AC95,AF95,AI95,AL95,AO95,AR95,AU95,AX95)</f>
        <v>#VALUE!</v>
      </c>
      <c r="BE95" s="28" t="e">
        <f>CHOOSE(CharGenMain!$C$207,I95,L95,O95,R95,U95,X95,AA95,AD95,AG95,AJ95,AM95,AP95,AS95,AV95,AY95)</f>
        <v>#VALUE!</v>
      </c>
    </row>
    <row r="96" spans="1:57">
      <c r="A96" s="20" t="s">
        <v>5673</v>
      </c>
      <c r="B96" s="167" t="s">
        <v>409</v>
      </c>
      <c r="C96" s="14" t="s">
        <v>2279</v>
      </c>
      <c r="D96" s="14">
        <v>2</v>
      </c>
      <c r="E96" s="14">
        <v>6</v>
      </c>
      <c r="F96" s="14">
        <v>12</v>
      </c>
      <c r="G96" s="87">
        <v>12</v>
      </c>
      <c r="H96" s="87">
        <v>0</v>
      </c>
      <c r="I96" s="87" t="s">
        <v>5674</v>
      </c>
      <c r="J96" s="87">
        <v>14</v>
      </c>
      <c r="K96" s="87">
        <v>0</v>
      </c>
      <c r="L96" s="87" t="s">
        <v>5674</v>
      </c>
      <c r="M96" s="87">
        <v>15</v>
      </c>
      <c r="N96" s="87">
        <v>0</v>
      </c>
      <c r="O96" s="87" t="s">
        <v>5674</v>
      </c>
      <c r="P96" s="87">
        <v>16</v>
      </c>
      <c r="Q96" s="87">
        <v>0</v>
      </c>
      <c r="R96" s="87" t="s">
        <v>5674</v>
      </c>
      <c r="S96" s="87">
        <v>16</v>
      </c>
      <c r="T96" s="87">
        <v>0</v>
      </c>
      <c r="U96" s="87" t="s">
        <v>5674</v>
      </c>
      <c r="V96" s="87">
        <v>18</v>
      </c>
      <c r="W96" s="87">
        <v>0</v>
      </c>
      <c r="X96" s="87" t="s">
        <v>5674</v>
      </c>
      <c r="Y96" s="87" t="s">
        <v>2997</v>
      </c>
      <c r="Z96" s="87" t="s">
        <v>2997</v>
      </c>
      <c r="AA96" s="87" t="s">
        <v>2997</v>
      </c>
      <c r="AB96" s="87" t="s">
        <v>2997</v>
      </c>
      <c r="AC96" s="87" t="s">
        <v>2997</v>
      </c>
      <c r="AD96" s="87" t="s">
        <v>2997</v>
      </c>
      <c r="AE96" s="87" t="s">
        <v>2997</v>
      </c>
      <c r="AF96" s="87" t="s">
        <v>2997</v>
      </c>
      <c r="AG96" s="87" t="s">
        <v>2997</v>
      </c>
      <c r="AH96" s="87" t="s">
        <v>2997</v>
      </c>
      <c r="AI96" s="87" t="s">
        <v>2997</v>
      </c>
      <c r="AJ96" s="87" t="s">
        <v>2997</v>
      </c>
      <c r="AK96" s="87" t="s">
        <v>2997</v>
      </c>
      <c r="AL96" s="87" t="s">
        <v>2997</v>
      </c>
      <c r="AM96" s="87" t="s">
        <v>2997</v>
      </c>
      <c r="AN96" s="87" t="s">
        <v>2997</v>
      </c>
      <c r="AO96" s="87" t="s">
        <v>2997</v>
      </c>
      <c r="AP96" s="87" t="s">
        <v>2997</v>
      </c>
      <c r="AQ96" s="87" t="s">
        <v>2997</v>
      </c>
      <c r="AR96" s="87" t="s">
        <v>2997</v>
      </c>
      <c r="AS96" s="87" t="s">
        <v>2997</v>
      </c>
      <c r="AT96" s="87" t="s">
        <v>2997</v>
      </c>
      <c r="AU96" s="87" t="s">
        <v>2997</v>
      </c>
      <c r="AV96" s="87" t="s">
        <v>2997</v>
      </c>
      <c r="AW96" s="87" t="s">
        <v>2997</v>
      </c>
      <c r="AX96" s="87" t="s">
        <v>2997</v>
      </c>
      <c r="AY96" s="87" t="s">
        <v>2997</v>
      </c>
      <c r="AZ96" s="21" t="e">
        <f>CHOOSE(CharGenMain!$C$206,G96,J96,M96,P96,S96,V96,Y96,AB96,AE96,AH96,AK96,AN96,AQ96,AT96,AW96)</f>
        <v>#VALUE!</v>
      </c>
      <c r="BA96" s="21" t="e">
        <f>CHOOSE(CharGenMain!$C$206,H96,K96,N96,Q96,T96,W96,Z96,AC96,AF96,AI96,AL96,AO96,AR96,AU96,AX96)</f>
        <v>#VALUE!</v>
      </c>
      <c r="BB96" s="21" t="e">
        <f>CHOOSE(CharGenMain!$C$206,I96,L96,O96,R96,U96,X96,AA96,AD96,AG96,AJ96,AM96,AP96,AS96,AV96,AY96)</f>
        <v>#VALUE!</v>
      </c>
      <c r="BC96" s="21" t="e">
        <f>CHOOSE(CharGenMain!$C$207,G96,J96,M96,P96,S96,V96,Y96,AB96,AE96,AH96,AK96,AN96,AQ96,AT96,AW96)</f>
        <v>#VALUE!</v>
      </c>
      <c r="BD96" s="21" t="e">
        <f>CHOOSE(CharGenMain!$C$207,H96,K96,N96,Q96,T96,W96,Z96,AC96,AF96,AI96,AL96,AO96,AR96,AU96,AX96)</f>
        <v>#VALUE!</v>
      </c>
      <c r="BE96" s="28" t="e">
        <f>CHOOSE(CharGenMain!$C$207,I96,L96,O96,R96,U96,X96,AA96,AD96,AG96,AJ96,AM96,AP96,AS96,AV96,AY96)</f>
        <v>#VALUE!</v>
      </c>
    </row>
    <row r="97" spans="1:57">
      <c r="A97" s="226" t="s">
        <v>489</v>
      </c>
      <c r="B97" s="167" t="s">
        <v>1158</v>
      </c>
      <c r="C97" s="14" t="s">
        <v>2223</v>
      </c>
      <c r="D97" s="14">
        <v>2</v>
      </c>
      <c r="E97" s="14">
        <v>6</v>
      </c>
      <c r="F97" s="14">
        <v>13</v>
      </c>
      <c r="G97" s="87">
        <v>10</v>
      </c>
      <c r="H97" s="87">
        <v>0</v>
      </c>
      <c r="I97" s="206" t="s">
        <v>2238</v>
      </c>
      <c r="J97" s="87">
        <v>10</v>
      </c>
      <c r="K97" s="87">
        <v>0</v>
      </c>
      <c r="L97" s="206" t="s">
        <v>2239</v>
      </c>
      <c r="M97" s="87">
        <v>10</v>
      </c>
      <c r="N97" s="87">
        <v>0</v>
      </c>
      <c r="O97" s="206" t="s">
        <v>2371</v>
      </c>
      <c r="P97" s="87">
        <v>11</v>
      </c>
      <c r="Q97" s="87">
        <v>0</v>
      </c>
      <c r="R97" s="206" t="s">
        <v>490</v>
      </c>
      <c r="S97" s="87">
        <v>11</v>
      </c>
      <c r="T97" s="87">
        <v>0</v>
      </c>
      <c r="U97" s="206" t="s">
        <v>491</v>
      </c>
      <c r="V97" s="87">
        <v>11</v>
      </c>
      <c r="W97" s="87">
        <v>0</v>
      </c>
      <c r="X97" s="206" t="s">
        <v>492</v>
      </c>
      <c r="Y97" s="87" t="s">
        <v>2997</v>
      </c>
      <c r="Z97" s="87" t="s">
        <v>2997</v>
      </c>
      <c r="AA97" s="87" t="s">
        <v>2997</v>
      </c>
      <c r="AB97" s="87" t="s">
        <v>2997</v>
      </c>
      <c r="AC97" s="87" t="s">
        <v>2997</v>
      </c>
      <c r="AD97" s="87" t="s">
        <v>2997</v>
      </c>
      <c r="AE97" s="87" t="s">
        <v>2997</v>
      </c>
      <c r="AF97" s="87" t="s">
        <v>2997</v>
      </c>
      <c r="AG97" s="87" t="s">
        <v>2997</v>
      </c>
      <c r="AH97" s="87" t="s">
        <v>2997</v>
      </c>
      <c r="AI97" s="87" t="s">
        <v>2997</v>
      </c>
      <c r="AJ97" s="87" t="s">
        <v>2997</v>
      </c>
      <c r="AK97" s="87" t="s">
        <v>2997</v>
      </c>
      <c r="AL97" s="87" t="s">
        <v>2997</v>
      </c>
      <c r="AM97" s="87" t="s">
        <v>2997</v>
      </c>
      <c r="AN97" s="87" t="s">
        <v>2997</v>
      </c>
      <c r="AO97" s="87" t="s">
        <v>2997</v>
      </c>
      <c r="AP97" s="87" t="s">
        <v>2997</v>
      </c>
      <c r="AQ97" s="87" t="s">
        <v>2997</v>
      </c>
      <c r="AR97" s="87" t="s">
        <v>2997</v>
      </c>
      <c r="AS97" s="87" t="s">
        <v>2997</v>
      </c>
      <c r="AT97" s="87" t="s">
        <v>2997</v>
      </c>
      <c r="AU97" s="87" t="s">
        <v>2997</v>
      </c>
      <c r="AV97" s="87" t="s">
        <v>2997</v>
      </c>
      <c r="AW97" s="87" t="s">
        <v>2997</v>
      </c>
      <c r="AX97" s="87" t="s">
        <v>2997</v>
      </c>
      <c r="AY97" s="87" t="s">
        <v>2997</v>
      </c>
      <c r="AZ97" s="21" t="e">
        <f>CHOOSE(CharGenMain!$C$206,G97,J97,M97,P97,S97,V97,Y97,AB97,AE97,AH97,AK97,AN97,AQ97,AT97,AW97)</f>
        <v>#VALUE!</v>
      </c>
      <c r="BA97" s="21" t="e">
        <f>CHOOSE(CharGenMain!$C$206,H97,K97,N97,Q97,T97,W97,Z97,AC97,AF97,AI97,AL97,AO97,AR97,AU97,AX97)</f>
        <v>#VALUE!</v>
      </c>
      <c r="BB97" s="21" t="e">
        <f>CHOOSE(CharGenMain!$C$206,I97,L97,O97,R97,U97,X97,AA97,AD97,AG97,AJ97,AM97,AP97,AS97,AV97,AY97)</f>
        <v>#VALUE!</v>
      </c>
      <c r="BC97" s="21" t="e">
        <f>CHOOSE(CharGenMain!$C$207,G97,J97,M97,P97,S97,V97,Y97,AB97,AE97,AH97,AK97,AN97,AQ97,AT97,AW97)</f>
        <v>#VALUE!</v>
      </c>
      <c r="BD97" s="21" t="e">
        <f>CHOOSE(CharGenMain!$C$207,H97,K97,N97,Q97,T97,W97,Z97,AC97,AF97,AI97,AL97,AO97,AR97,AU97,AX97)</f>
        <v>#VALUE!</v>
      </c>
      <c r="BE97" s="28" t="e">
        <f>CHOOSE(CharGenMain!$C$207,I97,L97,O97,R97,U97,X97,AA97,AD97,AG97,AJ97,AM97,AP97,AS97,AV97,AY97)</f>
        <v>#VALUE!</v>
      </c>
    </row>
    <row r="98" spans="1:57">
      <c r="A98" s="226" t="s">
        <v>116</v>
      </c>
      <c r="B98" s="167" t="s">
        <v>815</v>
      </c>
      <c r="C98" s="14" t="s">
        <v>2667</v>
      </c>
      <c r="D98" s="14">
        <v>3</v>
      </c>
      <c r="E98" s="14">
        <v>4</v>
      </c>
      <c r="F98" s="14">
        <v>16</v>
      </c>
      <c r="G98" s="87">
        <v>6</v>
      </c>
      <c r="H98" s="87">
        <v>0</v>
      </c>
      <c r="I98" s="87" t="s">
        <v>493</v>
      </c>
      <c r="J98" s="87">
        <v>6</v>
      </c>
      <c r="K98" s="87">
        <v>0</v>
      </c>
      <c r="L98" s="206" t="s">
        <v>494</v>
      </c>
      <c r="M98" s="87">
        <v>6</v>
      </c>
      <c r="N98" s="87">
        <v>0</v>
      </c>
      <c r="O98" s="206" t="s">
        <v>495</v>
      </c>
      <c r="P98" s="87">
        <v>6</v>
      </c>
      <c r="Q98" s="87">
        <v>0</v>
      </c>
      <c r="R98" s="206" t="s">
        <v>495</v>
      </c>
      <c r="S98" s="87" t="s">
        <v>2997</v>
      </c>
      <c r="T98" s="87" t="s">
        <v>2997</v>
      </c>
      <c r="U98" s="87" t="s">
        <v>2997</v>
      </c>
      <c r="V98" s="87" t="s">
        <v>2997</v>
      </c>
      <c r="W98" s="87" t="s">
        <v>2997</v>
      </c>
      <c r="X98" s="87" t="s">
        <v>2997</v>
      </c>
      <c r="Y98" s="87" t="s">
        <v>2997</v>
      </c>
      <c r="Z98" s="87" t="s">
        <v>2997</v>
      </c>
      <c r="AA98" s="87" t="s">
        <v>2997</v>
      </c>
      <c r="AB98" s="87" t="s">
        <v>2997</v>
      </c>
      <c r="AC98" s="87" t="s">
        <v>2997</v>
      </c>
      <c r="AD98" s="87" t="s">
        <v>2997</v>
      </c>
      <c r="AE98" s="87" t="s">
        <v>2997</v>
      </c>
      <c r="AF98" s="87" t="s">
        <v>2997</v>
      </c>
      <c r="AG98" s="87" t="s">
        <v>2997</v>
      </c>
      <c r="AH98" s="87" t="s">
        <v>2997</v>
      </c>
      <c r="AI98" s="87" t="s">
        <v>2997</v>
      </c>
      <c r="AJ98" s="87" t="s">
        <v>2997</v>
      </c>
      <c r="AK98" s="87" t="s">
        <v>2997</v>
      </c>
      <c r="AL98" s="87" t="s">
        <v>2997</v>
      </c>
      <c r="AM98" s="87" t="s">
        <v>2997</v>
      </c>
      <c r="AN98" s="87" t="s">
        <v>2997</v>
      </c>
      <c r="AO98" s="87" t="s">
        <v>2997</v>
      </c>
      <c r="AP98" s="87" t="s">
        <v>2997</v>
      </c>
      <c r="AQ98" s="87" t="s">
        <v>2997</v>
      </c>
      <c r="AR98" s="87" t="s">
        <v>2997</v>
      </c>
      <c r="AS98" s="87" t="s">
        <v>2997</v>
      </c>
      <c r="AT98" s="87" t="s">
        <v>2997</v>
      </c>
      <c r="AU98" s="87" t="s">
        <v>2997</v>
      </c>
      <c r="AV98" s="87" t="s">
        <v>2997</v>
      </c>
      <c r="AW98" s="87" t="s">
        <v>2997</v>
      </c>
      <c r="AX98" s="87" t="s">
        <v>2997</v>
      </c>
      <c r="AY98" s="87" t="s">
        <v>2997</v>
      </c>
      <c r="AZ98" s="21" t="e">
        <f>CHOOSE(CharGenMain!$C$206,G98,J98,M98,P98,S98,V98,Y98,AB98,AE98,AH98,AK98,AN98,AQ98,AT98,AW98)</f>
        <v>#VALUE!</v>
      </c>
      <c r="BA98" s="21" t="e">
        <f>CHOOSE(CharGenMain!$C$206,H98,K98,N98,Q98,T98,W98,Z98,AC98,AF98,AI98,AL98,AO98,AR98,AU98,AX98)</f>
        <v>#VALUE!</v>
      </c>
      <c r="BB98" s="21" t="e">
        <f>CHOOSE(CharGenMain!$C$206,I98,L98,O98,R98,U98,X98,AA98,AD98,AG98,AJ98,AM98,AP98,AS98,AV98,AY98)</f>
        <v>#VALUE!</v>
      </c>
      <c r="BC98" s="21" t="e">
        <f>CHOOSE(CharGenMain!$C$207,G98,J98,M98,P98,S98,V98,Y98,AB98,AE98,AH98,AK98,AN98,AQ98,AT98,AW98)</f>
        <v>#VALUE!</v>
      </c>
      <c r="BD98" s="21" t="e">
        <f>CHOOSE(CharGenMain!$C$207,H98,K98,N98,Q98,T98,W98,Z98,AC98,AF98,AI98,AL98,AO98,AR98,AU98,AX98)</f>
        <v>#VALUE!</v>
      </c>
      <c r="BE98" s="28" t="e">
        <f>CHOOSE(CharGenMain!$C$207,I98,L98,O98,R98,U98,X98,AA98,AD98,AG98,AJ98,AM98,AP98,AS98,AV98,AY98)</f>
        <v>#VALUE!</v>
      </c>
    </row>
    <row r="99" spans="1:57">
      <c r="A99" s="20" t="s">
        <v>117</v>
      </c>
      <c r="B99" s="167" t="s">
        <v>118</v>
      </c>
      <c r="C99" s="14" t="s">
        <v>2279</v>
      </c>
      <c r="D99" s="14">
        <v>2</v>
      </c>
      <c r="E99" s="14">
        <v>4</v>
      </c>
      <c r="F99" s="14">
        <v>18</v>
      </c>
      <c r="G99" s="87">
        <v>13</v>
      </c>
      <c r="H99" s="87">
        <v>0</v>
      </c>
      <c r="I99" s="87" t="s">
        <v>1215</v>
      </c>
      <c r="J99" s="87">
        <v>14</v>
      </c>
      <c r="K99" s="87">
        <v>0</v>
      </c>
      <c r="L99" s="87" t="s">
        <v>1215</v>
      </c>
      <c r="M99" s="87">
        <v>15</v>
      </c>
      <c r="N99" s="87">
        <v>0</v>
      </c>
      <c r="O99" s="87" t="s">
        <v>1215</v>
      </c>
      <c r="P99" s="87">
        <v>16</v>
      </c>
      <c r="Q99" s="87">
        <v>0</v>
      </c>
      <c r="R99" s="87" t="s">
        <v>1215</v>
      </c>
      <c r="S99" s="87" t="s">
        <v>2997</v>
      </c>
      <c r="T99" s="87" t="s">
        <v>2997</v>
      </c>
      <c r="U99" s="87" t="s">
        <v>2997</v>
      </c>
      <c r="V99" s="87" t="s">
        <v>2997</v>
      </c>
      <c r="W99" s="87" t="s">
        <v>2997</v>
      </c>
      <c r="X99" s="87" t="s">
        <v>2997</v>
      </c>
      <c r="Y99" s="87" t="s">
        <v>2997</v>
      </c>
      <c r="Z99" s="87" t="s">
        <v>2997</v>
      </c>
      <c r="AA99" s="87" t="s">
        <v>2997</v>
      </c>
      <c r="AB99" s="87" t="s">
        <v>2997</v>
      </c>
      <c r="AC99" s="87" t="s">
        <v>2997</v>
      </c>
      <c r="AD99" s="87" t="s">
        <v>2997</v>
      </c>
      <c r="AE99" s="87" t="s">
        <v>2997</v>
      </c>
      <c r="AF99" s="87" t="s">
        <v>2997</v>
      </c>
      <c r="AG99" s="87" t="s">
        <v>2997</v>
      </c>
      <c r="AH99" s="87" t="s">
        <v>2997</v>
      </c>
      <c r="AI99" s="87" t="s">
        <v>2997</v>
      </c>
      <c r="AJ99" s="87" t="s">
        <v>2997</v>
      </c>
      <c r="AK99" s="87" t="s">
        <v>2997</v>
      </c>
      <c r="AL99" s="87" t="s">
        <v>2997</v>
      </c>
      <c r="AM99" s="87" t="s">
        <v>2997</v>
      </c>
      <c r="AN99" s="87" t="s">
        <v>2997</v>
      </c>
      <c r="AO99" s="87" t="s">
        <v>2997</v>
      </c>
      <c r="AP99" s="87" t="s">
        <v>2997</v>
      </c>
      <c r="AQ99" s="87" t="s">
        <v>2997</v>
      </c>
      <c r="AR99" s="87" t="s">
        <v>2997</v>
      </c>
      <c r="AS99" s="87" t="s">
        <v>2997</v>
      </c>
      <c r="AT99" s="87" t="s">
        <v>2997</v>
      </c>
      <c r="AU99" s="87" t="s">
        <v>2997</v>
      </c>
      <c r="AV99" s="87" t="s">
        <v>2997</v>
      </c>
      <c r="AW99" s="87" t="s">
        <v>2997</v>
      </c>
      <c r="AX99" s="87" t="s">
        <v>2997</v>
      </c>
      <c r="AY99" s="87" t="s">
        <v>2997</v>
      </c>
      <c r="AZ99" s="21" t="e">
        <f>CHOOSE(CharGenMain!$C$206,G99,J99,M99,P99,S99,V99,Y99,AB99,AE99,AH99,AK99,AN99,AQ99,AT99,AW99)</f>
        <v>#VALUE!</v>
      </c>
      <c r="BA99" s="21" t="e">
        <f>CHOOSE(CharGenMain!$C$206,H99,K99,N99,Q99,T99,W99,Z99,AC99,AF99,AI99,AL99,AO99,AR99,AU99,AX99)</f>
        <v>#VALUE!</v>
      </c>
      <c r="BB99" s="21" t="e">
        <f>CHOOSE(CharGenMain!$C$206,I99,L99,O99,R99,U99,X99,AA99,AD99,AG99,AJ99,AM99,AP99,AS99,AV99,AY99)</f>
        <v>#VALUE!</v>
      </c>
      <c r="BC99" s="21" t="e">
        <f>CHOOSE(CharGenMain!$C$207,G99,J99,M99,P99,S99,V99,Y99,AB99,AE99,AH99,AK99,AN99,AQ99,AT99,AW99)</f>
        <v>#VALUE!</v>
      </c>
      <c r="BD99" s="21" t="e">
        <f>CHOOSE(CharGenMain!$C$207,H99,K99,N99,Q99,T99,W99,Z99,AC99,AF99,AI99,AL99,AO99,AR99,AU99,AX99)</f>
        <v>#VALUE!</v>
      </c>
      <c r="BE99" s="28" t="e">
        <f>CHOOSE(CharGenMain!$C$207,I99,L99,O99,R99,U99,X99,AA99,AD99,AG99,AJ99,AM99,AP99,AS99,AV99,AY99)</f>
        <v>#VALUE!</v>
      </c>
    </row>
    <row r="100" spans="1:57">
      <c r="A100" s="20" t="s">
        <v>119</v>
      </c>
      <c r="B100" s="167" t="s">
        <v>118</v>
      </c>
      <c r="C100" s="14" t="s">
        <v>2279</v>
      </c>
      <c r="D100" s="14">
        <v>3</v>
      </c>
      <c r="E100" s="14">
        <v>4</v>
      </c>
      <c r="F100" s="14">
        <v>18</v>
      </c>
      <c r="G100" s="87">
        <v>13</v>
      </c>
      <c r="H100" s="87">
        <v>0</v>
      </c>
      <c r="I100" s="87" t="s">
        <v>1215</v>
      </c>
      <c r="J100" s="87">
        <v>14</v>
      </c>
      <c r="K100" s="87">
        <v>0</v>
      </c>
      <c r="L100" s="87" t="s">
        <v>1215</v>
      </c>
      <c r="M100" s="87">
        <v>15</v>
      </c>
      <c r="N100" s="87">
        <v>0</v>
      </c>
      <c r="O100" s="87" t="s">
        <v>1215</v>
      </c>
      <c r="P100" s="87">
        <v>15</v>
      </c>
      <c r="Q100" s="87">
        <v>0</v>
      </c>
      <c r="R100" s="87" t="s">
        <v>120</v>
      </c>
      <c r="S100" s="87" t="s">
        <v>2997</v>
      </c>
      <c r="T100" s="87" t="s">
        <v>2997</v>
      </c>
      <c r="U100" s="87" t="s">
        <v>2997</v>
      </c>
      <c r="V100" s="87" t="s">
        <v>2997</v>
      </c>
      <c r="W100" s="87" t="s">
        <v>2997</v>
      </c>
      <c r="X100" s="87" t="s">
        <v>2997</v>
      </c>
      <c r="Y100" s="87" t="s">
        <v>2997</v>
      </c>
      <c r="Z100" s="87" t="s">
        <v>2997</v>
      </c>
      <c r="AA100" s="87" t="s">
        <v>2997</v>
      </c>
      <c r="AB100" s="87" t="s">
        <v>2997</v>
      </c>
      <c r="AC100" s="87" t="s">
        <v>2997</v>
      </c>
      <c r="AD100" s="87" t="s">
        <v>2997</v>
      </c>
      <c r="AE100" s="87" t="s">
        <v>2997</v>
      </c>
      <c r="AF100" s="87" t="s">
        <v>2997</v>
      </c>
      <c r="AG100" s="87" t="s">
        <v>2997</v>
      </c>
      <c r="AH100" s="87" t="s">
        <v>2997</v>
      </c>
      <c r="AI100" s="87" t="s">
        <v>2997</v>
      </c>
      <c r="AJ100" s="87" t="s">
        <v>2997</v>
      </c>
      <c r="AK100" s="87" t="s">
        <v>2997</v>
      </c>
      <c r="AL100" s="87" t="s">
        <v>2997</v>
      </c>
      <c r="AM100" s="87" t="s">
        <v>2997</v>
      </c>
      <c r="AN100" s="87" t="s">
        <v>2997</v>
      </c>
      <c r="AO100" s="87" t="s">
        <v>2997</v>
      </c>
      <c r="AP100" s="87" t="s">
        <v>2997</v>
      </c>
      <c r="AQ100" s="87" t="s">
        <v>2997</v>
      </c>
      <c r="AR100" s="87" t="s">
        <v>2997</v>
      </c>
      <c r="AS100" s="87" t="s">
        <v>2997</v>
      </c>
      <c r="AT100" s="87" t="s">
        <v>2997</v>
      </c>
      <c r="AU100" s="87" t="s">
        <v>2997</v>
      </c>
      <c r="AV100" s="87" t="s">
        <v>2997</v>
      </c>
      <c r="AW100" s="87" t="s">
        <v>2997</v>
      </c>
      <c r="AX100" s="87" t="s">
        <v>2997</v>
      </c>
      <c r="AY100" s="87" t="s">
        <v>2997</v>
      </c>
      <c r="AZ100" s="21" t="e">
        <f>CHOOSE(CharGenMain!$C$206,G100,J100,M100,P100,S100,V100,Y100,AB100,AE100,AH100,AK100,AN100,AQ100,AT100,AW100)</f>
        <v>#VALUE!</v>
      </c>
      <c r="BA100" s="21" t="e">
        <f>CHOOSE(CharGenMain!$C$206,H100,K100,N100,Q100,T100,W100,Z100,AC100,AF100,AI100,AL100,AO100,AR100,AU100,AX100)</f>
        <v>#VALUE!</v>
      </c>
      <c r="BB100" s="21" t="e">
        <f>CHOOSE(CharGenMain!$C$206,I100,L100,O100,R100,U100,X100,AA100,AD100,AG100,AJ100,AM100,AP100,AS100,AV100,AY100)</f>
        <v>#VALUE!</v>
      </c>
      <c r="BC100" s="21" t="e">
        <f>CHOOSE(CharGenMain!$C$207,G100,J100,M100,P100,S100,V100,Y100,AB100,AE100,AH100,AK100,AN100,AQ100,AT100,AW100)</f>
        <v>#VALUE!</v>
      </c>
      <c r="BD100" s="21" t="e">
        <f>CHOOSE(CharGenMain!$C$207,H100,K100,N100,Q100,T100,W100,Z100,AC100,AF100,AI100,AL100,AO100,AR100,AU100,AX100)</f>
        <v>#VALUE!</v>
      </c>
      <c r="BE100" s="28" t="e">
        <f>CHOOSE(CharGenMain!$C$207,I100,L100,O100,R100,U100,X100,AA100,AD100,AG100,AJ100,AM100,AP100,AS100,AV100,AY100)</f>
        <v>#VALUE!</v>
      </c>
    </row>
    <row r="101" spans="1:57">
      <c r="A101" s="226" t="s">
        <v>496</v>
      </c>
      <c r="B101" s="167" t="s">
        <v>1344</v>
      </c>
      <c r="C101" s="14" t="s">
        <v>2667</v>
      </c>
      <c r="D101" s="14">
        <v>1</v>
      </c>
      <c r="E101" s="14">
        <v>4</v>
      </c>
      <c r="F101" s="14">
        <v>9</v>
      </c>
      <c r="G101" s="87">
        <v>4</v>
      </c>
      <c r="H101" s="87">
        <v>0</v>
      </c>
      <c r="I101" s="87" t="s">
        <v>1215</v>
      </c>
      <c r="J101" s="87">
        <v>4</v>
      </c>
      <c r="K101" s="87">
        <v>0</v>
      </c>
      <c r="L101" s="206" t="s">
        <v>627</v>
      </c>
      <c r="M101" s="87">
        <v>5</v>
      </c>
      <c r="N101" s="87">
        <v>0</v>
      </c>
      <c r="O101" s="206" t="s">
        <v>371</v>
      </c>
      <c r="P101" s="87">
        <v>6</v>
      </c>
      <c r="Q101" s="87">
        <v>0</v>
      </c>
      <c r="R101" s="206" t="s">
        <v>371</v>
      </c>
      <c r="S101" s="87" t="s">
        <v>2997</v>
      </c>
      <c r="T101" s="87" t="s">
        <v>2997</v>
      </c>
      <c r="U101" s="87" t="s">
        <v>2997</v>
      </c>
      <c r="V101" s="87" t="s">
        <v>2997</v>
      </c>
      <c r="W101" s="87" t="s">
        <v>2997</v>
      </c>
      <c r="X101" s="87" t="s">
        <v>2997</v>
      </c>
      <c r="Y101" s="87" t="s">
        <v>2997</v>
      </c>
      <c r="Z101" s="87" t="s">
        <v>2997</v>
      </c>
      <c r="AA101" s="87" t="s">
        <v>2997</v>
      </c>
      <c r="AB101" s="87" t="s">
        <v>2997</v>
      </c>
      <c r="AC101" s="87" t="s">
        <v>2997</v>
      </c>
      <c r="AD101" s="87" t="s">
        <v>2997</v>
      </c>
      <c r="AE101" s="87" t="s">
        <v>2997</v>
      </c>
      <c r="AF101" s="87" t="s">
        <v>2997</v>
      </c>
      <c r="AG101" s="87" t="s">
        <v>2997</v>
      </c>
      <c r="AH101" s="87" t="s">
        <v>2997</v>
      </c>
      <c r="AI101" s="87" t="s">
        <v>2997</v>
      </c>
      <c r="AJ101" s="87" t="s">
        <v>2997</v>
      </c>
      <c r="AK101" s="87" t="s">
        <v>2997</v>
      </c>
      <c r="AL101" s="87" t="s">
        <v>2997</v>
      </c>
      <c r="AM101" s="87" t="s">
        <v>2997</v>
      </c>
      <c r="AN101" s="87" t="s">
        <v>2997</v>
      </c>
      <c r="AO101" s="87" t="s">
        <v>2997</v>
      </c>
      <c r="AP101" s="87" t="s">
        <v>2997</v>
      </c>
      <c r="AQ101" s="87" t="s">
        <v>2997</v>
      </c>
      <c r="AR101" s="87" t="s">
        <v>2997</v>
      </c>
      <c r="AS101" s="87" t="s">
        <v>2997</v>
      </c>
      <c r="AT101" s="87" t="s">
        <v>2997</v>
      </c>
      <c r="AU101" s="87" t="s">
        <v>2997</v>
      </c>
      <c r="AV101" s="87" t="s">
        <v>2997</v>
      </c>
      <c r="AW101" s="87" t="s">
        <v>2997</v>
      </c>
      <c r="AX101" s="87" t="s">
        <v>2997</v>
      </c>
      <c r="AY101" s="87" t="s">
        <v>2997</v>
      </c>
      <c r="AZ101" s="21" t="e">
        <f>CHOOSE(CharGenMain!$C$206,G101,J101,M101,P101,S101,V101,Y101,AB101,AE101,AH101,AK101,AN101,AQ101,AT101,AW101)</f>
        <v>#VALUE!</v>
      </c>
      <c r="BA101" s="21" t="e">
        <f>CHOOSE(CharGenMain!$C$206,H101,K101,N101,Q101,T101,W101,Z101,AC101,AF101,AI101,AL101,AO101,AR101,AU101,AX101)</f>
        <v>#VALUE!</v>
      </c>
      <c r="BB101" s="21" t="e">
        <f>CHOOSE(CharGenMain!$C$206,I101,L101,O101,R101,U101,X101,AA101,AD101,AG101,AJ101,AM101,AP101,AS101,AV101,AY101)</f>
        <v>#VALUE!</v>
      </c>
      <c r="BC101" s="21" t="e">
        <f>CHOOSE(CharGenMain!$C$207,G101,J101,M101,P101,S101,V101,Y101,AB101,AE101,AH101,AK101,AN101,AQ101,AT101,AW101)</f>
        <v>#VALUE!</v>
      </c>
      <c r="BD101" s="21" t="e">
        <f>CHOOSE(CharGenMain!$C$207,H101,K101,N101,Q101,T101,W101,Z101,AC101,AF101,AI101,AL101,AO101,AR101,AU101,AX101)</f>
        <v>#VALUE!</v>
      </c>
      <c r="BE101" s="28" t="e">
        <f>CHOOSE(CharGenMain!$C$207,I101,L101,O101,R101,U101,X101,AA101,AD101,AG101,AJ101,AM101,AP101,AS101,AV101,AY101)</f>
        <v>#VALUE!</v>
      </c>
    </row>
    <row r="102" spans="1:57">
      <c r="A102" s="22" t="s">
        <v>372</v>
      </c>
      <c r="B102" s="100" t="s">
        <v>373</v>
      </c>
      <c r="C102" s="23" t="s">
        <v>2279</v>
      </c>
      <c r="D102" s="23">
        <v>4</v>
      </c>
      <c r="E102" s="23">
        <v>7</v>
      </c>
      <c r="F102" s="23">
        <v>23</v>
      </c>
      <c r="G102" s="117">
        <v>9</v>
      </c>
      <c r="H102" s="117">
        <v>0</v>
      </c>
      <c r="I102" s="117" t="s">
        <v>1215</v>
      </c>
      <c r="J102" s="117">
        <v>10</v>
      </c>
      <c r="K102" s="117">
        <v>0</v>
      </c>
      <c r="L102" s="228" t="s">
        <v>2238</v>
      </c>
      <c r="M102" s="117">
        <v>11</v>
      </c>
      <c r="N102" s="117">
        <v>0</v>
      </c>
      <c r="O102" s="228" t="s">
        <v>2359</v>
      </c>
      <c r="P102" s="117">
        <v>12</v>
      </c>
      <c r="Q102" s="117">
        <v>0</v>
      </c>
      <c r="R102" s="228" t="s">
        <v>2360</v>
      </c>
      <c r="S102" s="117">
        <v>13</v>
      </c>
      <c r="T102" s="117">
        <v>0</v>
      </c>
      <c r="U102" s="228" t="s">
        <v>375</v>
      </c>
      <c r="V102" s="117">
        <v>15</v>
      </c>
      <c r="W102" s="117">
        <v>0</v>
      </c>
      <c r="X102" s="228" t="s">
        <v>376</v>
      </c>
      <c r="Y102" s="117">
        <v>15</v>
      </c>
      <c r="Z102" s="117">
        <v>0</v>
      </c>
      <c r="AA102" s="228" t="s">
        <v>498</v>
      </c>
      <c r="AB102" s="117" t="s">
        <v>2997</v>
      </c>
      <c r="AC102" s="117" t="s">
        <v>2997</v>
      </c>
      <c r="AD102" s="117" t="s">
        <v>2997</v>
      </c>
      <c r="AE102" s="117" t="s">
        <v>2997</v>
      </c>
      <c r="AF102" s="117" t="s">
        <v>2997</v>
      </c>
      <c r="AG102" s="117" t="s">
        <v>2997</v>
      </c>
      <c r="AH102" s="117" t="s">
        <v>2997</v>
      </c>
      <c r="AI102" s="117" t="s">
        <v>2997</v>
      </c>
      <c r="AJ102" s="117" t="s">
        <v>2997</v>
      </c>
      <c r="AK102" s="117" t="s">
        <v>2997</v>
      </c>
      <c r="AL102" s="117" t="s">
        <v>2997</v>
      </c>
      <c r="AM102" s="117" t="s">
        <v>2997</v>
      </c>
      <c r="AN102" s="117" t="s">
        <v>2997</v>
      </c>
      <c r="AO102" s="117" t="s">
        <v>2997</v>
      </c>
      <c r="AP102" s="117" t="s">
        <v>2997</v>
      </c>
      <c r="AQ102" s="117" t="s">
        <v>2997</v>
      </c>
      <c r="AR102" s="117" t="s">
        <v>2997</v>
      </c>
      <c r="AS102" s="117" t="s">
        <v>2997</v>
      </c>
      <c r="AT102" s="117" t="s">
        <v>2997</v>
      </c>
      <c r="AU102" s="117" t="s">
        <v>2997</v>
      </c>
      <c r="AV102" s="117" t="s">
        <v>2997</v>
      </c>
      <c r="AW102" s="117" t="s">
        <v>2997</v>
      </c>
      <c r="AX102" s="117" t="s">
        <v>2997</v>
      </c>
      <c r="AY102" s="117" t="s">
        <v>2997</v>
      </c>
      <c r="AZ102" s="29" t="e">
        <f>CHOOSE(CharGenMain!$C$206,G102,J102,M102,P102,S102,V102,Y102,AB102,AE102,AH102,AK102,AN102,AQ102,AT102,AW102)</f>
        <v>#VALUE!</v>
      </c>
      <c r="BA102" s="29" t="e">
        <f>CHOOSE(CharGenMain!$C$206,H102,K102,N102,Q102,T102,W102,Z102,AC102,AF102,AI102,AL102,AO102,AR102,AU102,AX102)</f>
        <v>#VALUE!</v>
      </c>
      <c r="BB102" s="29" t="e">
        <f>CHOOSE(CharGenMain!$C$206,I102,L102,O102,R102,U102,X102,AA102,AD102,AG102,AJ102,AM102,AP102,AS102,AV102,AY102)</f>
        <v>#VALUE!</v>
      </c>
      <c r="BC102" s="29" t="e">
        <f>CHOOSE(CharGenMain!$C$207,G102,J102,M102,P102,S102,V102,Y102,AB102,AE102,AH102,AK102,AN102,AQ102,AT102,AW102)</f>
        <v>#VALUE!</v>
      </c>
      <c r="BD102" s="29" t="e">
        <f>CHOOSE(CharGenMain!$C$207,H102,K102,N102,Q102,T102,W102,Z102,AC102,AF102,AI102,AL102,AO102,AR102,AU102,AX102)</f>
        <v>#VALUE!</v>
      </c>
      <c r="BE102" s="61" t="e">
        <f>CHOOSE(CharGenMain!$C$207,I102,L102,O102,R102,U102,X102,AA102,AD102,AG102,AJ102,AM102,AP102,AS102,AV102,AY102)</f>
        <v>#VALUE!</v>
      </c>
    </row>
    <row r="105" spans="1:57">
      <c r="B105" s="167"/>
      <c r="C105" s="14"/>
    </row>
    <row r="106" spans="1:57">
      <c r="B106" s="167"/>
      <c r="C106" s="14"/>
    </row>
    <row r="107" spans="1:57">
      <c r="B107" s="167"/>
      <c r="C107" s="14"/>
    </row>
    <row r="108" spans="1:57">
      <c r="B108" s="167"/>
      <c r="C108" s="5"/>
    </row>
    <row r="109" spans="1:57">
      <c r="B109" s="167"/>
      <c r="C109" s="5"/>
    </row>
    <row r="110" spans="1:57">
      <c r="B110" s="167"/>
      <c r="C110" s="5"/>
    </row>
    <row r="111" spans="1:57">
      <c r="B111" s="167"/>
      <c r="C111" s="5"/>
    </row>
    <row r="112" spans="1:57">
      <c r="B112" s="167"/>
      <c r="C112" s="5"/>
    </row>
    <row r="113" spans="2:3">
      <c r="B113" s="167"/>
      <c r="C113" s="5"/>
    </row>
    <row r="114" spans="2:3">
      <c r="B114" s="167"/>
      <c r="C114" s="5"/>
    </row>
    <row r="115" spans="2:3">
      <c r="B115" s="167"/>
      <c r="C115" s="5"/>
    </row>
  </sheetData>
  <phoneticPr fontId="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X119"/>
  <sheetViews>
    <sheetView workbookViewId="0">
      <pane ySplit="1" topLeftCell="A2" activePane="bottomLeft" state="frozenSplit"/>
      <selection pane="bottomLeft"/>
    </sheetView>
  </sheetViews>
  <sheetFormatPr baseColWidth="10" defaultRowHeight="13"/>
  <cols>
    <col min="1" max="1" width="19.5703125" style="231" customWidth="1"/>
    <col min="2" max="5" width="10.7109375" style="231"/>
    <col min="6" max="6" width="18.42578125" style="231" customWidth="1"/>
    <col min="7" max="10" width="10.7109375" style="231"/>
    <col min="11" max="11" width="35.5703125" style="231" customWidth="1"/>
    <col min="12" max="15" width="10.7109375" style="231"/>
    <col min="16" max="16" width="25.85546875" style="231" customWidth="1"/>
    <col min="17" max="256" width="10.7109375" style="231"/>
    <col min="257" max="257" width="10.7109375" style="231" customWidth="1"/>
    <col min="258" max="259" width="10.7109375" style="231"/>
    <col min="260" max="260" width="10.7109375" style="231" customWidth="1"/>
    <col min="261" max="262" width="10.7109375" style="231"/>
    <col min="263" max="272" width="10.7109375" style="231" customWidth="1"/>
    <col min="273" max="273" width="10.7109375" style="231"/>
    <col min="274" max="275" width="10.7109375" style="231" customWidth="1"/>
    <col min="276" max="278" width="10.7109375" style="231"/>
    <col min="279" max="289" width="10.7109375" style="231" customWidth="1"/>
    <col min="290" max="291" width="10.7109375" style="231"/>
    <col min="292" max="292" width="10.7109375" style="231" customWidth="1"/>
    <col min="293" max="294" width="10.7109375" style="231"/>
    <col min="295" max="305" width="10.7109375" style="231" customWidth="1"/>
    <col min="306" max="307" width="10.7109375" style="231"/>
    <col min="308" max="308" width="10.7109375" style="231" customWidth="1"/>
    <col min="309" max="310" width="10.7109375" style="231"/>
    <col min="311" max="320" width="10.7109375" style="231" customWidth="1"/>
    <col min="321" max="321" width="10.7109375" style="231"/>
    <col min="322" max="326" width="10.7109375" style="231" customWidth="1"/>
    <col min="327" max="327" width="10.7109375" style="231"/>
    <col min="328" max="336" width="10.7109375" style="231" customWidth="1"/>
    <col min="337" max="337" width="10.7109375" style="231"/>
    <col min="338" max="338" width="10.7109375" style="231" customWidth="1"/>
    <col min="339" max="340" width="10.7109375" style="231"/>
    <col min="341" max="341" width="10.7109375" style="231" customWidth="1"/>
    <col min="342" max="342" width="10.7109375" style="231"/>
    <col min="343" max="352" width="10.7109375" style="231" customWidth="1"/>
    <col min="353" max="353" width="10.7109375" style="231"/>
    <col min="354" max="358" width="10.7109375" style="231" customWidth="1"/>
    <col min="359" max="359" width="10.7109375" style="231"/>
    <col min="360" max="370" width="10.7109375" style="231" customWidth="1"/>
    <col min="371" max="374" width="10.7109375" style="231"/>
    <col min="375" max="384" width="10.7109375" style="231" customWidth="1"/>
    <col min="385" max="385" width="10.7109375" style="231"/>
    <col min="386" max="388" width="10.7109375" style="231" customWidth="1"/>
    <col min="389" max="390" width="10.7109375" style="231"/>
    <col min="391" max="400" width="10.7109375" style="231" customWidth="1"/>
    <col min="401" max="401" width="10.7109375" style="231"/>
    <col min="402" max="403" width="10.7109375" style="231" customWidth="1"/>
    <col min="404" max="404" width="10.7109375" style="231"/>
    <col min="405" max="406" width="10.7109375" style="231" customWidth="1"/>
    <col min="407" max="407" width="10.7109375" style="231"/>
    <col min="408" max="417" width="10.7109375" style="231" customWidth="1"/>
    <col min="418" max="418" width="10.7109375" style="231"/>
    <col min="419" max="422" width="10.7109375" style="231" customWidth="1"/>
    <col min="423" max="423" width="10.7109375" style="231"/>
    <col min="424" max="436" width="10.7109375" style="231" customWidth="1"/>
    <col min="437" max="438" width="10.7109375" style="231"/>
    <col min="439" max="449" width="10.7109375" style="231" customWidth="1"/>
    <col min="450" max="451" width="10.7109375" style="231"/>
    <col min="452" max="452" width="10.7109375" style="231" customWidth="1"/>
    <col min="453" max="454" width="10.7109375" style="231"/>
    <col min="455" max="467" width="10.7109375" style="231" customWidth="1"/>
    <col min="468" max="470" width="10.7109375" style="231"/>
    <col min="471" max="481" width="10.7109375" style="231" customWidth="1"/>
    <col min="482" max="482" width="10.7109375" style="231"/>
    <col min="483" max="484" width="10.7109375" style="231" customWidth="1"/>
    <col min="485" max="486" width="10.7109375" style="231"/>
    <col min="487" max="498" width="10.7109375" style="231" customWidth="1"/>
    <col min="499" max="499" width="10.7109375" style="231"/>
    <col min="500" max="500" width="10.7109375" style="231" customWidth="1"/>
    <col min="501" max="502" width="10.7109375" style="231"/>
    <col min="503" max="512" width="10.7109375" style="231" customWidth="1"/>
    <col min="513" max="514" width="10.7109375" style="231"/>
    <col min="515" max="516" width="10.7109375" style="231" customWidth="1"/>
    <col min="517" max="518" width="10.7109375" style="231"/>
    <col min="519" max="536" width="10.7109375" style="231" customWidth="1"/>
    <col min="537" max="537" width="10.7109375" style="231"/>
    <col min="538" max="552" width="10.7109375" style="231" customWidth="1"/>
    <col min="553" max="553" width="10.7109375" style="231"/>
    <col min="554" max="659" width="10.7109375" style="231" customWidth="1"/>
    <col min="660" max="660" width="10.7109375" style="231"/>
    <col min="661" max="661" width="10.7109375" style="231" customWidth="1"/>
    <col min="662" max="663" width="10.7109375" style="231"/>
    <col min="664" max="667" width="10.7109375" style="231" customWidth="1"/>
    <col min="668" max="668" width="10.7109375" style="231"/>
    <col min="669" max="680" width="10.7109375" style="231" customWidth="1"/>
    <col min="681" max="681" width="10.7109375" style="231"/>
    <col min="682" max="683" width="10.7109375" style="231" customWidth="1"/>
    <col min="684" max="685" width="10.7109375" style="231"/>
    <col min="686" max="688" width="10.7109375" style="231" customWidth="1"/>
    <col min="689" max="689" width="10.7109375" style="231"/>
    <col min="690" max="700" width="10.7109375" style="231" customWidth="1"/>
    <col min="701" max="701" width="10.7109375" style="231"/>
    <col min="702" max="703" width="10.7109375" style="231" customWidth="1"/>
    <col min="704" max="704" width="10.7109375" style="231"/>
    <col min="705" max="749" width="10.7109375" style="231" customWidth="1"/>
    <col min="750" max="750" width="10.7109375" style="231"/>
    <col min="751" max="960" width="10.7109375" style="231" customWidth="1"/>
    <col min="961" max="961" width="10.7109375" style="231"/>
    <col min="962" max="963" width="10.7109375" style="231" customWidth="1"/>
    <col min="964" max="965" width="10.7109375" style="231"/>
    <col min="966" max="971" width="10.7109375" style="231" customWidth="1"/>
    <col min="972" max="972" width="10.7109375" style="231"/>
    <col min="973" max="980" width="10.7109375" style="231" customWidth="1"/>
    <col min="981" max="981" width="10.7109375" style="231"/>
    <col min="982" max="982" width="10.7109375" style="231" customWidth="1"/>
    <col min="983" max="983" width="10.7109375" style="231"/>
    <col min="984" max="994" width="10.7109375" style="231" customWidth="1"/>
    <col min="995" max="995" width="10.7109375" style="231"/>
    <col min="996" max="997" width="10.7109375" style="231" customWidth="1"/>
    <col min="998" max="998" width="10.7109375" style="231"/>
    <col min="999" max="1000" width="10.7109375" style="231" customWidth="1"/>
    <col min="1001" max="1001" width="10.7109375" style="231"/>
    <col min="1002" max="1003" width="10.7109375" style="231" customWidth="1"/>
    <col min="1004" max="1005" width="10.7109375" style="231"/>
    <col min="1006" max="1006" width="10.7109375" style="231" customWidth="1"/>
    <col min="1007" max="1007" width="10.7109375" style="231"/>
    <col min="1008" max="1014" width="10.7109375" style="231" customWidth="1"/>
    <col min="1015" max="1016" width="10.7109375" style="231"/>
    <col min="1017" max="1017" width="10.7109375" style="231" customWidth="1"/>
    <col min="1018" max="1018" width="10.7109375" style="231"/>
    <col min="1019" max="1019" width="10.7109375" style="231" customWidth="1"/>
    <col min="1020" max="1021" width="10.7109375" style="231"/>
    <col min="1022" max="1024" width="10.7109375" style="231" customWidth="1"/>
    <col min="1025" max="1025" width="10.7109375" style="231"/>
    <col min="1026" max="1027" width="10.7109375" style="231" customWidth="1"/>
    <col min="1028" max="1029" width="10.7109375" style="231"/>
    <col min="1030" max="1035" width="10.7109375" style="231" customWidth="1"/>
    <col min="1036" max="1036" width="10.7109375" style="231"/>
    <col min="1037" max="1043" width="10.7109375" style="231" customWidth="1"/>
    <col min="1044" max="1044" width="10.7109375" style="231"/>
    <col min="1045" max="1046" width="10.7109375" style="231" customWidth="1"/>
    <col min="1047" max="1047" width="10.7109375" style="231"/>
    <col min="1048" max="1058" width="10.7109375" style="231" customWidth="1"/>
    <col min="1059" max="1059" width="10.7109375" style="231"/>
    <col min="1060" max="1061" width="10.7109375" style="231" customWidth="1"/>
    <col min="1062" max="1062" width="10.7109375" style="231"/>
    <col min="1063" max="1064" width="10.7109375" style="231" customWidth="1"/>
    <col min="1065" max="1065" width="10.7109375" style="231"/>
    <col min="1066" max="1067" width="10.7109375" style="231" customWidth="1"/>
    <col min="1068" max="1069" width="10.7109375" style="231"/>
    <col min="1070" max="1070" width="10.7109375" style="231" customWidth="1"/>
    <col min="1071" max="1071" width="10.7109375" style="231"/>
    <col min="1072" max="1078" width="10.7109375" style="231" customWidth="1"/>
    <col min="1079" max="1081" width="10.7109375" style="231"/>
    <col min="1082" max="1082" width="10.7109375" style="231" customWidth="1"/>
    <col min="1083" max="1085" width="10.7109375" style="231"/>
    <col min="1086" max="1088" width="10.7109375" style="231" customWidth="1"/>
    <col min="1089" max="1089" width="10.7109375" style="231"/>
    <col min="1090" max="1091" width="10.7109375" style="231" customWidth="1"/>
    <col min="1092" max="1093" width="10.7109375" style="231"/>
    <col min="1094" max="1099" width="10.7109375" style="231" customWidth="1"/>
    <col min="1100" max="1100" width="10.7109375" style="231"/>
    <col min="1101" max="1110" width="10.7109375" style="231" customWidth="1"/>
    <col min="1111" max="1111" width="10.7109375" style="231"/>
    <col min="1112" max="1122" width="10.7109375" style="231" customWidth="1"/>
    <col min="1123" max="1123" width="10.7109375" style="231"/>
    <col min="1124" max="1125" width="10.7109375" style="231" customWidth="1"/>
    <col min="1126" max="1126" width="10.7109375" style="231"/>
    <col min="1127" max="1128" width="10.7109375" style="231" customWidth="1"/>
    <col min="1129" max="1129" width="10.7109375" style="231"/>
    <col min="1130" max="1131" width="10.7109375" style="231" customWidth="1"/>
    <col min="1132" max="1133" width="10.7109375" style="231"/>
    <col min="1134" max="1134" width="10.7109375" style="231" customWidth="1"/>
    <col min="1135" max="1135" width="10.7109375" style="231"/>
    <col min="1136" max="1142" width="10.7109375" style="231" customWidth="1"/>
    <col min="1143" max="1144" width="10.7109375" style="231"/>
    <col min="1145" max="1149" width="10.7109375" style="231" customWidth="1"/>
    <col min="1150" max="1150" width="10.7109375" style="231"/>
    <col min="1151" max="1152" width="10.7109375" style="231" customWidth="1"/>
    <col min="1153" max="1153" width="10.7109375" style="231"/>
    <col min="1154" max="1155" width="10.7109375" style="231" customWidth="1"/>
    <col min="1156" max="1157" width="10.7109375" style="231"/>
    <col min="1158" max="1163" width="10.7109375" style="231" customWidth="1"/>
    <col min="1164" max="1164" width="10.7109375" style="231"/>
    <col min="1165" max="1171" width="10.7109375" style="231" customWidth="1"/>
    <col min="1172" max="1174" width="10.7109375" style="231"/>
    <col min="1175" max="1186" width="10.7109375" style="231" customWidth="1"/>
    <col min="1187" max="1187" width="10.7109375" style="231"/>
    <col min="1188" max="1189" width="10.7109375" style="231" customWidth="1"/>
    <col min="1190" max="1190" width="10.7109375" style="231"/>
    <col min="1191" max="1192" width="10.7109375" style="231" customWidth="1"/>
    <col min="1193" max="1193" width="10.7109375" style="231"/>
    <col min="1194" max="1195" width="10.7109375" style="231" customWidth="1"/>
    <col min="1196" max="1197" width="10.7109375" style="231"/>
    <col min="1198" max="1198" width="10.7109375" style="231" customWidth="1"/>
    <col min="1199" max="1199" width="10.7109375" style="231"/>
    <col min="1200" max="1206" width="10.7109375" style="231" customWidth="1"/>
    <col min="1207" max="1210" width="10.7109375" style="231"/>
    <col min="1211" max="1213" width="10.7109375" style="231" customWidth="1"/>
    <col min="1214" max="1214" width="10.7109375" style="231"/>
    <col min="1215" max="1216" width="10.7109375" style="231" customWidth="1"/>
    <col min="1217" max="1217" width="10.7109375" style="231"/>
    <col min="1218" max="1219" width="10.7109375" style="231" customWidth="1"/>
    <col min="1220" max="1221" width="10.7109375" style="231"/>
    <col min="1222" max="1227" width="10.7109375" style="231" customWidth="1"/>
    <col min="1228" max="1228" width="10.7109375" style="231"/>
    <col min="1229" max="1236" width="10.7109375" style="231" customWidth="1"/>
    <col min="1237" max="1238" width="10.7109375" style="231"/>
    <col min="1239" max="1250" width="10.7109375" style="231" customWidth="1"/>
    <col min="1251" max="1251" width="10.7109375" style="231"/>
    <col min="1252" max="1253" width="10.7109375" style="231" customWidth="1"/>
    <col min="1254" max="1254" width="10.7109375" style="231"/>
    <col min="1255" max="1256" width="10.7109375" style="231" customWidth="1"/>
    <col min="1257" max="1257" width="10.7109375" style="231"/>
    <col min="1258" max="1259" width="10.7109375" style="231" customWidth="1"/>
    <col min="1260" max="1261" width="10.7109375" style="231"/>
    <col min="1262" max="1262" width="10.7109375" style="231" customWidth="1"/>
    <col min="1263" max="1263" width="10.7109375" style="231"/>
    <col min="1264" max="1270" width="10.7109375" style="231" customWidth="1"/>
    <col min="1271" max="1272" width="10.7109375" style="231"/>
    <col min="1273" max="1273" width="10.7109375" style="231" customWidth="1"/>
    <col min="1274" max="1275" width="10.7109375" style="231"/>
    <col min="1276" max="1277" width="10.7109375" style="231" customWidth="1"/>
    <col min="1278" max="1278" width="10.7109375" style="231"/>
    <col min="1279" max="1280" width="10.7109375" style="231" customWidth="1"/>
    <col min="1281" max="1281" width="10.7109375" style="231"/>
    <col min="1282" max="1283" width="10.7109375" style="231" customWidth="1"/>
    <col min="1284" max="1285" width="10.7109375" style="231"/>
    <col min="1286" max="1291" width="10.7109375" style="231" customWidth="1"/>
    <col min="1292" max="1292" width="10.7109375" style="231"/>
    <col min="1293" max="1299" width="10.7109375" style="231" customWidth="1"/>
    <col min="1300" max="1300" width="10.7109375" style="231"/>
    <col min="1301" max="1301" width="10.7109375" style="231" customWidth="1"/>
    <col min="1302" max="1302" width="10.7109375" style="231"/>
    <col min="1303" max="1314" width="10.7109375" style="231" customWidth="1"/>
    <col min="1315" max="1315" width="10.7109375" style="231"/>
    <col min="1316" max="1317" width="10.7109375" style="231" customWidth="1"/>
    <col min="1318" max="1318" width="10.7109375" style="231"/>
    <col min="1319" max="1320" width="10.7109375" style="231" customWidth="1"/>
    <col min="1321" max="1321" width="10.7109375" style="231"/>
    <col min="1322" max="1323" width="10.7109375" style="231" customWidth="1"/>
    <col min="1324" max="1325" width="10.7109375" style="231"/>
    <col min="1326" max="1326" width="10.7109375" style="231" customWidth="1"/>
    <col min="1327" max="1327" width="10.7109375" style="231"/>
    <col min="1328" max="1334" width="10.7109375" style="231" customWidth="1"/>
    <col min="1335" max="1337" width="10.7109375" style="231"/>
    <col min="1338" max="1339" width="10.7109375" style="231" customWidth="1"/>
    <col min="1340" max="1340" width="10.7109375" style="231"/>
    <col min="1341" max="1341" width="10.7109375" style="231" customWidth="1"/>
    <col min="1342" max="1342" width="10.7109375" style="231"/>
    <col min="1343" max="1344" width="10.7109375" style="231" customWidth="1"/>
    <col min="1345" max="1345" width="10.7109375" style="231"/>
    <col min="1346" max="1347" width="10.7109375" style="231" customWidth="1"/>
    <col min="1348" max="1349" width="10.7109375" style="231"/>
    <col min="1350" max="1355" width="10.7109375" style="231" customWidth="1"/>
    <col min="1356" max="1356" width="10.7109375" style="231"/>
    <col min="1357" max="1365" width="10.7109375" style="231" customWidth="1"/>
    <col min="1366" max="1366" width="10.7109375" style="231"/>
    <col min="1367" max="1378" width="10.7109375" style="231" customWidth="1"/>
    <col min="1379" max="1379" width="10.7109375" style="231"/>
    <col min="1380" max="1381" width="10.7109375" style="231" customWidth="1"/>
    <col min="1382" max="1382" width="10.7109375" style="231"/>
    <col min="1383" max="1384" width="10.7109375" style="231" customWidth="1"/>
    <col min="1385" max="1385" width="10.7109375" style="231"/>
    <col min="1386" max="1387" width="10.7109375" style="231" customWidth="1"/>
    <col min="1388" max="1389" width="10.7109375" style="231"/>
    <col min="1390" max="1390" width="10.7109375" style="231" customWidth="1"/>
    <col min="1391" max="1391" width="10.7109375" style="231"/>
    <col min="1392" max="1398" width="10.7109375" style="231" customWidth="1"/>
    <col min="1399" max="1400" width="10.7109375" style="231"/>
    <col min="1401" max="1402" width="10.7109375" style="231" customWidth="1"/>
    <col min="1403" max="1404" width="10.7109375" style="231"/>
    <col min="1405" max="1405" width="10.7109375" style="231" customWidth="1"/>
    <col min="1406" max="1406" width="10.7109375" style="231"/>
    <col min="1407" max="1408" width="10.7109375" style="231" customWidth="1"/>
    <col min="1409" max="1409" width="10.7109375" style="231"/>
    <col min="1410" max="1411" width="10.7109375" style="231" customWidth="1"/>
    <col min="1412" max="1413" width="10.7109375" style="231"/>
    <col min="1414" max="1419" width="10.7109375" style="231" customWidth="1"/>
    <col min="1420" max="1420" width="10.7109375" style="231"/>
    <col min="1421" max="1427" width="10.7109375" style="231" customWidth="1"/>
    <col min="1428" max="1429" width="10.7109375" style="231"/>
    <col min="1430" max="1442" width="10.7109375" style="231" customWidth="1"/>
    <col min="1443" max="1443" width="10.7109375" style="231"/>
    <col min="1444" max="1445" width="10.7109375" style="231" customWidth="1"/>
    <col min="1446" max="1446" width="10.7109375" style="231"/>
    <col min="1447" max="1448" width="10.7109375" style="231" customWidth="1"/>
    <col min="1449" max="1449" width="10.7109375" style="231"/>
    <col min="1450" max="1451" width="10.7109375" style="231" customWidth="1"/>
    <col min="1452" max="1453" width="10.7109375" style="231"/>
    <col min="1454" max="1454" width="10.7109375" style="231" customWidth="1"/>
    <col min="1455" max="1455" width="10.7109375" style="231"/>
    <col min="1456" max="1462" width="10.7109375" style="231" customWidth="1"/>
    <col min="1463" max="1468" width="10.7109375" style="231"/>
    <col min="1469" max="1469" width="10.7109375" style="231" customWidth="1"/>
    <col min="1470" max="1470" width="10.7109375" style="231"/>
    <col min="1471" max="1472" width="10.7109375" style="231" customWidth="1"/>
    <col min="1473" max="1473" width="10.7109375" style="231"/>
    <col min="1474" max="1475" width="10.7109375" style="231" customWidth="1"/>
    <col min="1476" max="1477" width="10.7109375" style="231"/>
    <col min="1478" max="1483" width="10.7109375" style="231" customWidth="1"/>
    <col min="1484" max="1484" width="10.7109375" style="231"/>
    <col min="1485" max="1492" width="10.7109375" style="231" customWidth="1"/>
    <col min="1493" max="1493" width="10.7109375" style="231"/>
    <col min="1494" max="1506" width="10.7109375" style="231" customWidth="1"/>
    <col min="1507" max="1507" width="10.7109375" style="231"/>
    <col min="1508" max="1509" width="10.7109375" style="231" customWidth="1"/>
    <col min="1510" max="1510" width="10.7109375" style="231"/>
    <col min="1511" max="1512" width="10.7109375" style="231" customWidth="1"/>
    <col min="1513" max="1513" width="10.7109375" style="231"/>
    <col min="1514" max="1515" width="10.7109375" style="231" customWidth="1"/>
    <col min="1516" max="1517" width="10.7109375" style="231"/>
    <col min="1518" max="1518" width="10.7109375" style="231" customWidth="1"/>
    <col min="1519" max="1519" width="10.7109375" style="231"/>
    <col min="1520" max="1526" width="10.7109375" style="231" customWidth="1"/>
    <col min="1527" max="1528" width="10.7109375" style="231"/>
    <col min="1529" max="1529" width="10.7109375" style="231" customWidth="1"/>
    <col min="1530" max="1530" width="10.7109375" style="231"/>
    <col min="1531" max="1532" width="10.7109375" style="231" customWidth="1"/>
    <col min="1533" max="1534" width="10.7109375" style="231"/>
    <col min="1535" max="1536" width="10.7109375" style="231" customWidth="1"/>
    <col min="1537" max="1537" width="10.7109375" style="231"/>
    <col min="1538" max="1539" width="10.7109375" style="231" customWidth="1"/>
    <col min="1540" max="1541" width="10.7109375" style="231"/>
    <col min="1542" max="1547" width="10.7109375" style="231" customWidth="1"/>
    <col min="1548" max="1548" width="10.7109375" style="231"/>
    <col min="1549" max="1555" width="10.7109375" style="231" customWidth="1"/>
    <col min="1556" max="1556" width="10.7109375" style="231"/>
    <col min="1557" max="1569" width="10.7109375" style="231" customWidth="1"/>
    <col min="1570" max="1571" width="10.7109375" style="231"/>
    <col min="1572" max="1572" width="10.7109375" style="231" customWidth="1"/>
    <col min="1573" max="1573" width="10.7109375" style="231"/>
    <col min="1574" max="1576" width="10.7109375" style="231" customWidth="1"/>
    <col min="1577" max="1577" width="10.7109375" style="231"/>
    <col min="1578" max="1579" width="10.7109375" style="231" customWidth="1"/>
    <col min="1580" max="1581" width="10.7109375" style="231"/>
    <col min="1582" max="1587" width="10.7109375" style="231" customWidth="1"/>
    <col min="1588" max="1588" width="10.7109375" style="231"/>
    <col min="1589" max="1592" width="10.7109375" style="231" customWidth="1"/>
    <col min="1593" max="1594" width="10.7109375" style="231"/>
    <col min="1595" max="1609" width="10.7109375" style="231" customWidth="1"/>
    <col min="1610" max="1610" width="10.7109375" style="231"/>
    <col min="1611" max="1614" width="10.7109375" style="231" customWidth="1"/>
    <col min="1615" max="1615" width="10.7109375" style="231"/>
    <col min="1616" max="1616" width="10.7109375" style="231" customWidth="1"/>
    <col min="1617" max="1617" width="10.7109375" style="231"/>
    <col min="1618" max="1620" width="10.7109375" style="231" customWidth="1"/>
    <col min="1621" max="1621" width="10.7109375" style="231"/>
    <col min="1622" max="1626" width="10.7109375" style="231" customWidth="1"/>
    <col min="1627" max="1627" width="10.7109375" style="231"/>
    <col min="1628" max="1629" width="10.7109375" style="231" customWidth="1"/>
    <col min="1630" max="1631" width="10.7109375" style="231"/>
    <col min="1632" max="1640" width="10.7109375" style="231" customWidth="1"/>
    <col min="1641" max="1641" width="10.7109375" style="231"/>
    <col min="1642" max="1649" width="10.7109375" style="231" customWidth="1"/>
    <col min="1650" max="1653" width="10.7109375" style="231"/>
    <col min="1654" max="1656" width="10.7109375" style="231" customWidth="1"/>
    <col min="1657" max="1657" width="10.7109375" style="231"/>
    <col min="1658" max="1672" width="10.7109375" style="231" customWidth="1"/>
    <col min="1673" max="1674" width="10.7109375" style="231"/>
    <col min="1675" max="1680" width="10.7109375" style="231" customWidth="1"/>
    <col min="1681" max="1681" width="10.7109375" style="231"/>
    <col min="1682" max="1682" width="10.7109375" style="231" customWidth="1"/>
    <col min="1683" max="1683" width="10.7109375" style="231"/>
    <col min="1684" max="1684" width="10.7109375" style="231" customWidth="1"/>
    <col min="1685" max="1685" width="10.7109375" style="231"/>
    <col min="1686" max="1688" width="10.7109375" style="231" customWidth="1"/>
    <col min="1689" max="1689" width="10.7109375" style="231"/>
    <col min="1690" max="1690" width="10.7109375" style="231" customWidth="1"/>
    <col min="1691" max="1691" width="10.7109375" style="231"/>
    <col min="1692" max="1693" width="10.7109375" style="231" customWidth="1"/>
    <col min="1694" max="1694" width="10.7109375" style="231"/>
    <col min="1695" max="1697" width="10.7109375" style="231" customWidth="1"/>
    <col min="1698" max="1699" width="10.7109375" style="231"/>
    <col min="1700" max="1700" width="10.7109375" style="231" customWidth="1"/>
    <col min="1701" max="1701" width="10.7109375" style="231"/>
    <col min="1702" max="1712" width="10.7109375" style="231" customWidth="1"/>
    <col min="1713" max="1713" width="10.7109375" style="231"/>
    <col min="1714" max="1714" width="10.7109375" style="231" customWidth="1"/>
    <col min="1715" max="1715" width="10.7109375" style="231"/>
    <col min="1716" max="1717" width="10.7109375" style="231" customWidth="1"/>
    <col min="1718" max="1718" width="10.7109375" style="231"/>
    <col min="1719" max="1729" width="10.7109375" style="231" customWidth="1"/>
    <col min="1730" max="1730" width="10.7109375" style="231"/>
    <col min="1731" max="1731" width="10.7109375" style="231" customWidth="1"/>
    <col min="1732" max="1732" width="10.7109375" style="231"/>
    <col min="1733" max="1733" width="10.7109375" style="231" customWidth="1"/>
    <col min="1734" max="1734" width="10.7109375" style="231"/>
    <col min="1735" max="1737" width="10.7109375" style="231" customWidth="1"/>
    <col min="1738" max="1738" width="10.7109375" style="231"/>
    <col min="1739" max="1739" width="10.7109375" style="231" customWidth="1"/>
    <col min="1740" max="1740" width="10.7109375" style="231"/>
    <col min="1741" max="1741" width="10.7109375" style="231" customWidth="1"/>
    <col min="1742" max="1742" width="10.7109375" style="231"/>
    <col min="1743" max="1744" width="10.7109375" style="231" customWidth="1"/>
    <col min="1745" max="1745" width="10.7109375" style="231"/>
    <col min="1746" max="1746" width="10.7109375" style="231" customWidth="1"/>
    <col min="1747" max="1747" width="10.7109375" style="231"/>
    <col min="1748" max="1749" width="10.7109375" style="231" customWidth="1"/>
    <col min="1750" max="1750" width="10.7109375" style="231"/>
    <col min="1751" max="1753" width="10.7109375" style="231" customWidth="1"/>
    <col min="1754" max="1755" width="10.7109375" style="231"/>
    <col min="1756" max="1756" width="10.7109375" style="231" customWidth="1"/>
    <col min="1757" max="1757" width="10.7109375" style="231"/>
    <col min="1758" max="1768" width="10.7109375" style="231" customWidth="1"/>
    <col min="1769" max="1769" width="10.7109375" style="231"/>
    <col min="1770" max="1770" width="10.7109375" style="231" customWidth="1"/>
    <col min="1771" max="1771" width="10.7109375" style="231"/>
    <col min="1772" max="1773" width="10.7109375" style="231" customWidth="1"/>
    <col min="1774" max="1774" width="10.7109375" style="231"/>
    <col min="1775" max="1785" width="10.7109375" style="231" customWidth="1"/>
    <col min="1786" max="1786" width="10.7109375" style="231"/>
    <col min="1787" max="1788" width="10.7109375" style="231" customWidth="1"/>
    <col min="1789" max="1790" width="10.7109375" style="231"/>
    <col min="1791" max="1793" width="10.7109375" style="231" customWidth="1"/>
    <col min="1794" max="1794" width="10.7109375" style="231"/>
    <col min="1795" max="1796" width="10.7109375" style="231" customWidth="1"/>
    <col min="1797" max="1798" width="10.7109375" style="231"/>
    <col min="1799" max="1801" width="10.7109375" style="231" customWidth="1"/>
    <col min="1802" max="1802" width="10.7109375" style="231"/>
    <col min="1803" max="1806" width="10.7109375" style="231" customWidth="1"/>
    <col min="1807" max="1807" width="10.7109375" style="231"/>
    <col min="1808" max="1808" width="10.7109375" style="231" customWidth="1"/>
    <col min="1809" max="1810" width="10.7109375" style="231"/>
    <col min="1811" max="1818" width="10.7109375" style="231" customWidth="1"/>
    <col min="1819" max="1821" width="10.7109375" style="231"/>
    <col min="1822" max="1832" width="10.7109375" style="231" customWidth="1"/>
    <col min="1833" max="1833" width="10.7109375" style="231"/>
    <col min="1834" max="1835" width="10.7109375" style="231" customWidth="1"/>
    <col min="1836" max="1837" width="10.7109375" style="231"/>
    <col min="1838" max="1843" width="10.7109375" style="231" customWidth="1"/>
    <col min="1844" max="1844" width="10.7109375" style="231"/>
    <col min="1845" max="1849" width="10.7109375" style="231" customWidth="1"/>
    <col min="1850" max="1850" width="10.7109375" style="231"/>
    <col min="1851" max="1851" width="10.7109375" style="231" customWidth="1"/>
    <col min="1852" max="1852" width="10.7109375" style="231"/>
    <col min="1853" max="1865" width="10.7109375" style="231" customWidth="1"/>
    <col min="1866" max="1869" width="10.7109375" style="231"/>
    <col min="1870" max="1888" width="10.7109375" style="231" customWidth="1"/>
    <col min="1889" max="1889" width="10.7109375" style="231"/>
    <col min="1890" max="1891" width="10.7109375" style="231" customWidth="1"/>
    <col min="1892" max="1893" width="10.7109375" style="231"/>
    <col min="1894" max="1899" width="10.7109375" style="231" customWidth="1"/>
    <col min="1900" max="1900" width="10.7109375" style="231"/>
    <col min="1901" max="1904" width="10.7109375" style="231" customWidth="1"/>
    <col min="1905" max="1906" width="10.7109375" style="231"/>
    <col min="1907" max="1921" width="10.7109375" style="231" customWidth="1"/>
    <col min="1922" max="1922" width="10.7109375" style="231"/>
    <col min="1923" max="1925" width="10.7109375" style="231" customWidth="1"/>
    <col min="1926" max="1926" width="10.7109375" style="231"/>
    <col min="1927" max="1928" width="10.7109375" style="231" customWidth="1"/>
    <col min="1929" max="1930" width="10.7109375" style="231"/>
    <col min="1931" max="1936" width="10.7109375" style="231" customWidth="1"/>
    <col min="1937" max="1937" width="10.7109375" style="231"/>
    <col min="1938" max="1952" width="10.7109375" style="231" customWidth="1"/>
    <col min="1953" max="1953" width="10.7109375" style="231"/>
    <col min="1954" max="1955" width="10.7109375" style="231" customWidth="1"/>
    <col min="1956" max="1957" width="10.7109375" style="231"/>
    <col min="1958" max="1963" width="10.7109375" style="231" customWidth="1"/>
    <col min="1964" max="1964" width="10.7109375" style="231"/>
    <col min="1965" max="1968" width="10.7109375" style="231" customWidth="1"/>
    <col min="1969" max="1970" width="10.7109375" style="231"/>
    <col min="1971" max="1985" width="10.7109375" style="231" customWidth="1"/>
    <col min="1986" max="1986" width="10.7109375" style="231"/>
    <col min="1987" max="1989" width="10.7109375" style="231" customWidth="1"/>
    <col min="1990" max="1990" width="10.7109375" style="231"/>
    <col min="1991" max="1992" width="10.7109375" style="231" customWidth="1"/>
    <col min="1993" max="1994" width="10.7109375" style="231"/>
    <col min="1995" max="2000" width="10.7109375" style="231" customWidth="1"/>
    <col min="2001" max="2001" width="10.7109375" style="231"/>
    <col min="2002" max="2016" width="10.7109375" style="231" customWidth="1"/>
    <col min="2017" max="2017" width="10.7109375" style="231"/>
    <col min="2018" max="2019" width="10.7109375" style="231" customWidth="1"/>
    <col min="2020" max="2021" width="10.7109375" style="231"/>
    <col min="2022" max="2027" width="10.7109375" style="231" customWidth="1"/>
    <col min="2028" max="2028" width="10.7109375" style="231"/>
    <col min="2029" max="2032" width="10.7109375" style="231" customWidth="1"/>
    <col min="2033" max="2034" width="10.7109375" style="231"/>
    <col min="2035" max="2049" width="10.7109375" style="231" customWidth="1"/>
    <col min="2050" max="2050" width="10.7109375" style="231"/>
    <col min="2051" max="2053" width="10.7109375" style="231" customWidth="1"/>
    <col min="2054" max="2054" width="10.7109375" style="231"/>
    <col min="2055" max="2056" width="10.7109375" style="231" customWidth="1"/>
    <col min="2057" max="2058" width="10.7109375" style="231"/>
    <col min="2059" max="2064" width="10.7109375" style="231" customWidth="1"/>
    <col min="2065" max="2065" width="10.7109375" style="231"/>
    <col min="2066" max="2080" width="10.7109375" style="231" customWidth="1"/>
    <col min="2081" max="2081" width="10.7109375" style="231"/>
    <col min="2082" max="2083" width="10.7109375" style="231" customWidth="1"/>
    <col min="2084" max="2085" width="10.7109375" style="231"/>
    <col min="2086" max="2091" width="10.7109375" style="231" customWidth="1"/>
    <col min="2092" max="2092" width="10.7109375" style="231"/>
    <col min="2093" max="2096" width="10.7109375" style="231" customWidth="1"/>
    <col min="2097" max="2098" width="10.7109375" style="231"/>
    <col min="2099" max="2113" width="10.7109375" style="231" customWidth="1"/>
    <col min="2114" max="2114" width="10.7109375" style="231"/>
    <col min="2115" max="2117" width="10.7109375" style="231" customWidth="1"/>
    <col min="2118" max="2118" width="10.7109375" style="231"/>
    <col min="2119" max="2120" width="10.7109375" style="231" customWidth="1"/>
    <col min="2121" max="2122" width="10.7109375" style="231"/>
    <col min="2123" max="2128" width="10.7109375" style="231" customWidth="1"/>
    <col min="2129" max="2129" width="10.7109375" style="231"/>
    <col min="2130" max="2144" width="10.7109375" style="231" customWidth="1"/>
    <col min="2145" max="2145" width="10.7109375" style="231"/>
    <col min="2146" max="2147" width="10.7109375" style="231" customWidth="1"/>
    <col min="2148" max="2149" width="10.7109375" style="231"/>
    <col min="2150" max="2155" width="10.7109375" style="231" customWidth="1"/>
    <col min="2156" max="2156" width="10.7109375" style="231"/>
    <col min="2157" max="2160" width="10.7109375" style="231" customWidth="1"/>
    <col min="2161" max="2162" width="10.7109375" style="231"/>
    <col min="2163" max="2177" width="10.7109375" style="231" customWidth="1"/>
    <col min="2178" max="2178" width="10.7109375" style="231"/>
    <col min="2179" max="2181" width="10.7109375" style="231" customWidth="1"/>
    <col min="2182" max="2182" width="10.7109375" style="231"/>
    <col min="2183" max="2184" width="10.7109375" style="231" customWidth="1"/>
    <col min="2185" max="2186" width="10.7109375" style="231"/>
    <col min="2187" max="2192" width="10.7109375" style="231" customWidth="1"/>
    <col min="2193" max="2193" width="10.7109375" style="231"/>
    <col min="2194" max="2208" width="10.7109375" style="231" customWidth="1"/>
    <col min="2209" max="2209" width="10.7109375" style="231"/>
    <col min="2210" max="2211" width="10.7109375" style="231" customWidth="1"/>
    <col min="2212" max="2213" width="10.7109375" style="231"/>
    <col min="2214" max="2219" width="10.7109375" style="231" customWidth="1"/>
    <col min="2220" max="2220" width="10.7109375" style="231"/>
    <col min="2221" max="2224" width="10.7109375" style="231" customWidth="1"/>
    <col min="2225" max="2226" width="10.7109375" style="231"/>
    <col min="2227" max="2241" width="10.7109375" style="231" customWidth="1"/>
    <col min="2242" max="2242" width="10.7109375" style="231"/>
    <col min="2243" max="2246" width="10.7109375" style="231" customWidth="1"/>
    <col min="2247" max="2247" width="10.7109375" style="231"/>
    <col min="2248" max="2248" width="10.7109375" style="231" customWidth="1"/>
    <col min="2249" max="2250" width="10.7109375" style="231"/>
    <col min="2251" max="2256" width="10.7109375" style="231" customWidth="1"/>
    <col min="2257" max="2257" width="10.7109375" style="231"/>
    <col min="2258" max="2291" width="10.7109375" style="231" customWidth="1"/>
    <col min="2292" max="2294" width="10.7109375" style="231"/>
    <col min="2295" max="2300" width="10.7109375" style="231" customWidth="1"/>
    <col min="2301" max="2301" width="10.7109375" style="231"/>
    <col min="2302" max="2302" width="10.7109375" style="231" customWidth="1"/>
    <col min="2303" max="2305" width="10.7109375" style="231"/>
    <col min="2306" max="2306" width="10.7109375" style="231" customWidth="1"/>
    <col min="2307" max="2307" width="10.7109375" style="231"/>
    <col min="2308" max="2308" width="10.7109375" style="231" customWidth="1"/>
    <col min="2309" max="2309" width="10.7109375" style="231"/>
    <col min="2310" max="2310" width="10.7109375" style="231" customWidth="1"/>
    <col min="2311" max="2311" width="10.7109375" style="231"/>
    <col min="2312" max="2317" width="10.7109375" style="231" customWidth="1"/>
    <col min="2318" max="2318" width="10.7109375" style="231"/>
    <col min="2319" max="2319" width="10.7109375" style="231" customWidth="1"/>
    <col min="2320" max="2320" width="10.7109375" style="231"/>
    <col min="2321" max="2363" width="10.7109375" style="231" customWidth="1"/>
    <col min="2364" max="2364" width="10.7109375" style="231"/>
    <col min="2365" max="2387" width="10.7109375" style="231" customWidth="1"/>
    <col min="2388" max="2390" width="10.7109375" style="231"/>
    <col min="2391" max="2396" width="10.7109375" style="231" customWidth="1"/>
    <col min="2397" max="2397" width="10.7109375" style="231"/>
    <col min="2398" max="2398" width="10.7109375" style="231" customWidth="1"/>
    <col min="2399" max="2401" width="10.7109375" style="231"/>
    <col min="2402" max="2402" width="10.7109375" style="231" customWidth="1"/>
    <col min="2403" max="2403" width="10.7109375" style="231"/>
    <col min="2404" max="2404" width="10.7109375" style="231" customWidth="1"/>
    <col min="2405" max="2405" width="10.7109375" style="231"/>
    <col min="2406" max="2406" width="10.7109375" style="231" customWidth="1"/>
    <col min="2407" max="2407" width="10.7109375" style="231"/>
    <col min="2408" max="2449" width="10.7109375" style="231" customWidth="1"/>
    <col min="2450" max="2450" width="10.7109375" style="231"/>
    <col min="2451" max="2477" width="10.7109375" style="231" customWidth="1"/>
    <col min="2478" max="2478" width="10.7109375" style="231"/>
    <col min="2479" max="2483" width="10.7109375" style="231" customWidth="1"/>
    <col min="2484" max="2484" width="10.7109375" style="231"/>
    <col min="2485" max="2488" width="10.7109375" style="231" customWidth="1"/>
    <col min="2489" max="2489" width="10.7109375" style="231"/>
    <col min="2490" max="2491" width="10.7109375" style="231" customWidth="1"/>
    <col min="2492" max="2492" width="10.7109375" style="231"/>
    <col min="2493" max="2493" width="10.7109375" style="231" customWidth="1"/>
    <col min="2494" max="2494" width="10.7109375" style="231"/>
    <col min="2495" max="2495" width="10.7109375" style="231" customWidth="1"/>
    <col min="2496" max="2510" width="10.7109375" style="231"/>
    <col min="2511" max="2511" width="10.7109375" style="231" customWidth="1"/>
    <col min="2512" max="2513" width="10.7109375" style="231"/>
    <col min="2514" max="2516" width="10.7109375" style="231" customWidth="1"/>
    <col min="2517" max="2525" width="10.7109375" style="231"/>
    <col min="2526" max="2526" width="10.7109375" style="231" customWidth="1"/>
    <col min="2527" max="2527" width="10.7109375" style="231"/>
    <col min="2528" max="2528" width="10.7109375" style="231" customWidth="1"/>
    <col min="2529" max="2529" width="10.7109375" style="231"/>
    <col min="2530" max="2531" width="10.7109375" style="231" customWidth="1"/>
    <col min="2532" max="2534" width="10.7109375" style="231"/>
    <col min="2535" max="2538" width="10.7109375" style="231" customWidth="1"/>
    <col min="2539" max="2539" width="10.7109375" style="231"/>
    <col min="2540" max="2540" width="10.7109375" style="231" customWidth="1"/>
    <col min="2541" max="2541" width="10.7109375" style="231"/>
    <col min="2542" max="2543" width="10.7109375" style="231" customWidth="1"/>
    <col min="2544" max="2544" width="10.7109375" style="231"/>
    <col min="2545" max="2547" width="10.7109375" style="231" customWidth="1"/>
    <col min="2548" max="2548" width="10.7109375" style="231"/>
    <col min="2549" max="2550" width="10.7109375" style="231" customWidth="1"/>
    <col min="2551" max="2551" width="10.7109375" style="231"/>
    <col min="2552" max="2577" width="10.7109375" style="231" customWidth="1"/>
    <col min="2578" max="2578" width="10.7109375" style="231"/>
    <col min="2579" max="2605" width="10.7109375" style="231" customWidth="1"/>
    <col min="2606" max="2606" width="10.7109375" style="231"/>
    <col min="2607" max="2673" width="10.7109375" style="231" customWidth="1"/>
    <col min="2674" max="2675" width="10.7109375" style="231"/>
    <col min="2676" max="2676" width="10.7109375" style="231" customWidth="1"/>
    <col min="2677" max="2677" width="10.7109375" style="231"/>
    <col min="2678" max="2678" width="10.7109375" style="231" customWidth="1"/>
    <col min="2679" max="2679" width="10.7109375" style="231"/>
    <col min="2680" max="2736" width="10.7109375" style="231" customWidth="1"/>
    <col min="2737" max="2737" width="10.7109375" style="231"/>
    <col min="2738" max="2739" width="10.7109375" style="231" customWidth="1"/>
    <col min="2740" max="2744" width="10.7109375" style="231"/>
    <col min="2745" max="2745" width="10.7109375" style="231" customWidth="1"/>
    <col min="2746" max="2747" width="10.7109375" style="231"/>
    <col min="2748" max="2748" width="10.7109375" style="231" customWidth="1"/>
    <col min="2749" max="2749" width="10.7109375" style="231"/>
    <col min="2750" max="2751" width="10.7109375" style="231" customWidth="1"/>
    <col min="2752" max="2754" width="10.7109375" style="231"/>
    <col min="2755" max="2755" width="10.7109375" style="231" customWidth="1"/>
    <col min="2756" max="2756" width="10.7109375" style="231"/>
    <col min="2757" max="2838" width="10.7109375" style="231" customWidth="1"/>
    <col min="2839" max="2839" width="10.7109375" style="231"/>
    <col min="2840" max="2841" width="10.7109375" style="231" customWidth="1"/>
    <col min="2842" max="2842" width="10.7109375" style="231"/>
    <col min="2843" max="2844" width="10.7109375" style="231" customWidth="1"/>
    <col min="2845" max="2848" width="10.7109375" style="231"/>
    <col min="2849" max="2850" width="10.7109375" style="231" customWidth="1"/>
    <col min="2851" max="2851" width="10.7109375" style="231"/>
    <col min="2852" max="2852" width="10.7109375" style="231" customWidth="1"/>
    <col min="2853" max="2853" width="10.7109375" style="231"/>
    <col min="2854" max="2859" width="10.7109375" style="231" customWidth="1"/>
    <col min="2860" max="2860" width="10.7109375" style="231"/>
    <col min="2861" max="2900" width="10.7109375" style="231" customWidth="1"/>
    <col min="2901" max="2901" width="10.7109375" style="231"/>
    <col min="2902" max="2902" width="10.7109375" style="231" customWidth="1"/>
    <col min="2903" max="2903" width="10.7109375" style="231"/>
    <col min="2904" max="2905" width="10.7109375" style="231" customWidth="1"/>
    <col min="2906" max="2906" width="10.7109375" style="231"/>
    <col min="2907" max="2908" width="10.7109375" style="231" customWidth="1"/>
    <col min="2909" max="2912" width="10.7109375" style="231"/>
    <col min="2913" max="2914" width="10.7109375" style="231" customWidth="1"/>
    <col min="2915" max="2915" width="10.7109375" style="231"/>
    <col min="2916" max="2916" width="10.7109375" style="231" customWidth="1"/>
    <col min="2917" max="2917" width="10.7109375" style="231"/>
    <col min="2918" max="2923" width="10.7109375" style="231" customWidth="1"/>
    <col min="2924" max="2924" width="10.7109375" style="231"/>
    <col min="2925" max="2928" width="10.7109375" style="231" customWidth="1"/>
    <col min="2929" max="2929" width="10.7109375" style="231"/>
    <col min="2930" max="2930" width="10.7109375" style="231" customWidth="1"/>
    <col min="2931" max="2931" width="10.7109375" style="231"/>
    <col min="2932" max="2961" width="10.7109375" style="231" customWidth="1"/>
    <col min="2962" max="2962" width="10.7109375" style="231"/>
    <col min="2963" max="2963" width="10.7109375" style="231" customWidth="1"/>
    <col min="2964" max="2964" width="10.7109375" style="231"/>
    <col min="2965" max="2965" width="10.7109375" style="231" customWidth="1"/>
    <col min="2966" max="2966" width="10.7109375" style="231"/>
    <col min="2967" max="2967" width="10.7109375" style="231" customWidth="1"/>
    <col min="2968" max="2968" width="10.7109375" style="231"/>
    <col min="2969" max="2974" width="10.7109375" style="231" customWidth="1"/>
    <col min="2975" max="2975" width="10.7109375" style="231"/>
    <col min="2976" max="2977" width="10.7109375" style="231" customWidth="1"/>
    <col min="2978" max="2979" width="10.7109375" style="231"/>
    <col min="2980" max="3026" width="10.7109375" style="231" customWidth="1"/>
    <col min="3027" max="3027" width="10.7109375" style="231"/>
    <col min="3028" max="3121" width="10.7109375" style="231" customWidth="1"/>
    <col min="3122" max="3122" width="10.7109375" style="231"/>
    <col min="3123" max="3164" width="10.7109375" style="231" customWidth="1"/>
    <col min="3165" max="3165" width="10.7109375" style="231"/>
    <col min="3166" max="3166" width="10.7109375" style="231" customWidth="1"/>
    <col min="3167" max="3168" width="10.7109375" style="231"/>
    <col min="3169" max="3170" width="10.7109375" style="231" customWidth="1"/>
    <col min="3171" max="3173" width="10.7109375" style="231"/>
    <col min="3174" max="3178" width="10.7109375" style="231" customWidth="1"/>
    <col min="3179" max="3179" width="10.7109375" style="231"/>
    <col min="3180" max="3188" width="10.7109375" style="231" customWidth="1"/>
    <col min="3189" max="3189" width="10.7109375" style="231"/>
    <col min="3190" max="3190" width="10.7109375" style="231" customWidth="1"/>
    <col min="3191" max="3191" width="10.7109375" style="231"/>
    <col min="3192" max="3193" width="10.7109375" style="231" customWidth="1"/>
    <col min="3194" max="3194" width="10.7109375" style="231"/>
    <col min="3195" max="3197" width="10.7109375" style="231" customWidth="1"/>
    <col min="3198" max="3200" width="10.7109375" style="231"/>
    <col min="3201" max="3201" width="10.7109375" style="231" customWidth="1"/>
    <col min="3202" max="3206" width="10.7109375" style="231"/>
    <col min="3207" max="3208" width="10.7109375" style="231" customWidth="1"/>
    <col min="3209" max="3209" width="10.7109375" style="231"/>
    <col min="3210" max="3212" width="10.7109375" style="231" customWidth="1"/>
    <col min="3213" max="3213" width="10.7109375" style="231"/>
    <col min="3214" max="3224" width="10.7109375" style="231" customWidth="1"/>
    <col min="3225" max="3225" width="10.7109375" style="231"/>
    <col min="3226" max="3227" width="10.7109375" style="231" customWidth="1"/>
    <col min="3228" max="3228" width="10.7109375" style="231"/>
    <col min="3229" max="3230" width="10.7109375" style="231" customWidth="1"/>
    <col min="3231" max="3231" width="10.7109375" style="231"/>
    <col min="3232" max="3232" width="10.7109375" style="231" customWidth="1"/>
    <col min="3233" max="3233" width="10.7109375" style="231"/>
    <col min="3234" max="3235" width="10.7109375" style="231" customWidth="1"/>
    <col min="3236" max="3237" width="10.7109375" style="231"/>
    <col min="3238" max="3239" width="10.7109375" style="231" customWidth="1"/>
    <col min="3240" max="3241" width="10.7109375" style="231"/>
    <col min="3242" max="3242" width="10.7109375" style="231" customWidth="1"/>
    <col min="3243" max="3244" width="10.7109375" style="231"/>
    <col min="3245" max="3256" width="10.7109375" style="231" customWidth="1"/>
    <col min="3257" max="3257" width="10.7109375" style="231"/>
    <col min="3258" max="3259" width="10.7109375" style="231" customWidth="1"/>
    <col min="3260" max="3260" width="10.7109375" style="231"/>
    <col min="3261" max="3262" width="10.7109375" style="231" customWidth="1"/>
    <col min="3263" max="3263" width="10.7109375" style="231"/>
    <col min="3264" max="3264" width="10.7109375" style="231" customWidth="1"/>
    <col min="3265" max="3265" width="10.7109375" style="231"/>
    <col min="3266" max="3267" width="10.7109375" style="231" customWidth="1"/>
    <col min="3268" max="3269" width="10.7109375" style="231"/>
    <col min="3270" max="3271" width="10.7109375" style="231" customWidth="1"/>
    <col min="3272" max="3273" width="10.7109375" style="231"/>
    <col min="3274" max="3274" width="10.7109375" style="231" customWidth="1"/>
    <col min="3275" max="3276" width="10.7109375" style="231"/>
    <col min="3277" max="3282" width="10.7109375" style="231" customWidth="1"/>
    <col min="3283" max="3283" width="10.7109375" style="231"/>
    <col min="3284" max="3286" width="10.7109375" style="231" customWidth="1"/>
    <col min="3287" max="3291" width="10.7109375" style="231"/>
    <col min="3292" max="3293" width="10.7109375" style="231" customWidth="1"/>
    <col min="3294" max="3295" width="10.7109375" style="231"/>
    <col min="3296" max="3297" width="10.7109375" style="231" customWidth="1"/>
    <col min="3298" max="3300" width="10.7109375" style="231"/>
    <col min="3301" max="3301" width="10.7109375" style="231" customWidth="1"/>
    <col min="3302" max="3302" width="10.7109375" style="231"/>
    <col min="3303" max="3303" width="10.7109375" style="231" customWidth="1"/>
    <col min="3304" max="3306" width="10.7109375" style="231"/>
    <col min="3307" max="3308" width="10.7109375" style="231" customWidth="1"/>
    <col min="3309" max="3309" width="10.7109375" style="231"/>
    <col min="3310" max="3311" width="10.7109375" style="231" customWidth="1"/>
    <col min="3312" max="3314" width="10.7109375" style="231"/>
    <col min="3315" max="3320" width="10.7109375" style="231" customWidth="1"/>
    <col min="3321" max="3321" width="10.7109375" style="231"/>
    <col min="3322" max="3323" width="10.7109375" style="231" customWidth="1"/>
    <col min="3324" max="3324" width="10.7109375" style="231"/>
    <col min="3325" max="3326" width="10.7109375" style="231" customWidth="1"/>
    <col min="3327" max="3327" width="10.7109375" style="231"/>
    <col min="3328" max="3328" width="10.7109375" style="231" customWidth="1"/>
    <col min="3329" max="3329" width="10.7109375" style="231"/>
    <col min="3330" max="3331" width="10.7109375" style="231" customWidth="1"/>
    <col min="3332" max="3333" width="10.7109375" style="231"/>
    <col min="3334" max="3335" width="10.7109375" style="231" customWidth="1"/>
    <col min="3336" max="3337" width="10.7109375" style="231"/>
    <col min="3338" max="3338" width="10.7109375" style="231" customWidth="1"/>
    <col min="3339" max="3340" width="10.7109375" style="231"/>
    <col min="3341" max="3355" width="10.7109375" style="231" customWidth="1"/>
    <col min="3356" max="3356" width="10.7109375" style="231"/>
    <col min="3357" max="3358" width="10.7109375" style="231" customWidth="1"/>
    <col min="3359" max="3359" width="10.7109375" style="231"/>
    <col min="3360" max="3360" width="10.7109375" style="231" customWidth="1"/>
    <col min="3361" max="3361" width="10.7109375" style="231"/>
    <col min="3362" max="3363" width="10.7109375" style="231" customWidth="1"/>
    <col min="3364" max="3365" width="10.7109375" style="231"/>
    <col min="3366" max="3367" width="10.7109375" style="231" customWidth="1"/>
    <col min="3368" max="3369" width="10.7109375" style="231"/>
    <col min="3370" max="3370" width="10.7109375" style="231" customWidth="1"/>
    <col min="3371" max="3372" width="10.7109375" style="231"/>
    <col min="3373" max="3384" width="10.7109375" style="231" customWidth="1"/>
    <col min="3385" max="3385" width="10.7109375" style="231"/>
    <col min="3386" max="3387" width="10.7109375" style="231" customWidth="1"/>
    <col min="3388" max="3388" width="10.7109375" style="231"/>
    <col min="3389" max="3390" width="10.7109375" style="231" customWidth="1"/>
    <col min="3391" max="3391" width="10.7109375" style="231"/>
    <col min="3392" max="3392" width="10.7109375" style="231" customWidth="1"/>
    <col min="3393" max="3393" width="10.7109375" style="231"/>
    <col min="3394" max="3395" width="10.7109375" style="231" customWidth="1"/>
    <col min="3396" max="3397" width="10.7109375" style="231"/>
    <col min="3398" max="3399" width="10.7109375" style="231" customWidth="1"/>
    <col min="3400" max="3401" width="10.7109375" style="231"/>
    <col min="3402" max="3402" width="10.7109375" style="231" customWidth="1"/>
    <col min="3403" max="3404" width="10.7109375" style="231"/>
    <col min="3405" max="3412" width="10.7109375" style="231" customWidth="1"/>
    <col min="3413" max="3415" width="10.7109375" style="231"/>
    <col min="3416" max="3416" width="10.7109375" style="231" customWidth="1"/>
    <col min="3417" max="3418" width="10.7109375" style="231"/>
    <col min="3419" max="3419" width="10.7109375" style="231" customWidth="1"/>
    <col min="3420" max="3421" width="10.7109375" style="231"/>
    <col min="3422" max="3424" width="10.7109375" style="231" customWidth="1"/>
    <col min="3425" max="3425" width="10.7109375" style="231"/>
    <col min="3426" max="3426" width="10.7109375" style="231" customWidth="1"/>
    <col min="3427" max="3427" width="10.7109375" style="231"/>
    <col min="3428" max="3428" width="10.7109375" style="231" customWidth="1"/>
    <col min="3429" max="3430" width="10.7109375" style="231"/>
    <col min="3431" max="3432" width="10.7109375" style="231" customWidth="1"/>
    <col min="3433" max="3433" width="10.7109375" style="231"/>
    <col min="3434" max="3436" width="10.7109375" style="231" customWidth="1"/>
    <col min="3437" max="3437" width="10.7109375" style="231"/>
    <col min="3438" max="3441" width="10.7109375" style="231" customWidth="1"/>
    <col min="3442" max="3442" width="10.7109375" style="231"/>
    <col min="3443" max="3484" width="10.7109375" style="231" customWidth="1"/>
    <col min="3485" max="3485" width="10.7109375" style="231"/>
    <col min="3486" max="3486" width="10.7109375" style="231" customWidth="1"/>
    <col min="3487" max="3488" width="10.7109375" style="231"/>
    <col min="3489" max="3490" width="10.7109375" style="231" customWidth="1"/>
    <col min="3491" max="3493" width="10.7109375" style="231"/>
    <col min="3494" max="3498" width="10.7109375" style="231" customWidth="1"/>
    <col min="3499" max="3499" width="10.7109375" style="231"/>
    <col min="3500" max="3512" width="10.7109375" style="231" customWidth="1"/>
    <col min="3513" max="3513" width="10.7109375" style="231"/>
    <col min="3514" max="3514" width="10.7109375" style="231" customWidth="1"/>
    <col min="3515" max="3515" width="10.7109375" style="231"/>
    <col min="3516" max="3520" width="10.7109375" style="231" customWidth="1"/>
    <col min="3521" max="3521" width="10.7109375" style="231"/>
    <col min="3522" max="3522" width="10.7109375" style="231" customWidth="1"/>
    <col min="3523" max="3525" width="10.7109375" style="231"/>
    <col min="3526" max="3530" width="10.7109375" style="231" customWidth="1"/>
    <col min="3531" max="3531" width="10.7109375" style="231"/>
    <col min="3532" max="3536" width="10.7109375" style="231" customWidth="1"/>
    <col min="3537" max="3541" width="10.7109375" style="231"/>
    <col min="3542" max="3542" width="10.7109375" style="231" customWidth="1"/>
    <col min="3543" max="3543" width="10.7109375" style="231"/>
    <col min="3544" max="3544" width="10.7109375" style="231" customWidth="1"/>
    <col min="3545" max="3546" width="10.7109375" style="231"/>
    <col min="3547" max="3547" width="10.7109375" style="231" customWidth="1"/>
    <col min="3548" max="3548" width="10.7109375" style="231"/>
    <col min="3549" max="3549" width="10.7109375" style="231" customWidth="1"/>
    <col min="3550" max="3551" width="10.7109375" style="231"/>
    <col min="3552" max="3552" width="10.7109375" style="231" customWidth="1"/>
    <col min="3553" max="3553" width="10.7109375" style="231"/>
    <col min="3554" max="3555" width="10.7109375" style="231" customWidth="1"/>
    <col min="3556" max="3558" width="10.7109375" style="231"/>
    <col min="3559" max="3562" width="10.7109375" style="231" customWidth="1"/>
    <col min="3563" max="3563" width="10.7109375" style="231"/>
    <col min="3564" max="3564" width="10.7109375" style="231" customWidth="1"/>
    <col min="3565" max="3565" width="10.7109375" style="231"/>
    <col min="3566" max="3567" width="10.7109375" style="231" customWidth="1"/>
    <col min="3568" max="3568" width="10.7109375" style="231"/>
    <col min="3569" max="3576" width="10.7109375" style="231" customWidth="1"/>
    <col min="3577" max="3577" width="10.7109375" style="231"/>
    <col min="3578" max="3578" width="10.7109375" style="231" customWidth="1"/>
    <col min="3579" max="3579" width="10.7109375" style="231"/>
    <col min="3580" max="3584" width="10.7109375" style="231" customWidth="1"/>
    <col min="3585" max="3585" width="10.7109375" style="231"/>
    <col min="3586" max="3586" width="10.7109375" style="231" customWidth="1"/>
    <col min="3587" max="3589" width="10.7109375" style="231"/>
    <col min="3590" max="3594" width="10.7109375" style="231" customWidth="1"/>
    <col min="3595" max="3595" width="10.7109375" style="231"/>
    <col min="3596" max="3612" width="10.7109375" style="231" customWidth="1"/>
    <col min="3613" max="3613" width="10.7109375" style="231"/>
    <col min="3614" max="3614" width="10.7109375" style="231" customWidth="1"/>
    <col min="3615" max="3616" width="10.7109375" style="231"/>
    <col min="3617" max="3618" width="10.7109375" style="231" customWidth="1"/>
    <col min="3619" max="3621" width="10.7109375" style="231"/>
    <col min="3622" max="3626" width="10.7109375" style="231" customWidth="1"/>
    <col min="3627" max="3627" width="10.7109375" style="231"/>
    <col min="3628" max="3635" width="10.7109375" style="231" customWidth="1"/>
    <col min="3636" max="3636" width="10.7109375" style="231"/>
    <col min="3637" max="3640" width="10.7109375" style="231" customWidth="1"/>
    <col min="3641" max="3641" width="10.7109375" style="231"/>
    <col min="3642" max="3643" width="10.7109375" style="231" customWidth="1"/>
    <col min="3644" max="3644" width="10.7109375" style="231"/>
    <col min="3645" max="3645" width="10.7109375" style="231" customWidth="1"/>
    <col min="3646" max="3646" width="10.7109375" style="231"/>
    <col min="3647" max="3647" width="10.7109375" style="231" customWidth="1"/>
    <col min="3648" max="3662" width="10.7109375" style="231"/>
    <col min="3663" max="3663" width="10.7109375" style="231" customWidth="1"/>
    <col min="3664" max="3669" width="10.7109375" style="231"/>
    <col min="3670" max="3671" width="10.7109375" style="231" customWidth="1"/>
    <col min="3672" max="3675" width="10.7109375" style="231"/>
    <col min="3676" max="3676" width="10.7109375" style="231" customWidth="1"/>
    <col min="3677" max="3678" width="10.7109375" style="231"/>
    <col min="3679" max="3679" width="10.7109375" style="231" customWidth="1"/>
    <col min="3680" max="3682" width="10.7109375" style="231"/>
    <col min="3683" max="3683" width="10.7109375" style="231" customWidth="1"/>
    <col min="3684" max="3686" width="10.7109375" style="231"/>
    <col min="3687" max="3687" width="10.7109375" style="231" customWidth="1"/>
    <col min="3688" max="3688" width="10.7109375" style="231"/>
    <col min="3689" max="3690" width="10.7109375" style="231" customWidth="1"/>
    <col min="3691" max="3692" width="10.7109375" style="231"/>
    <col min="3693" max="3697" width="10.7109375" style="231" customWidth="1"/>
    <col min="3698" max="3698" width="10.7109375" style="231"/>
    <col min="3699" max="3740" width="10.7109375" style="231" customWidth="1"/>
    <col min="3741" max="3741" width="10.7109375" style="231"/>
    <col min="3742" max="3742" width="10.7109375" style="231" customWidth="1"/>
    <col min="3743" max="3744" width="10.7109375" style="231"/>
    <col min="3745" max="3746" width="10.7109375" style="231" customWidth="1"/>
    <col min="3747" max="3749" width="10.7109375" style="231"/>
    <col min="3750" max="3754" width="10.7109375" style="231" customWidth="1"/>
    <col min="3755" max="3755" width="10.7109375" style="231"/>
    <col min="3756" max="3768" width="10.7109375" style="231" customWidth="1"/>
    <col min="3769" max="3769" width="10.7109375" style="231"/>
    <col min="3770" max="3770" width="10.7109375" style="231" customWidth="1"/>
    <col min="3771" max="3771" width="10.7109375" style="231"/>
    <col min="3772" max="3776" width="10.7109375" style="231" customWidth="1"/>
    <col min="3777" max="3777" width="10.7109375" style="231"/>
    <col min="3778" max="3778" width="10.7109375" style="231" customWidth="1"/>
    <col min="3779" max="3781" width="10.7109375" style="231"/>
    <col min="3782" max="3786" width="10.7109375" style="231" customWidth="1"/>
    <col min="3787" max="3787" width="10.7109375" style="231"/>
    <col min="3788" max="3800" width="10.7109375" style="231" customWidth="1"/>
    <col min="3801" max="3801" width="10.7109375" style="231"/>
    <col min="3802" max="3802" width="10.7109375" style="231" customWidth="1"/>
    <col min="3803" max="3803" width="10.7109375" style="231"/>
    <col min="3804" max="3808" width="10.7109375" style="231" customWidth="1"/>
    <col min="3809" max="3809" width="10.7109375" style="231"/>
    <col min="3810" max="3810" width="10.7109375" style="231" customWidth="1"/>
    <col min="3811" max="3813" width="10.7109375" style="231"/>
    <col min="3814" max="3818" width="10.7109375" style="231" customWidth="1"/>
    <col min="3819" max="3819" width="10.7109375" style="231"/>
    <col min="3820" max="3832" width="10.7109375" style="231" customWidth="1"/>
    <col min="3833" max="3833" width="10.7109375" style="231"/>
    <col min="3834" max="3834" width="10.7109375" style="231" customWidth="1"/>
    <col min="3835" max="3835" width="10.7109375" style="231"/>
    <col min="3836" max="3840" width="10.7109375" style="231" customWidth="1"/>
    <col min="3841" max="3841" width="10.7109375" style="231"/>
    <col min="3842" max="3842" width="10.7109375" style="231" customWidth="1"/>
    <col min="3843" max="3845" width="10.7109375" style="231"/>
    <col min="3846" max="3850" width="10.7109375" style="231" customWidth="1"/>
    <col min="3851" max="3851" width="10.7109375" style="231"/>
    <col min="3852" max="3868" width="10.7109375" style="231" customWidth="1"/>
    <col min="3869" max="3869" width="10.7109375" style="231"/>
    <col min="3870" max="3870" width="10.7109375" style="231" customWidth="1"/>
    <col min="3871" max="3872" width="10.7109375" style="231"/>
    <col min="3873" max="3874" width="10.7109375" style="231" customWidth="1"/>
    <col min="3875" max="3877" width="10.7109375" style="231"/>
    <col min="3878" max="3882" width="10.7109375" style="231" customWidth="1"/>
    <col min="3883" max="3883" width="10.7109375" style="231"/>
    <col min="3884" max="3891" width="10.7109375" style="231" customWidth="1"/>
    <col min="3892" max="3892" width="10.7109375" style="231"/>
    <col min="3893" max="3893" width="10.7109375" style="231" customWidth="1"/>
    <col min="3894" max="3894" width="10.7109375" style="231"/>
    <col min="3895" max="3896" width="10.7109375" style="231" customWidth="1"/>
    <col min="3897" max="3897" width="10.7109375" style="231"/>
    <col min="3898" max="3899" width="10.7109375" style="231" customWidth="1"/>
    <col min="3900" max="3900" width="10.7109375" style="231"/>
    <col min="3901" max="3901" width="10.7109375" style="231" customWidth="1"/>
    <col min="3902" max="3902" width="10.7109375" style="231"/>
    <col min="3903" max="3903" width="10.7109375" style="231" customWidth="1"/>
    <col min="3904" max="3918" width="10.7109375" style="231"/>
    <col min="3919" max="3919" width="10.7109375" style="231" customWidth="1"/>
    <col min="3920" max="3920" width="10.7109375" style="231"/>
    <col min="3921" max="3923" width="10.7109375" style="231" customWidth="1"/>
    <col min="3924" max="3924" width="10.7109375" style="231"/>
    <col min="3925" max="3927" width="10.7109375" style="231" customWidth="1"/>
    <col min="3928" max="3928" width="10.7109375" style="231"/>
    <col min="3929" max="3932" width="10.7109375" style="231" customWidth="1"/>
    <col min="3933" max="3935" width="10.7109375" style="231"/>
    <col min="3936" max="3936" width="10.7109375" style="231" customWidth="1"/>
    <col min="3937" max="3939" width="10.7109375" style="231"/>
    <col min="3940" max="3941" width="10.7109375" style="231" customWidth="1"/>
    <col min="3942" max="3942" width="10.7109375" style="231"/>
    <col min="3943" max="3945" width="10.7109375" style="231" customWidth="1"/>
    <col min="3946" max="3946" width="10.7109375" style="231"/>
    <col min="3947" max="3947" width="10.7109375" style="231" customWidth="1"/>
    <col min="3948" max="3949" width="10.7109375" style="231"/>
    <col min="3950" max="3951" width="10.7109375" style="231" customWidth="1"/>
    <col min="3952" max="3952" width="10.7109375" style="231"/>
    <col min="3953" max="3960" width="10.7109375" style="231" customWidth="1"/>
    <col min="3961" max="3961" width="10.7109375" style="231"/>
    <col min="3962" max="3962" width="10.7109375" style="231" customWidth="1"/>
    <col min="3963" max="3963" width="10.7109375" style="231"/>
    <col min="3964" max="3968" width="10.7109375" style="231" customWidth="1"/>
    <col min="3969" max="3969" width="10.7109375" style="231"/>
    <col min="3970" max="3970" width="10.7109375" style="231" customWidth="1"/>
    <col min="3971" max="3973" width="10.7109375" style="231"/>
    <col min="3974" max="3978" width="10.7109375" style="231" customWidth="1"/>
    <col min="3979" max="3979" width="10.7109375" style="231"/>
    <col min="3980" max="3984" width="10.7109375" style="231" customWidth="1"/>
    <col min="3985" max="3986" width="10.7109375" style="231"/>
    <col min="3987" max="4025" width="10.7109375" style="231" customWidth="1"/>
    <col min="4026" max="4026" width="10.7109375" style="231"/>
    <col min="4027" max="4027" width="10.7109375" style="231" customWidth="1"/>
    <col min="4028" max="4028" width="10.7109375" style="231"/>
    <col min="4029" max="4030" width="10.7109375" style="231" customWidth="1"/>
    <col min="4031" max="4031" width="10.7109375" style="231"/>
    <col min="4032" max="4032" width="10.7109375" style="231" customWidth="1"/>
    <col min="4033" max="4033" width="10.7109375" style="231"/>
    <col min="4034" max="4035" width="10.7109375" style="231" customWidth="1"/>
    <col min="4036" max="4037" width="10.7109375" style="231"/>
    <col min="4038" max="4039" width="10.7109375" style="231" customWidth="1"/>
    <col min="4040" max="4041" width="10.7109375" style="231"/>
    <col min="4042" max="4042" width="10.7109375" style="231" customWidth="1"/>
    <col min="4043" max="4044" width="10.7109375" style="231"/>
    <col min="4045" max="4053" width="10.7109375" style="231" customWidth="1"/>
    <col min="4054" max="4054" width="10.7109375" style="231"/>
    <col min="4055" max="4055" width="10.7109375" style="231" customWidth="1"/>
    <col min="4056" max="4059" width="10.7109375" style="231"/>
    <col min="4060" max="4061" width="10.7109375" style="231" customWidth="1"/>
    <col min="4062" max="4062" width="10.7109375" style="231"/>
    <col min="4063" max="4064" width="10.7109375" style="231" customWidth="1"/>
    <col min="4065" max="4065" width="10.7109375" style="231"/>
    <col min="4066" max="4067" width="10.7109375" style="231" customWidth="1"/>
    <col min="4068" max="4070" width="10.7109375" style="231"/>
    <col min="4071" max="4072" width="10.7109375" style="231" customWidth="1"/>
    <col min="4073" max="4073" width="10.7109375" style="231"/>
    <col min="4074" max="4076" width="10.7109375" style="231" customWidth="1"/>
    <col min="4077" max="4077" width="10.7109375" style="231"/>
    <col min="4078" max="4080" width="10.7109375" style="231" customWidth="1"/>
    <col min="4081" max="4083" width="10.7109375" style="231"/>
    <col min="4084" max="4084" width="10.7109375" style="231" customWidth="1"/>
    <col min="4085" max="4086" width="10.7109375" style="231"/>
    <col min="4087" max="4087" width="10.7109375" style="231" customWidth="1"/>
    <col min="4088" max="4088" width="10.7109375" style="231"/>
    <col min="4089" max="4091" width="10.7109375" style="231" customWidth="1"/>
    <col min="4092" max="4092" width="10.7109375" style="231"/>
    <col min="4093" max="4121" width="10.7109375" style="231" customWidth="1"/>
    <col min="4122" max="4122" width="10.7109375" style="231"/>
    <col min="4123" max="4145" width="10.7109375" style="231" customWidth="1"/>
    <col min="4146" max="4147" width="10.7109375" style="231"/>
    <col min="4148" max="4148" width="10.7109375" style="231" customWidth="1"/>
    <col min="4149" max="4150" width="10.7109375" style="231"/>
    <col min="4151" max="4151" width="10.7109375" style="231" customWidth="1"/>
    <col min="4152" max="4152" width="10.7109375" style="231"/>
    <col min="4153" max="4155" width="10.7109375" style="231" customWidth="1"/>
    <col min="4156" max="4156" width="10.7109375" style="231"/>
    <col min="4157" max="4196" width="10.7109375" style="231" customWidth="1"/>
    <col min="4197" max="4198" width="10.7109375" style="231"/>
    <col min="4199" max="4200" width="10.7109375" style="231" customWidth="1"/>
    <col min="4201" max="4201" width="10.7109375" style="231"/>
    <col min="4202" max="4204" width="10.7109375" style="231" customWidth="1"/>
    <col min="4205" max="4205" width="10.7109375" style="231"/>
    <col min="4206" max="4212" width="10.7109375" style="231" customWidth="1"/>
    <col min="4213" max="4213" width="10.7109375" style="231"/>
    <col min="4214" max="4215" width="10.7109375" style="231" customWidth="1"/>
    <col min="4216" max="4216" width="10.7109375" style="231"/>
    <col min="4217" max="4217" width="10.7109375" style="231" customWidth="1"/>
    <col min="4218" max="4219" width="10.7109375" style="231"/>
    <col min="4220" max="4220" width="10.7109375" style="231" customWidth="1"/>
    <col min="4221" max="4222" width="10.7109375" style="231"/>
    <col min="4223" max="4223" width="10.7109375" style="231" customWidth="1"/>
    <col min="4224" max="4224" width="10.7109375" style="231"/>
    <col min="4225" max="4227" width="10.7109375" style="231" customWidth="1"/>
    <col min="4228" max="4230" width="10.7109375" style="231"/>
    <col min="4231" max="4232" width="10.7109375" style="231" customWidth="1"/>
    <col min="4233" max="4233" width="10.7109375" style="231"/>
    <col min="4234" max="4236" width="10.7109375" style="231" customWidth="1"/>
    <col min="4237" max="4237" width="10.7109375" style="231"/>
    <col min="4238" max="4247" width="10.7109375" style="231" customWidth="1"/>
    <col min="4248" max="4248" width="10.7109375" style="231"/>
    <col min="4249" max="4254" width="10.7109375" style="231" customWidth="1"/>
    <col min="4255" max="4262" width="10.7109375" style="231"/>
    <col min="4263" max="4264" width="10.7109375" style="231" customWidth="1"/>
    <col min="4265" max="4265" width="10.7109375" style="231"/>
    <col min="4266" max="4268" width="10.7109375" style="231" customWidth="1"/>
    <col min="4269" max="4269" width="10.7109375" style="231"/>
    <col min="4270" max="4277" width="10.7109375" style="231" customWidth="1"/>
    <col min="4278" max="4278" width="10.7109375" style="231"/>
    <col min="4279" max="4308" width="10.7109375" style="231" customWidth="1"/>
    <col min="4309" max="4311" width="10.7109375" style="231"/>
    <col min="4312" max="4313" width="10.7109375" style="231" customWidth="1"/>
    <col min="4314" max="4315" width="10.7109375" style="231"/>
    <col min="4316" max="4316" width="10.7109375" style="231" customWidth="1"/>
    <col min="4317" max="4318" width="10.7109375" style="231"/>
    <col min="4319" max="4319" width="10.7109375" style="231" customWidth="1"/>
    <col min="4320" max="4320" width="10.7109375" style="231"/>
    <col min="4321" max="4323" width="10.7109375" style="231" customWidth="1"/>
    <col min="4324" max="4326" width="10.7109375" style="231"/>
    <col min="4327" max="4328" width="10.7109375" style="231" customWidth="1"/>
    <col min="4329" max="4329" width="10.7109375" style="231"/>
    <col min="4330" max="4332" width="10.7109375" style="231" customWidth="1"/>
    <col min="4333" max="4333" width="10.7109375" style="231"/>
    <col min="4334" max="4336" width="10.7109375" style="231" customWidth="1"/>
    <col min="4337" max="4338" width="10.7109375" style="231"/>
    <col min="4339" max="4340" width="10.7109375" style="231" customWidth="1"/>
    <col min="4341" max="4341" width="10.7109375" style="231"/>
    <col min="4342" max="4342" width="10.7109375" style="231" customWidth="1"/>
    <col min="4343" max="4343" width="10.7109375" style="231"/>
    <col min="4344" max="4344" width="10.7109375" style="231" customWidth="1"/>
    <col min="4345" max="4348" width="10.7109375" style="231"/>
    <col min="4349" max="4395" width="10.7109375" style="231" customWidth="1"/>
    <col min="4396" max="4396" width="10.7109375" style="231"/>
    <col min="4397" max="4401" width="10.7109375" style="231" customWidth="1"/>
    <col min="4402" max="4402" width="10.7109375" style="231"/>
    <col min="4403" max="4404" width="10.7109375" style="231" customWidth="1"/>
    <col min="4405" max="4405" width="10.7109375" style="231"/>
    <col min="4406" max="4406" width="10.7109375" style="231" customWidth="1"/>
    <col min="4407" max="4407" width="10.7109375" style="231"/>
    <col min="4408" max="4408" width="10.7109375" style="231" customWidth="1"/>
    <col min="4409" max="4412" width="10.7109375" style="231"/>
    <col min="4413" max="4454" width="10.7109375" style="231" customWidth="1"/>
    <col min="4455" max="4457" width="10.7109375" style="231"/>
    <col min="4458" max="4460" width="10.7109375" style="231" customWidth="1"/>
    <col min="4461" max="4461" width="10.7109375" style="231"/>
    <col min="4462" max="4468" width="10.7109375" style="231" customWidth="1"/>
    <col min="4469" max="4470" width="10.7109375" style="231"/>
    <col min="4471" max="4471" width="10.7109375" style="231" customWidth="1"/>
    <col min="4472" max="4474" width="10.7109375" style="231"/>
    <col min="4475" max="4476" width="10.7109375" style="231" customWidth="1"/>
    <col min="4477" max="4477" width="10.7109375" style="231"/>
    <col min="4478" max="4478" width="10.7109375" style="231" customWidth="1"/>
    <col min="4479" max="4479" width="10.7109375" style="231"/>
    <col min="4480" max="4480" width="10.7109375" style="231" customWidth="1"/>
    <col min="4481" max="4484" width="10.7109375" style="231"/>
    <col min="4485" max="4486" width="10.7109375" style="231" customWidth="1"/>
    <col min="4487" max="4489" width="10.7109375" style="231"/>
    <col min="4490" max="4492" width="10.7109375" style="231" customWidth="1"/>
    <col min="4493" max="4493" width="10.7109375" style="231"/>
    <col min="4494" max="4503" width="10.7109375" style="231" customWidth="1"/>
    <col min="4504" max="4504" width="10.7109375" style="231"/>
    <col min="4505" max="4510" width="10.7109375" style="231" customWidth="1"/>
    <col min="4511" max="4516" width="10.7109375" style="231"/>
    <col min="4517" max="4518" width="10.7109375" style="231" customWidth="1"/>
    <col min="4519" max="4521" width="10.7109375" style="231"/>
    <col min="4522" max="4524" width="10.7109375" style="231" customWidth="1"/>
    <col min="4525" max="4525" width="10.7109375" style="231"/>
    <col min="4526" max="4533" width="10.7109375" style="231" customWidth="1"/>
    <col min="4534" max="4534" width="10.7109375" style="231"/>
    <col min="4535" max="4564" width="10.7109375" style="231" customWidth="1"/>
    <col min="4565" max="4565" width="10.7109375" style="231"/>
    <col min="4566" max="4567" width="10.7109375" style="231" customWidth="1"/>
    <col min="4568" max="4570" width="10.7109375" style="231"/>
    <col min="4571" max="4572" width="10.7109375" style="231" customWidth="1"/>
    <col min="4573" max="4573" width="10.7109375" style="231"/>
    <col min="4574" max="4574" width="10.7109375" style="231" customWidth="1"/>
    <col min="4575" max="4575" width="10.7109375" style="231"/>
    <col min="4576" max="4576" width="10.7109375" style="231" customWidth="1"/>
    <col min="4577" max="4580" width="10.7109375" style="231"/>
    <col min="4581" max="4582" width="10.7109375" style="231" customWidth="1"/>
    <col min="4583" max="4585" width="10.7109375" style="231"/>
    <col min="4586" max="4588" width="10.7109375" style="231" customWidth="1"/>
    <col min="4589" max="4589" width="10.7109375" style="231"/>
    <col min="4590" max="4596" width="10.7109375" style="231" customWidth="1"/>
    <col min="4597" max="4598" width="10.7109375" style="231"/>
    <col min="4599" max="4601" width="10.7109375" style="231" customWidth="1"/>
    <col min="4602" max="4603" width="10.7109375" style="231"/>
    <col min="4604" max="4605" width="10.7109375" style="231" customWidth="1"/>
    <col min="4606" max="4607" width="10.7109375" style="231"/>
    <col min="4608" max="4608" width="10.7109375" style="231" customWidth="1"/>
    <col min="4609" max="4612" width="10.7109375" style="231"/>
    <col min="4613" max="4628" width="10.7109375" style="231" customWidth="1"/>
    <col min="4629" max="4629" width="10.7109375" style="231"/>
    <col min="4630" max="4631" width="10.7109375" style="231" customWidth="1"/>
    <col min="4632" max="4634" width="10.7109375" style="231"/>
    <col min="4635" max="4636" width="10.7109375" style="231" customWidth="1"/>
    <col min="4637" max="4637" width="10.7109375" style="231"/>
    <col min="4638" max="4638" width="10.7109375" style="231" customWidth="1"/>
    <col min="4639" max="4639" width="10.7109375" style="231"/>
    <col min="4640" max="4640" width="10.7109375" style="231" customWidth="1"/>
    <col min="4641" max="4644" width="10.7109375" style="231"/>
    <col min="4645" max="4646" width="10.7109375" style="231" customWidth="1"/>
    <col min="4647" max="4649" width="10.7109375" style="231"/>
    <col min="4650" max="4652" width="10.7109375" style="231" customWidth="1"/>
    <col min="4653" max="4653" width="10.7109375" style="231"/>
    <col min="4654" max="4678" width="10.7109375" style="231" customWidth="1"/>
    <col min="4679" max="4681" width="10.7109375" style="231"/>
    <col min="4682" max="4684" width="10.7109375" style="231" customWidth="1"/>
    <col min="4685" max="4685" width="10.7109375" style="231"/>
    <col min="4686" max="4692" width="10.7109375" style="231" customWidth="1"/>
    <col min="4693" max="4693" width="10.7109375" style="231"/>
    <col min="4694" max="4695" width="10.7109375" style="231" customWidth="1"/>
    <col min="4696" max="4698" width="10.7109375" style="231"/>
    <col min="4699" max="4700" width="10.7109375" style="231" customWidth="1"/>
    <col min="4701" max="4701" width="10.7109375" style="231"/>
    <col min="4702" max="4702" width="10.7109375" style="231" customWidth="1"/>
    <col min="4703" max="4703" width="10.7109375" style="231"/>
    <col min="4704" max="4704" width="10.7109375" style="231" customWidth="1"/>
    <col min="4705" max="4708" width="10.7109375" style="231"/>
    <col min="4709" max="4710" width="10.7109375" style="231" customWidth="1"/>
    <col min="4711" max="4713" width="10.7109375" style="231"/>
    <col min="4714" max="4716" width="10.7109375" style="231" customWidth="1"/>
    <col min="4717" max="4717" width="10.7109375" style="231"/>
    <col min="4718" max="4721" width="10.7109375" style="231" customWidth="1"/>
    <col min="4722" max="4722" width="10.7109375" style="231"/>
    <col min="4723" max="4764" width="10.7109375" style="231" customWidth="1"/>
    <col min="4765" max="4765" width="10.7109375" style="231"/>
    <col min="4766" max="4766" width="10.7109375" style="231" customWidth="1"/>
    <col min="4767" max="4768" width="10.7109375" style="231"/>
    <col min="4769" max="4770" width="10.7109375" style="231" customWidth="1"/>
    <col min="4771" max="4773" width="10.7109375" style="231"/>
    <col min="4774" max="4778" width="10.7109375" style="231" customWidth="1"/>
    <col min="4779" max="4779" width="10.7109375" style="231"/>
    <col min="4780" max="4792" width="10.7109375" style="231" customWidth="1"/>
    <col min="4793" max="4793" width="10.7109375" style="231"/>
    <col min="4794" max="4794" width="10.7109375" style="231" customWidth="1"/>
    <col min="4795" max="4795" width="10.7109375" style="231"/>
    <col min="4796" max="4800" width="10.7109375" style="231" customWidth="1"/>
    <col min="4801" max="4801" width="10.7109375" style="231"/>
    <col min="4802" max="4802" width="10.7109375" style="231" customWidth="1"/>
    <col min="4803" max="4805" width="10.7109375" style="231"/>
    <col min="4806" max="4810" width="10.7109375" style="231" customWidth="1"/>
    <col min="4811" max="4811" width="10.7109375" style="231"/>
    <col min="4812" max="4824" width="10.7109375" style="231" customWidth="1"/>
    <col min="4825" max="4825" width="10.7109375" style="231"/>
    <col min="4826" max="4826" width="10.7109375" style="231" customWidth="1"/>
    <col min="4827" max="4827" width="10.7109375" style="231"/>
    <col min="4828" max="4832" width="10.7109375" style="231" customWidth="1"/>
    <col min="4833" max="4833" width="10.7109375" style="231"/>
    <col min="4834" max="4834" width="10.7109375" style="231" customWidth="1"/>
    <col min="4835" max="4837" width="10.7109375" style="231"/>
    <col min="4838" max="4842" width="10.7109375" style="231" customWidth="1"/>
    <col min="4843" max="4843" width="10.7109375" style="231"/>
    <col min="4844" max="4856" width="10.7109375" style="231" customWidth="1"/>
    <col min="4857" max="4857" width="10.7109375" style="231"/>
    <col min="4858" max="4858" width="10.7109375" style="231" customWidth="1"/>
    <col min="4859" max="4859" width="10.7109375" style="231"/>
    <col min="4860" max="4864" width="10.7109375" style="231" customWidth="1"/>
    <col min="4865" max="4865" width="10.7109375" style="231"/>
    <col min="4866" max="4866" width="10.7109375" style="231" customWidth="1"/>
    <col min="4867" max="4869" width="10.7109375" style="231"/>
    <col min="4870" max="4874" width="10.7109375" style="231" customWidth="1"/>
    <col min="4875" max="4875" width="10.7109375" style="231"/>
    <col min="4876" max="4892" width="10.7109375" style="231" customWidth="1"/>
    <col min="4893" max="4893" width="10.7109375" style="231"/>
    <col min="4894" max="4894" width="10.7109375" style="231" customWidth="1"/>
    <col min="4895" max="4896" width="10.7109375" style="231"/>
    <col min="4897" max="4898" width="10.7109375" style="231" customWidth="1"/>
    <col min="4899" max="4901" width="10.7109375" style="231"/>
    <col min="4902" max="4906" width="10.7109375" style="231" customWidth="1"/>
    <col min="4907" max="4907" width="10.7109375" style="231"/>
    <col min="4908" max="4915" width="10.7109375" style="231" customWidth="1"/>
    <col min="4916" max="4916" width="10.7109375" style="231"/>
    <col min="4917" max="4917" width="10.7109375" style="231" customWidth="1"/>
    <col min="4918" max="4918" width="10.7109375" style="231"/>
    <col min="4919" max="4919" width="10.7109375" style="231" customWidth="1"/>
    <col min="4920" max="4921" width="10.7109375" style="231"/>
    <col min="4922" max="4923" width="10.7109375" style="231" customWidth="1"/>
    <col min="4924" max="4924" width="10.7109375" style="231"/>
    <col min="4925" max="4925" width="10.7109375" style="231" customWidth="1"/>
    <col min="4926" max="4926" width="10.7109375" style="231"/>
    <col min="4927" max="4927" width="10.7109375" style="231" customWidth="1"/>
    <col min="4928" max="4942" width="10.7109375" style="231"/>
    <col min="4943" max="4943" width="10.7109375" style="231" customWidth="1"/>
    <col min="4944" max="4944" width="10.7109375" style="231"/>
    <col min="4945" max="4949" width="10.7109375" style="231" customWidth="1"/>
    <col min="4950" max="4950" width="10.7109375" style="231"/>
    <col min="4951" max="4951" width="10.7109375" style="231" customWidth="1"/>
    <col min="4952" max="4955" width="10.7109375" style="231"/>
    <col min="4956" max="4957" width="10.7109375" style="231" customWidth="1"/>
    <col min="4958" max="4958" width="10.7109375" style="231"/>
    <col min="4959" max="4960" width="10.7109375" style="231" customWidth="1"/>
    <col min="4961" max="4961" width="10.7109375" style="231"/>
    <col min="4962" max="4963" width="10.7109375" style="231" customWidth="1"/>
    <col min="4964" max="4966" width="10.7109375" style="231"/>
    <col min="4967" max="4968" width="10.7109375" style="231" customWidth="1"/>
    <col min="4969" max="4969" width="10.7109375" style="231"/>
    <col min="4970" max="4972" width="10.7109375" style="231" customWidth="1"/>
    <col min="4973" max="4973" width="10.7109375" style="231"/>
    <col min="4974" max="4988" width="10.7109375" style="231" customWidth="1"/>
    <col min="4989" max="4989" width="10.7109375" style="231"/>
    <col min="4990" max="4990" width="10.7109375" style="231" customWidth="1"/>
    <col min="4991" max="4992" width="10.7109375" style="231"/>
    <col min="4993" max="4994" width="10.7109375" style="231" customWidth="1"/>
    <col min="4995" max="4997" width="10.7109375" style="231"/>
    <col min="4998" max="5002" width="10.7109375" style="231" customWidth="1"/>
    <col min="5003" max="5003" width="10.7109375" style="231"/>
    <col min="5004" max="5008" width="10.7109375" style="231" customWidth="1"/>
    <col min="5009" max="5010" width="10.7109375" style="231"/>
    <col min="5011" max="5024" width="10.7109375" style="231" customWidth="1"/>
    <col min="5025" max="5025" width="10.7109375" style="231"/>
    <col min="5026" max="5028" width="10.7109375" style="231" customWidth="1"/>
    <col min="5029" max="5029" width="10.7109375" style="231"/>
    <col min="5030" max="5040" width="10.7109375" style="231" customWidth="1"/>
    <col min="5041" max="5042" width="10.7109375" style="231"/>
    <col min="5043" max="5084" width="10.7109375" style="231" customWidth="1"/>
    <col min="5085" max="5085" width="10.7109375" style="231"/>
    <col min="5086" max="5086" width="10.7109375" style="231" customWidth="1"/>
    <col min="5087" max="5088" width="10.7109375" style="231"/>
    <col min="5089" max="5090" width="10.7109375" style="231" customWidth="1"/>
    <col min="5091" max="5093" width="10.7109375" style="231"/>
    <col min="5094" max="5098" width="10.7109375" style="231" customWidth="1"/>
    <col min="5099" max="5099" width="10.7109375" style="231"/>
    <col min="5100" max="5144" width="10.7109375" style="231" customWidth="1"/>
    <col min="5145" max="5145" width="10.7109375" style="231"/>
    <col min="5146" max="5146" width="10.7109375" style="231" customWidth="1"/>
    <col min="5147" max="5147" width="10.7109375" style="231"/>
    <col min="5148" max="5152" width="10.7109375" style="231" customWidth="1"/>
    <col min="5153" max="5153" width="10.7109375" style="231"/>
    <col min="5154" max="5154" width="10.7109375" style="231" customWidth="1"/>
    <col min="5155" max="5157" width="10.7109375" style="231"/>
    <col min="5158" max="5162" width="10.7109375" style="231" customWidth="1"/>
    <col min="5163" max="5163" width="10.7109375" style="231"/>
    <col min="5164" max="5171" width="10.7109375" style="231" customWidth="1"/>
    <col min="5172" max="5173" width="10.7109375" style="231"/>
    <col min="5174" max="5174" width="10.7109375" style="231" customWidth="1"/>
    <col min="5175" max="5177" width="10.7109375" style="231"/>
    <col min="5178" max="5179" width="10.7109375" style="231" customWidth="1"/>
    <col min="5180" max="5180" width="10.7109375" style="231"/>
    <col min="5181" max="5181" width="10.7109375" style="231" customWidth="1"/>
    <col min="5182" max="5182" width="10.7109375" style="231"/>
    <col min="5183" max="5183" width="10.7109375" style="231" customWidth="1"/>
    <col min="5184" max="5198" width="10.7109375" style="231"/>
    <col min="5199" max="5199" width="10.7109375" style="231" customWidth="1"/>
    <col min="5200" max="5202" width="10.7109375" style="231"/>
    <col min="5203" max="5203" width="10.7109375" style="231" customWidth="1"/>
    <col min="5204" max="5204" width="10.7109375" style="231"/>
    <col min="5205" max="5206" width="10.7109375" style="231" customWidth="1"/>
    <col min="5207" max="5211" width="10.7109375" style="231"/>
    <col min="5212" max="5214" width="10.7109375" style="231" customWidth="1"/>
    <col min="5215" max="5215" width="10.7109375" style="231"/>
    <col min="5216" max="5216" width="10.7109375" style="231" customWidth="1"/>
    <col min="5217" max="5219" width="10.7109375" style="231"/>
    <col min="5220" max="5221" width="10.7109375" style="231" customWidth="1"/>
    <col min="5222" max="5222" width="10.7109375" style="231"/>
    <col min="5223" max="5225" width="10.7109375" style="231" customWidth="1"/>
    <col min="5226" max="5226" width="10.7109375" style="231"/>
    <col min="5227" max="5227" width="10.7109375" style="231" customWidth="1"/>
    <col min="5228" max="5229" width="10.7109375" style="231"/>
    <col min="5230" max="5231" width="10.7109375" style="231" customWidth="1"/>
    <col min="5232" max="5232" width="10.7109375" style="231"/>
    <col min="5233" max="5240" width="10.7109375" style="231" customWidth="1"/>
    <col min="5241" max="5241" width="10.7109375" style="231"/>
    <col min="5242" max="5242" width="10.7109375" style="231" customWidth="1"/>
    <col min="5243" max="5243" width="10.7109375" style="231"/>
    <col min="5244" max="5248" width="10.7109375" style="231" customWidth="1"/>
    <col min="5249" max="5249" width="10.7109375" style="231"/>
    <col min="5250" max="5250" width="10.7109375" style="231" customWidth="1"/>
    <col min="5251" max="5253" width="10.7109375" style="231"/>
    <col min="5254" max="5258" width="10.7109375" style="231" customWidth="1"/>
    <col min="5259" max="5259" width="10.7109375" style="231"/>
    <col min="5260" max="5269" width="10.7109375" style="231" customWidth="1"/>
    <col min="5270" max="5270" width="10.7109375" style="231"/>
    <col min="5271" max="5271" width="10.7109375" style="231" customWidth="1"/>
    <col min="5272" max="5275" width="10.7109375" style="231"/>
    <col min="5276" max="5278" width="10.7109375" style="231" customWidth="1"/>
    <col min="5279" max="5280" width="10.7109375" style="231"/>
    <col min="5281" max="5281" width="10.7109375" style="231" customWidth="1"/>
    <col min="5282" max="5286" width="10.7109375" style="231"/>
    <col min="5287" max="5288" width="10.7109375" style="231" customWidth="1"/>
    <col min="5289" max="5289" width="10.7109375" style="231"/>
    <col min="5290" max="5292" width="10.7109375" style="231" customWidth="1"/>
    <col min="5293" max="5293" width="10.7109375" style="231"/>
    <col min="5294" max="5299" width="10.7109375" style="231" customWidth="1"/>
    <col min="5300" max="5303" width="10.7109375" style="231"/>
    <col min="5304" max="5304" width="10.7109375" style="231" customWidth="1"/>
    <col min="5305" max="5305" width="10.7109375" style="231"/>
    <col min="5306" max="5307" width="10.7109375" style="231" customWidth="1"/>
    <col min="5308" max="5308" width="10.7109375" style="231"/>
    <col min="5309" max="5309" width="10.7109375" style="231" customWidth="1"/>
    <col min="5310" max="5310" width="10.7109375" style="231"/>
    <col min="5311" max="5311" width="10.7109375" style="231" customWidth="1"/>
    <col min="5312" max="5326" width="10.7109375" style="231"/>
    <col min="5327" max="5327" width="10.7109375" style="231" customWidth="1"/>
    <col min="5328" max="5328" width="10.7109375" style="231"/>
    <col min="5329" max="5332" width="10.7109375" style="231" customWidth="1"/>
    <col min="5333" max="5333" width="10.7109375" style="231"/>
    <col min="5334" max="5334" width="10.7109375" style="231" customWidth="1"/>
    <col min="5335" max="5335" width="10.7109375" style="231"/>
    <col min="5336" max="5336" width="10.7109375" style="231" customWidth="1"/>
    <col min="5337" max="5337" width="10.7109375" style="231"/>
    <col min="5338" max="5340" width="10.7109375" style="231" customWidth="1"/>
    <col min="5341" max="5342" width="10.7109375" style="231"/>
    <col min="5343" max="5344" width="10.7109375" style="231" customWidth="1"/>
    <col min="5345" max="5345" width="10.7109375" style="231"/>
    <col min="5346" max="5347" width="10.7109375" style="231" customWidth="1"/>
    <col min="5348" max="5350" width="10.7109375" style="231"/>
    <col min="5351" max="5352" width="10.7109375" style="231" customWidth="1"/>
    <col min="5353" max="5353" width="10.7109375" style="231"/>
    <col min="5354" max="5356" width="10.7109375" style="231" customWidth="1"/>
    <col min="5357" max="5357" width="10.7109375" style="231"/>
    <col min="5358" max="5362" width="10.7109375" style="231" customWidth="1"/>
    <col min="5363" max="5363" width="10.7109375" style="231"/>
    <col min="5364" max="5404" width="10.7109375" style="231" customWidth="1"/>
    <col min="5405" max="5405" width="10.7109375" style="231"/>
    <col min="5406" max="5406" width="10.7109375" style="231" customWidth="1"/>
    <col min="5407" max="5408" width="10.7109375" style="231"/>
    <col min="5409" max="5410" width="10.7109375" style="231" customWidth="1"/>
    <col min="5411" max="5413" width="10.7109375" style="231"/>
    <col min="5414" max="5418" width="10.7109375" style="231" customWidth="1"/>
    <col min="5419" max="5419" width="10.7109375" style="231"/>
    <col min="5420" max="5432" width="10.7109375" style="231" customWidth="1"/>
    <col min="5433" max="5433" width="10.7109375" style="231"/>
    <col min="5434" max="5434" width="10.7109375" style="231" customWidth="1"/>
    <col min="5435" max="5435" width="10.7109375" style="231"/>
    <col min="5436" max="5440" width="10.7109375" style="231" customWidth="1"/>
    <col min="5441" max="5441" width="10.7109375" style="231"/>
    <col min="5442" max="5442" width="10.7109375" style="231" customWidth="1"/>
    <col min="5443" max="5445" width="10.7109375" style="231"/>
    <col min="5446" max="5450" width="10.7109375" style="231" customWidth="1"/>
    <col min="5451" max="5451" width="10.7109375" style="231"/>
    <col min="5452" max="5464" width="10.7109375" style="231" customWidth="1"/>
    <col min="5465" max="5465" width="10.7109375" style="231"/>
    <col min="5466" max="5466" width="10.7109375" style="231" customWidth="1"/>
    <col min="5467" max="5467" width="10.7109375" style="231"/>
    <col min="5468" max="5472" width="10.7109375" style="231" customWidth="1"/>
    <col min="5473" max="5473" width="10.7109375" style="231"/>
    <col min="5474" max="5474" width="10.7109375" style="231" customWidth="1"/>
    <col min="5475" max="5477" width="10.7109375" style="231"/>
    <col min="5478" max="5482" width="10.7109375" style="231" customWidth="1"/>
    <col min="5483" max="5483" width="10.7109375" style="231"/>
    <col min="5484" max="5499" width="10.7109375" style="231" customWidth="1"/>
    <col min="5500" max="5500" width="10.7109375" style="231"/>
    <col min="5501" max="5532" width="10.7109375" style="231" customWidth="1"/>
    <col min="5533" max="5533" width="10.7109375" style="231"/>
    <col min="5534" max="5534" width="10.7109375" style="231" customWidth="1"/>
    <col min="5535" max="5536" width="10.7109375" style="231"/>
    <col min="5537" max="5538" width="10.7109375" style="231" customWidth="1"/>
    <col min="5539" max="5541" width="10.7109375" style="231"/>
    <col min="5542" max="5546" width="10.7109375" style="231" customWidth="1"/>
    <col min="5547" max="5547" width="10.7109375" style="231"/>
    <col min="5548" max="5555" width="10.7109375" style="231" customWidth="1"/>
    <col min="5556" max="5561" width="10.7109375" style="231"/>
    <col min="5562" max="5563" width="10.7109375" style="231" customWidth="1"/>
    <col min="5564" max="5564" width="10.7109375" style="231"/>
    <col min="5565" max="5565" width="10.7109375" style="231" customWidth="1"/>
    <col min="5566" max="5566" width="10.7109375" style="231"/>
    <col min="5567" max="5567" width="10.7109375" style="231" customWidth="1"/>
    <col min="5568" max="5582" width="10.7109375" style="231"/>
    <col min="5583" max="5583" width="10.7109375" style="231" customWidth="1"/>
    <col min="5584" max="5584" width="10.7109375" style="231"/>
    <col min="5585" max="5587" width="10.7109375" style="231" customWidth="1"/>
    <col min="5588" max="5588" width="10.7109375" style="231"/>
    <col min="5589" max="5591" width="10.7109375" style="231" customWidth="1"/>
    <col min="5592" max="5592" width="10.7109375" style="231"/>
    <col min="5593" max="5596" width="10.7109375" style="231" customWidth="1"/>
    <col min="5597" max="5599" width="10.7109375" style="231"/>
    <col min="5600" max="5600" width="10.7109375" style="231" customWidth="1"/>
    <col min="5601" max="5603" width="10.7109375" style="231"/>
    <col min="5604" max="5605" width="10.7109375" style="231" customWidth="1"/>
    <col min="5606" max="5606" width="10.7109375" style="231"/>
    <col min="5607" max="5609" width="10.7109375" style="231" customWidth="1"/>
    <col min="5610" max="5610" width="10.7109375" style="231"/>
    <col min="5611" max="5611" width="10.7109375" style="231" customWidth="1"/>
    <col min="5612" max="5613" width="10.7109375" style="231"/>
    <col min="5614" max="5615" width="10.7109375" style="231" customWidth="1"/>
    <col min="5616" max="5616" width="10.7109375" style="231"/>
    <col min="5617" max="5624" width="10.7109375" style="231" customWidth="1"/>
    <col min="5625" max="5625" width="10.7109375" style="231"/>
    <col min="5626" max="5626" width="10.7109375" style="231" customWidth="1"/>
    <col min="5627" max="5627" width="10.7109375" style="231"/>
    <col min="5628" max="5632" width="10.7109375" style="231" customWidth="1"/>
    <col min="5633" max="5633" width="10.7109375" style="231"/>
    <col min="5634" max="5634" width="10.7109375" style="231" customWidth="1"/>
    <col min="5635" max="5637" width="10.7109375" style="231"/>
    <col min="5638" max="5642" width="10.7109375" style="231" customWidth="1"/>
    <col min="5643" max="5643" width="10.7109375" style="231"/>
    <col min="5644" max="5648" width="10.7109375" style="231" customWidth="1"/>
    <col min="5649" max="5649" width="10.7109375" style="231"/>
    <col min="5650" max="5650" width="10.7109375" style="231" customWidth="1"/>
    <col min="5651" max="5651" width="10.7109375" style="231"/>
    <col min="5652" max="5688" width="10.7109375" style="231" customWidth="1"/>
    <col min="5689" max="5689" width="10.7109375" style="231"/>
    <col min="5690" max="5690" width="10.7109375" style="231" customWidth="1"/>
    <col min="5691" max="5691" width="10.7109375" style="231"/>
    <col min="5692" max="5696" width="10.7109375" style="231" customWidth="1"/>
    <col min="5697" max="5697" width="10.7109375" style="231"/>
    <col min="5698" max="5698" width="10.7109375" style="231" customWidth="1"/>
    <col min="5699" max="5701" width="10.7109375" style="231"/>
    <col min="5702" max="5706" width="10.7109375" style="231" customWidth="1"/>
    <col min="5707" max="5707" width="10.7109375" style="231"/>
    <col min="5708" max="5744" width="10.7109375" style="231" customWidth="1"/>
    <col min="5745" max="5746" width="10.7109375" style="231"/>
    <col min="5747" max="5784" width="10.7109375" style="231" customWidth="1"/>
    <col min="5785" max="5785" width="10.7109375" style="231"/>
    <col min="5786" max="5786" width="10.7109375" style="231" customWidth="1"/>
    <col min="5787" max="5787" width="10.7109375" style="231"/>
    <col min="5788" max="5792" width="10.7109375" style="231" customWidth="1"/>
    <col min="5793" max="5793" width="10.7109375" style="231"/>
    <col min="5794" max="5794" width="10.7109375" style="231" customWidth="1"/>
    <col min="5795" max="5797" width="10.7109375" style="231"/>
    <col min="5798" max="5802" width="10.7109375" style="231" customWidth="1"/>
    <col min="5803" max="5803" width="10.7109375" style="231"/>
    <col min="5804" max="5808" width="10.7109375" style="231" customWidth="1"/>
    <col min="5809" max="5809" width="10.7109375" style="231"/>
    <col min="5810" max="5811" width="10.7109375" style="231" customWidth="1"/>
    <col min="5812" max="5818" width="10.7109375" style="231"/>
    <col min="5819" max="5822" width="10.7109375" style="231" customWidth="1"/>
    <col min="5823" max="5823" width="10.7109375" style="231"/>
    <col min="5824" max="5824" width="10.7109375" style="231" customWidth="1"/>
    <col min="5825" max="5827" width="10.7109375" style="231"/>
    <col min="5828" max="5829" width="10.7109375" style="231" customWidth="1"/>
    <col min="5830" max="5830" width="10.7109375" style="231"/>
    <col min="5831" max="5833" width="10.7109375" style="231" customWidth="1"/>
    <col min="5834" max="5834" width="10.7109375" style="231"/>
    <col min="5835" max="5835" width="10.7109375" style="231" customWidth="1"/>
    <col min="5836" max="5837" width="10.7109375" style="231"/>
    <col min="5838" max="5839" width="10.7109375" style="231" customWidth="1"/>
    <col min="5840" max="5840" width="10.7109375" style="231"/>
    <col min="5841" max="5844" width="10.7109375" style="231" customWidth="1"/>
    <col min="5845" max="5845" width="10.7109375" style="231"/>
    <col min="5846" max="5846" width="10.7109375" style="231" customWidth="1"/>
    <col min="5847" max="5847" width="10.7109375" style="231"/>
    <col min="5848" max="5910" width="10.7109375" style="231" customWidth="1"/>
    <col min="5911" max="5911" width="10.7109375" style="231"/>
    <col min="5912" max="5944" width="10.7109375" style="231" customWidth="1"/>
    <col min="5945" max="5945" width="10.7109375" style="231"/>
    <col min="5946" max="5946" width="10.7109375" style="231" customWidth="1"/>
    <col min="5947" max="5947" width="10.7109375" style="231"/>
    <col min="5948" max="5952" width="10.7109375" style="231" customWidth="1"/>
    <col min="5953" max="5953" width="10.7109375" style="231"/>
    <col min="5954" max="5954" width="10.7109375" style="231" customWidth="1"/>
    <col min="5955" max="5957" width="10.7109375" style="231"/>
    <col min="5958" max="5962" width="10.7109375" style="231" customWidth="1"/>
    <col min="5963" max="5963" width="10.7109375" style="231"/>
    <col min="5964" max="5980" width="10.7109375" style="231" customWidth="1"/>
    <col min="5981" max="5981" width="10.7109375" style="231"/>
    <col min="5982" max="5982" width="10.7109375" style="231" customWidth="1"/>
    <col min="5983" max="5984" width="10.7109375" style="231"/>
    <col min="5985" max="5986" width="10.7109375" style="231" customWidth="1"/>
    <col min="5987" max="5989" width="10.7109375" style="231"/>
    <col min="5990" max="5994" width="10.7109375" style="231" customWidth="1"/>
    <col min="5995" max="5995" width="10.7109375" style="231"/>
    <col min="5996" max="6012" width="10.7109375" style="231" customWidth="1"/>
    <col min="6013" max="6013" width="10.7109375" style="231"/>
    <col min="6014" max="6014" width="10.7109375" style="231" customWidth="1"/>
    <col min="6015" max="6016" width="10.7109375" style="231"/>
    <col min="6017" max="6018" width="10.7109375" style="231" customWidth="1"/>
    <col min="6019" max="6021" width="10.7109375" style="231"/>
    <col min="6022" max="6026" width="10.7109375" style="231" customWidth="1"/>
    <col min="6027" max="6027" width="10.7109375" style="231"/>
    <col min="6028" max="6034" width="10.7109375" style="231" customWidth="1"/>
    <col min="6035" max="6035" width="10.7109375" style="231"/>
    <col min="6036" max="6076" width="10.7109375" style="231" customWidth="1"/>
    <col min="6077" max="6080" width="10.7109375" style="231"/>
    <col min="6081" max="6082" width="10.7109375" style="231" customWidth="1"/>
    <col min="6083" max="6083" width="10.7109375" style="231"/>
    <col min="6084" max="6084" width="10.7109375" style="231" customWidth="1"/>
    <col min="6085" max="6085" width="10.7109375" style="231"/>
    <col min="6086" max="6091" width="10.7109375" style="231" customWidth="1"/>
    <col min="6092" max="6092" width="10.7109375" style="231"/>
    <col min="6093" max="6099" width="10.7109375" style="231" customWidth="1"/>
    <col min="6100" max="6102" width="10.7109375" style="231"/>
    <col min="6103" max="6108" width="10.7109375" style="231" customWidth="1"/>
    <col min="6109" max="6109" width="10.7109375" style="231"/>
    <col min="6110" max="6110" width="10.7109375" style="231" customWidth="1"/>
    <col min="6111" max="6113" width="10.7109375" style="231"/>
    <col min="6114" max="6114" width="10.7109375" style="231" customWidth="1"/>
    <col min="6115" max="6115" width="10.7109375" style="231"/>
    <col min="6116" max="6116" width="10.7109375" style="231" customWidth="1"/>
    <col min="6117" max="6117" width="10.7109375" style="231"/>
    <col min="6118" max="6118" width="10.7109375" style="231" customWidth="1"/>
    <col min="6119" max="6119" width="10.7109375" style="231"/>
    <col min="6120" max="6125" width="10.7109375" style="231" customWidth="1"/>
    <col min="6126" max="6126" width="10.7109375" style="231"/>
    <col min="6127" max="6127" width="10.7109375" style="231" customWidth="1"/>
    <col min="6128" max="6128" width="10.7109375" style="231"/>
    <col min="6129" max="6130" width="10.7109375" style="231" customWidth="1"/>
    <col min="6131" max="6131" width="10.7109375" style="231"/>
    <col min="6132" max="6161" width="10.7109375" style="231" customWidth="1"/>
    <col min="6162" max="6162" width="10.7109375" style="231"/>
    <col min="6163" max="6189" width="10.7109375" style="231" customWidth="1"/>
    <col min="6190" max="6190" width="10.7109375" style="231"/>
    <col min="6191" max="6195" width="10.7109375" style="231" customWidth="1"/>
    <col min="6196" max="6197" width="10.7109375" style="231"/>
    <col min="6198" max="6198" width="10.7109375" style="231" customWidth="1"/>
    <col min="6199" max="6200" width="10.7109375" style="231"/>
    <col min="6201" max="6201" width="10.7109375" style="231" customWidth="1"/>
    <col min="6202" max="6202" width="10.7109375" style="231"/>
    <col min="6203" max="6203" width="10.7109375" style="231" customWidth="1"/>
    <col min="6204" max="6204" width="10.7109375" style="231"/>
    <col min="6205" max="6205" width="10.7109375" style="231" customWidth="1"/>
    <col min="6206" max="6206" width="10.7109375" style="231"/>
    <col min="6207" max="6207" width="10.7109375" style="231" customWidth="1"/>
    <col min="6208" max="6222" width="10.7109375" style="231"/>
    <col min="6223" max="6223" width="10.7109375" style="231" customWidth="1"/>
    <col min="6224" max="6225" width="10.7109375" style="231"/>
    <col min="6226" max="6228" width="10.7109375" style="231" customWidth="1"/>
    <col min="6229" max="6237" width="10.7109375" style="231"/>
    <col min="6238" max="6238" width="10.7109375" style="231" customWidth="1"/>
    <col min="6239" max="6239" width="10.7109375" style="231"/>
    <col min="6240" max="6240" width="10.7109375" style="231" customWidth="1"/>
    <col min="6241" max="6241" width="10.7109375" style="231"/>
    <col min="6242" max="6243" width="10.7109375" style="231" customWidth="1"/>
    <col min="6244" max="6246" width="10.7109375" style="231"/>
    <col min="6247" max="6250" width="10.7109375" style="231" customWidth="1"/>
    <col min="6251" max="6251" width="10.7109375" style="231"/>
    <col min="6252" max="6252" width="10.7109375" style="231" customWidth="1"/>
    <col min="6253" max="6253" width="10.7109375" style="231"/>
    <col min="6254" max="6255" width="10.7109375" style="231" customWidth="1"/>
    <col min="6256" max="6256" width="10.7109375" style="231"/>
    <col min="6257" max="6268" width="10.7109375" style="231" customWidth="1"/>
    <col min="6269" max="6270" width="10.7109375" style="231"/>
    <col min="6271" max="6271" width="10.7109375" style="231" customWidth="1"/>
    <col min="6272" max="6274" width="10.7109375" style="231"/>
    <col min="6275" max="6275" width="10.7109375" style="231" customWidth="1"/>
    <col min="6276" max="6278" width="10.7109375" style="231"/>
    <col min="6279" max="6282" width="10.7109375" style="231" customWidth="1"/>
    <col min="6283" max="6283" width="10.7109375" style="231"/>
    <col min="6284" max="6289" width="10.7109375" style="231" customWidth="1"/>
    <col min="6290" max="6290" width="10.7109375" style="231"/>
    <col min="6291" max="6317" width="10.7109375" style="231" customWidth="1"/>
    <col min="6318" max="6318" width="10.7109375" style="231"/>
    <col min="6319" max="6324" width="10.7109375" style="231" customWidth="1"/>
    <col min="6325" max="6325" width="10.7109375" style="231"/>
    <col min="6326" max="6326" width="10.7109375" style="231" customWidth="1"/>
    <col min="6327" max="6327" width="10.7109375" style="231"/>
    <col min="6328" max="6481" width="10.7109375" style="231" customWidth="1"/>
    <col min="6482" max="6482" width="10.7109375" style="231"/>
    <col min="6483" max="6509" width="10.7109375" style="231" customWidth="1"/>
    <col min="6510" max="6510" width="10.7109375" style="231"/>
    <col min="6511" max="6519" width="10.7109375" style="231" customWidth="1"/>
    <col min="6520" max="6520" width="10.7109375" style="231"/>
    <col min="6521" max="6524" width="10.7109375" style="231" customWidth="1"/>
    <col min="6525" max="6528" width="10.7109375" style="231"/>
    <col min="6529" max="6530" width="10.7109375" style="231" customWidth="1"/>
    <col min="6531" max="6531" width="10.7109375" style="231"/>
    <col min="6532" max="6532" width="10.7109375" style="231" customWidth="1"/>
    <col min="6533" max="6533" width="10.7109375" style="231"/>
    <col min="6534" max="6539" width="10.7109375" style="231" customWidth="1"/>
    <col min="6540" max="6540" width="10.7109375" style="231"/>
    <col min="6541" max="6550" width="10.7109375" style="231" customWidth="1"/>
    <col min="6551" max="6551" width="10.7109375" style="231"/>
    <col min="6552" max="6553" width="10.7109375" style="231" customWidth="1"/>
    <col min="6554" max="6554" width="10.7109375" style="231"/>
    <col min="6555" max="6556" width="10.7109375" style="231" customWidth="1"/>
    <col min="6557" max="6560" width="10.7109375" style="231"/>
    <col min="6561" max="6562" width="10.7109375" style="231" customWidth="1"/>
    <col min="6563" max="6563" width="10.7109375" style="231"/>
    <col min="6564" max="6564" width="10.7109375" style="231" customWidth="1"/>
    <col min="6565" max="6565" width="10.7109375" style="231"/>
    <col min="6566" max="6571" width="10.7109375" style="231" customWidth="1"/>
    <col min="6572" max="6572" width="10.7109375" style="231"/>
    <col min="6573" max="6576" width="10.7109375" style="231" customWidth="1"/>
    <col min="6577" max="6579" width="10.7109375" style="231"/>
    <col min="6580" max="6612" width="10.7109375" style="231" customWidth="1"/>
    <col min="6613" max="6613" width="10.7109375" style="231"/>
    <col min="6614" max="6614" width="10.7109375" style="231" customWidth="1"/>
    <col min="6615" max="6615" width="10.7109375" style="231"/>
    <col min="6616" max="6617" width="10.7109375" style="231" customWidth="1"/>
    <col min="6618" max="6618" width="10.7109375" style="231"/>
    <col min="6619" max="6620" width="10.7109375" style="231" customWidth="1"/>
    <col min="6621" max="6624" width="10.7109375" style="231"/>
    <col min="6625" max="6626" width="10.7109375" style="231" customWidth="1"/>
    <col min="6627" max="6627" width="10.7109375" style="231"/>
    <col min="6628" max="6628" width="10.7109375" style="231" customWidth="1"/>
    <col min="6629" max="6629" width="10.7109375" style="231"/>
    <col min="6630" max="6635" width="10.7109375" style="231" customWidth="1"/>
    <col min="6636" max="6636" width="10.7109375" style="231"/>
    <col min="6637" max="6640" width="10.7109375" style="231" customWidth="1"/>
    <col min="6641" max="6641" width="10.7109375" style="231"/>
    <col min="6642" max="6642" width="10.7109375" style="231" customWidth="1"/>
    <col min="6643" max="6643" width="10.7109375" style="231"/>
    <col min="6644" max="6648" width="10.7109375" style="231" customWidth="1"/>
    <col min="6649" max="6653" width="10.7109375" style="231"/>
    <col min="6654" max="6654" width="10.7109375" style="231" customWidth="1"/>
    <col min="6655" max="6655" width="10.7109375" style="231"/>
    <col min="6656" max="6656" width="10.7109375" style="231" customWidth="1"/>
    <col min="6657" max="6657" width="10.7109375" style="231"/>
    <col min="6658" max="6659" width="10.7109375" style="231" customWidth="1"/>
    <col min="6660" max="6662" width="10.7109375" style="231"/>
    <col min="6663" max="6666" width="10.7109375" style="231" customWidth="1"/>
    <col min="6667" max="6667" width="10.7109375" style="231"/>
    <col min="6668" max="6668" width="10.7109375" style="231" customWidth="1"/>
    <col min="6669" max="6669" width="10.7109375" style="231"/>
    <col min="6670" max="6671" width="10.7109375" style="231" customWidth="1"/>
    <col min="6672" max="6672" width="10.7109375" style="231"/>
    <col min="6673" max="6673" width="10.7109375" style="231" customWidth="1"/>
    <col min="6674" max="6675" width="10.7109375" style="231"/>
    <col min="6676" max="6707" width="10.7109375" style="231" customWidth="1"/>
    <col min="6708" max="6710" width="10.7109375" style="231"/>
    <col min="6711" max="6716" width="10.7109375" style="231" customWidth="1"/>
    <col min="6717" max="6717" width="10.7109375" style="231"/>
    <col min="6718" max="6718" width="10.7109375" style="231" customWidth="1"/>
    <col min="6719" max="6721" width="10.7109375" style="231"/>
    <col min="6722" max="6722" width="10.7109375" style="231" customWidth="1"/>
    <col min="6723" max="6723" width="10.7109375" style="231"/>
    <col min="6724" max="6724" width="10.7109375" style="231" customWidth="1"/>
    <col min="6725" max="6725" width="10.7109375" style="231"/>
    <col min="6726" max="6726" width="10.7109375" style="231" customWidth="1"/>
    <col min="6727" max="6727" width="10.7109375" style="231"/>
    <col min="6728" max="6733" width="10.7109375" style="231" customWidth="1"/>
    <col min="6734" max="6734" width="10.7109375" style="231"/>
    <col min="6735" max="6735" width="10.7109375" style="231" customWidth="1"/>
    <col min="6736" max="6736" width="10.7109375" style="231"/>
    <col min="6737" max="6743" width="10.7109375" style="231" customWidth="1"/>
    <col min="6744" max="6744" width="10.7109375" style="231"/>
    <col min="6745" max="6748" width="10.7109375" style="231" customWidth="1"/>
    <col min="6749" max="6752" width="10.7109375" style="231"/>
    <col min="6753" max="6754" width="10.7109375" style="231" customWidth="1"/>
    <col min="6755" max="6755" width="10.7109375" style="231"/>
    <col min="6756" max="6756" width="10.7109375" style="231" customWidth="1"/>
    <col min="6757" max="6757" width="10.7109375" style="231"/>
    <col min="6758" max="6763" width="10.7109375" style="231" customWidth="1"/>
    <col min="6764" max="6764" width="10.7109375" style="231"/>
    <col min="6765" max="6771" width="10.7109375" style="231" customWidth="1"/>
    <col min="6772" max="6775" width="10.7109375" style="231"/>
    <col min="6776" max="6776" width="10.7109375" style="231" customWidth="1"/>
    <col min="6777" max="6781" width="10.7109375" style="231"/>
    <col min="6782" max="6782" width="10.7109375" style="231" customWidth="1"/>
    <col min="6783" max="6783" width="10.7109375" style="231"/>
    <col min="6784" max="6788" width="10.7109375" style="231" customWidth="1"/>
    <col min="6789" max="6789" width="10.7109375" style="231"/>
    <col min="6790" max="6791" width="10.7109375" style="231" customWidth="1"/>
    <col min="6792" max="6792" width="10.7109375" style="231"/>
    <col min="6793" max="6797" width="10.7109375" style="231" customWidth="1"/>
    <col min="6798" max="6798" width="10.7109375" style="231"/>
    <col min="6799" max="6799" width="10.7109375" style="231" customWidth="1"/>
    <col min="6800" max="6800" width="10.7109375" style="231"/>
    <col min="6801" max="6805" width="10.7109375" style="231" customWidth="1"/>
    <col min="6806" max="6806" width="10.7109375" style="231"/>
    <col min="6807" max="6835" width="10.7109375" style="231" customWidth="1"/>
    <col min="6836" max="6837" width="10.7109375" style="231"/>
    <col min="6838" max="6839" width="10.7109375" style="231" customWidth="1"/>
    <col min="6840" max="6840" width="10.7109375" style="231"/>
    <col min="6841" max="6841" width="10.7109375" style="231" customWidth="1"/>
    <col min="6842" max="6844" width="10.7109375" style="231"/>
    <col min="6845" max="6845" width="10.7109375" style="231" customWidth="1"/>
    <col min="6846" max="6846" width="10.7109375" style="231"/>
    <col min="6847" max="6847" width="10.7109375" style="231" customWidth="1"/>
    <col min="6848" max="6862" width="10.7109375" style="231"/>
    <col min="6863" max="6863" width="10.7109375" style="231" customWidth="1"/>
    <col min="6864" max="6864" width="10.7109375" style="231"/>
    <col min="6865" max="6865" width="10.7109375" style="231" customWidth="1"/>
    <col min="6866" max="6866" width="10.7109375" style="231"/>
    <col min="6867" max="6867" width="10.7109375" style="231" customWidth="1"/>
    <col min="6868" max="6868" width="10.7109375" style="231"/>
    <col min="6869" max="6869" width="10.7109375" style="231" customWidth="1"/>
    <col min="6870" max="6871" width="10.7109375" style="231"/>
    <col min="6872" max="6872" width="10.7109375" style="231" customWidth="1"/>
    <col min="6873" max="6873" width="10.7109375" style="231"/>
    <col min="6874" max="6874" width="10.7109375" style="231" customWidth="1"/>
    <col min="6875" max="6875" width="10.7109375" style="231"/>
    <col min="6876" max="6876" width="10.7109375" style="231" customWidth="1"/>
    <col min="6877" max="6878" width="10.7109375" style="231"/>
    <col min="6879" max="6881" width="10.7109375" style="231" customWidth="1"/>
    <col min="6882" max="6882" width="10.7109375" style="231"/>
    <col min="6883" max="6886" width="10.7109375" style="231" customWidth="1"/>
    <col min="6887" max="6890" width="10.7109375" style="231"/>
    <col min="6891" max="6891" width="10.7109375" style="231" customWidth="1"/>
    <col min="6892" max="6893" width="10.7109375" style="231"/>
    <col min="6894" max="6895" width="10.7109375" style="231" customWidth="1"/>
    <col min="6896" max="6896" width="10.7109375" style="231"/>
    <col min="6897" max="6903" width="10.7109375" style="231" customWidth="1"/>
    <col min="6904" max="6907" width="10.7109375" style="231"/>
    <col min="6908" max="6908" width="10.7109375" style="231" customWidth="1"/>
    <col min="6909" max="6911" width="10.7109375" style="231"/>
    <col min="6912" max="6912" width="10.7109375" style="231" customWidth="1"/>
    <col min="6913" max="6913" width="10.7109375" style="231"/>
    <col min="6914" max="6916" width="10.7109375" style="231" customWidth="1"/>
    <col min="6917" max="6917" width="10.7109375" style="231"/>
    <col min="6918" max="6918" width="10.7109375" style="231" customWidth="1"/>
    <col min="6919" max="6919" width="10.7109375" style="231"/>
    <col min="6920" max="6922" width="10.7109375" style="231" customWidth="1"/>
    <col min="6923" max="6923" width="10.7109375" style="231"/>
    <col min="6924" max="6936" width="10.7109375" style="231" customWidth="1"/>
    <col min="6937" max="6940" width="10.7109375" style="231"/>
    <col min="6941" max="6942" width="10.7109375" style="231" customWidth="1"/>
    <col min="6943" max="6943" width="10.7109375" style="231"/>
    <col min="6944" max="6944" width="10.7109375" style="231" customWidth="1"/>
    <col min="6945" max="6945" width="10.7109375" style="231"/>
    <col min="6946" max="6947" width="10.7109375" style="231" customWidth="1"/>
    <col min="6948" max="6949" width="10.7109375" style="231"/>
    <col min="6950" max="6951" width="10.7109375" style="231" customWidth="1"/>
    <col min="6952" max="6953" width="10.7109375" style="231"/>
    <col min="6954" max="6954" width="10.7109375" style="231" customWidth="1"/>
    <col min="6955" max="6956" width="10.7109375" style="231"/>
    <col min="6957" max="6968" width="10.7109375" style="231" customWidth="1"/>
    <col min="6969" max="6972" width="10.7109375" style="231"/>
    <col min="6973" max="6974" width="10.7109375" style="231" customWidth="1"/>
    <col min="6975" max="6975" width="10.7109375" style="231"/>
    <col min="6976" max="6976" width="10.7109375" style="231" customWidth="1"/>
    <col min="6977" max="6977" width="10.7109375" style="231"/>
    <col min="6978" max="6979" width="10.7109375" style="231" customWidth="1"/>
    <col min="6980" max="6981" width="10.7109375" style="231"/>
    <col min="6982" max="6983" width="10.7109375" style="231" customWidth="1"/>
    <col min="6984" max="6985" width="10.7109375" style="231"/>
    <col min="6986" max="6986" width="10.7109375" style="231" customWidth="1"/>
    <col min="6987" max="6988" width="10.7109375" style="231"/>
    <col min="6989" max="6994" width="10.7109375" style="231" customWidth="1"/>
    <col min="6995" max="6995" width="10.7109375" style="231"/>
    <col min="6996" max="6998" width="10.7109375" style="231" customWidth="1"/>
    <col min="6999" max="7003" width="10.7109375" style="231"/>
    <col min="7004" max="7005" width="10.7109375" style="231" customWidth="1"/>
    <col min="7006" max="7007" width="10.7109375" style="231"/>
    <col min="7008" max="7009" width="10.7109375" style="231" customWidth="1"/>
    <col min="7010" max="7012" width="10.7109375" style="231"/>
    <col min="7013" max="7013" width="10.7109375" style="231" customWidth="1"/>
    <col min="7014" max="7014" width="10.7109375" style="231"/>
    <col min="7015" max="7015" width="10.7109375" style="231" customWidth="1"/>
    <col min="7016" max="7018" width="10.7109375" style="231"/>
    <col min="7019" max="7020" width="10.7109375" style="231" customWidth="1"/>
    <col min="7021" max="7021" width="10.7109375" style="231"/>
    <col min="7022" max="7023" width="10.7109375" style="231" customWidth="1"/>
    <col min="7024" max="7026" width="10.7109375" style="231"/>
    <col min="7027" max="7032" width="10.7109375" style="231" customWidth="1"/>
    <col min="7033" max="7036" width="10.7109375" style="231"/>
    <col min="7037" max="7038" width="10.7109375" style="231" customWidth="1"/>
    <col min="7039" max="7039" width="10.7109375" style="231"/>
    <col min="7040" max="7040" width="10.7109375" style="231" customWidth="1"/>
    <col min="7041" max="7041" width="10.7109375" style="231"/>
    <col min="7042" max="7043" width="10.7109375" style="231" customWidth="1"/>
    <col min="7044" max="7045" width="10.7109375" style="231"/>
    <col min="7046" max="7047" width="10.7109375" style="231" customWidth="1"/>
    <col min="7048" max="7049" width="10.7109375" style="231"/>
    <col min="7050" max="7050" width="10.7109375" style="231" customWidth="1"/>
    <col min="7051" max="7052" width="10.7109375" style="231"/>
    <col min="7053" max="7065" width="10.7109375" style="231" customWidth="1"/>
    <col min="7066" max="7068" width="10.7109375" style="231"/>
    <col min="7069" max="7070" width="10.7109375" style="231" customWidth="1"/>
    <col min="7071" max="7071" width="10.7109375" style="231"/>
    <col min="7072" max="7072" width="10.7109375" style="231" customWidth="1"/>
    <col min="7073" max="7073" width="10.7109375" style="231"/>
    <col min="7074" max="7075" width="10.7109375" style="231" customWidth="1"/>
    <col min="7076" max="7077" width="10.7109375" style="231"/>
    <col min="7078" max="7079" width="10.7109375" style="231" customWidth="1"/>
    <col min="7080" max="7081" width="10.7109375" style="231"/>
    <col min="7082" max="7082" width="10.7109375" style="231" customWidth="1"/>
    <col min="7083" max="7084" width="10.7109375" style="231"/>
    <col min="7085" max="7096" width="10.7109375" style="231" customWidth="1"/>
    <col min="7097" max="7100" width="10.7109375" style="231"/>
    <col min="7101" max="7102" width="10.7109375" style="231" customWidth="1"/>
    <col min="7103" max="7103" width="10.7109375" style="231"/>
    <col min="7104" max="7104" width="10.7109375" style="231" customWidth="1"/>
    <col min="7105" max="7105" width="10.7109375" style="231"/>
    <col min="7106" max="7107" width="10.7109375" style="231" customWidth="1"/>
    <col min="7108" max="7109" width="10.7109375" style="231"/>
    <col min="7110" max="7111" width="10.7109375" style="231" customWidth="1"/>
    <col min="7112" max="7113" width="10.7109375" style="231"/>
    <col min="7114" max="7114" width="10.7109375" style="231" customWidth="1"/>
    <col min="7115" max="7116" width="10.7109375" style="231"/>
    <col min="7117" max="7128" width="10.7109375" style="231" customWidth="1"/>
    <col min="7129" max="7132" width="10.7109375" style="231"/>
    <col min="7133" max="7134" width="10.7109375" style="231" customWidth="1"/>
    <col min="7135" max="7135" width="10.7109375" style="231"/>
    <col min="7136" max="7136" width="10.7109375" style="231" customWidth="1"/>
    <col min="7137" max="7137" width="10.7109375" style="231"/>
    <col min="7138" max="7139" width="10.7109375" style="231" customWidth="1"/>
    <col min="7140" max="7141" width="10.7109375" style="231"/>
    <col min="7142" max="7143" width="10.7109375" style="231" customWidth="1"/>
    <col min="7144" max="7145" width="10.7109375" style="231"/>
    <col min="7146" max="7146" width="10.7109375" style="231" customWidth="1"/>
    <col min="7147" max="7148" width="10.7109375" style="231"/>
    <col min="7149" max="7159" width="10.7109375" style="231" customWidth="1"/>
    <col min="7160" max="7160" width="10.7109375" style="231"/>
    <col min="7161" max="7164" width="10.7109375" style="231" customWidth="1"/>
    <col min="7165" max="7166" width="10.7109375" style="231"/>
    <col min="7167" max="7167" width="10.7109375" style="231" customWidth="1"/>
    <col min="7168" max="7170" width="10.7109375" style="231"/>
    <col min="7171" max="7171" width="10.7109375" style="231" customWidth="1"/>
    <col min="7172" max="7174" width="10.7109375" style="231"/>
    <col min="7175" max="7178" width="10.7109375" style="231" customWidth="1"/>
    <col min="7179" max="7179" width="10.7109375" style="231"/>
    <col min="7180" max="7192" width="10.7109375" style="231" customWidth="1"/>
    <col min="7193" max="7194" width="10.7109375" style="231"/>
    <col min="7195" max="7198" width="10.7109375" style="231" customWidth="1"/>
    <col min="7199" max="7201" width="10.7109375" style="231"/>
    <col min="7202" max="7202" width="10.7109375" style="231" customWidth="1"/>
    <col min="7203" max="7204" width="10.7109375" style="231"/>
    <col min="7205" max="7205" width="10.7109375" style="231" customWidth="1"/>
    <col min="7206" max="7208" width="10.7109375" style="231"/>
    <col min="7209" max="7209" width="10.7109375" style="231" customWidth="1"/>
    <col min="7210" max="7211" width="10.7109375" style="231"/>
    <col min="7212" max="7226" width="10.7109375" style="231" customWidth="1"/>
    <col min="7227" max="7227" width="10.7109375" style="231"/>
    <col min="7228" max="7230" width="10.7109375" style="231" customWidth="1"/>
    <col min="7231" max="7233" width="10.7109375" style="231"/>
    <col min="7234" max="7234" width="10.7109375" style="231" customWidth="1"/>
    <col min="7235" max="7236" width="10.7109375" style="231"/>
    <col min="7237" max="7237" width="10.7109375" style="231" customWidth="1"/>
    <col min="7238" max="7240" width="10.7109375" style="231"/>
    <col min="7241" max="7241" width="10.7109375" style="231" customWidth="1"/>
    <col min="7242" max="7243" width="10.7109375" style="231"/>
    <col min="7244" max="7257" width="10.7109375" style="231" customWidth="1"/>
    <col min="7258" max="7258" width="10.7109375" style="231"/>
    <col min="7259" max="7260" width="10.7109375" style="231" customWidth="1"/>
    <col min="7261" max="7264" width="10.7109375" style="231"/>
    <col min="7265" max="7266" width="10.7109375" style="231" customWidth="1"/>
    <col min="7267" max="7267" width="10.7109375" style="231"/>
    <col min="7268" max="7268" width="10.7109375" style="231" customWidth="1"/>
    <col min="7269" max="7269" width="10.7109375" style="231"/>
    <col min="7270" max="7275" width="10.7109375" style="231" customWidth="1"/>
    <col min="7276" max="7276" width="10.7109375" style="231"/>
    <col min="7277" max="7283" width="10.7109375" style="231" customWidth="1"/>
    <col min="7284" max="7284" width="10.7109375" style="231"/>
    <col min="7285" max="7298" width="10.7109375" style="231" customWidth="1"/>
    <col min="7299" max="7301" width="10.7109375" style="231"/>
    <col min="7302" max="7306" width="10.7109375" style="231" customWidth="1"/>
    <col min="7307" max="7307" width="10.7109375" style="231"/>
    <col min="7308" max="7320" width="10.7109375" style="231" customWidth="1"/>
    <col min="7321" max="7321" width="10.7109375" style="231"/>
    <col min="7322" max="7322" width="10.7109375" style="231" customWidth="1"/>
    <col min="7323" max="7323" width="10.7109375" style="231"/>
    <col min="7324" max="7328" width="10.7109375" style="231" customWidth="1"/>
    <col min="7329" max="7329" width="10.7109375" style="231"/>
    <col min="7330" max="7330" width="10.7109375" style="231" customWidth="1"/>
    <col min="7331" max="7333" width="10.7109375" style="231"/>
    <col min="7334" max="7338" width="10.7109375" style="231" customWidth="1"/>
    <col min="7339" max="7339" width="10.7109375" style="231"/>
    <col min="7340" max="7347" width="10.7109375" style="231" customWidth="1"/>
    <col min="7348" max="7349" width="10.7109375" style="231"/>
    <col min="7350" max="7351" width="10.7109375" style="231" customWidth="1"/>
    <col min="7352" max="7352" width="10.7109375" style="231"/>
    <col min="7353" max="7353" width="10.7109375" style="231" customWidth="1"/>
    <col min="7354" max="7354" width="10.7109375" style="231"/>
    <col min="7355" max="7355" width="10.7109375" style="231" customWidth="1"/>
    <col min="7356" max="7356" width="10.7109375" style="231"/>
    <col min="7357" max="7357" width="10.7109375" style="231" customWidth="1"/>
    <col min="7358" max="7358" width="10.7109375" style="231"/>
    <col min="7359" max="7359" width="10.7109375" style="231" customWidth="1"/>
    <col min="7360" max="7374" width="10.7109375" style="231"/>
    <col min="7375" max="7375" width="10.7109375" style="231" customWidth="1"/>
    <col min="7376" max="7377" width="10.7109375" style="231"/>
    <col min="7378" max="7378" width="10.7109375" style="231" customWidth="1"/>
    <col min="7379" max="7379" width="10.7109375" style="231"/>
    <col min="7380" max="7380" width="10.7109375" style="231" customWidth="1"/>
    <col min="7381" max="7381" width="10.7109375" style="231"/>
    <col min="7382" max="7382" width="10.7109375" style="231" customWidth="1"/>
    <col min="7383" max="7385" width="10.7109375" style="231"/>
    <col min="7386" max="7386" width="10.7109375" style="231" customWidth="1"/>
    <col min="7387" max="7387" width="10.7109375" style="231"/>
    <col min="7388" max="7388" width="10.7109375" style="231" customWidth="1"/>
    <col min="7389" max="7389" width="10.7109375" style="231"/>
    <col min="7390" max="7390" width="10.7109375" style="231" customWidth="1"/>
    <col min="7391" max="7391" width="10.7109375" style="231"/>
    <col min="7392" max="7392" width="10.7109375" style="231" customWidth="1"/>
    <col min="7393" max="7395" width="10.7109375" style="231"/>
    <col min="7396" max="7397" width="10.7109375" style="231" customWidth="1"/>
    <col min="7398" max="7398" width="10.7109375" style="231"/>
    <col min="7399" max="7401" width="10.7109375" style="231" customWidth="1"/>
    <col min="7402" max="7402" width="10.7109375" style="231"/>
    <col min="7403" max="7403" width="10.7109375" style="231" customWidth="1"/>
    <col min="7404" max="7405" width="10.7109375" style="231"/>
    <col min="7406" max="7407" width="10.7109375" style="231" customWidth="1"/>
    <col min="7408" max="7409" width="10.7109375" style="231"/>
    <col min="7410" max="7452" width="10.7109375" style="231" customWidth="1"/>
    <col min="7453" max="7453" width="10.7109375" style="231"/>
    <col min="7454" max="7454" width="10.7109375" style="231" customWidth="1"/>
    <col min="7455" max="7456" width="10.7109375" style="231"/>
    <col min="7457" max="7458" width="10.7109375" style="231" customWidth="1"/>
    <col min="7459" max="7461" width="10.7109375" style="231"/>
    <col min="7462" max="7466" width="10.7109375" style="231" customWidth="1"/>
    <col min="7467" max="7467" width="10.7109375" style="231"/>
    <col min="7468" max="7480" width="10.7109375" style="231" customWidth="1"/>
    <col min="7481" max="7481" width="10.7109375" style="231"/>
    <col min="7482" max="7482" width="10.7109375" style="231" customWidth="1"/>
    <col min="7483" max="7483" width="10.7109375" style="231"/>
    <col min="7484" max="7488" width="10.7109375" style="231" customWidth="1"/>
    <col min="7489" max="7489" width="10.7109375" style="231"/>
    <col min="7490" max="7490" width="10.7109375" style="231" customWidth="1"/>
    <col min="7491" max="7493" width="10.7109375" style="231"/>
    <col min="7494" max="7498" width="10.7109375" style="231" customWidth="1"/>
    <col min="7499" max="7499" width="10.7109375" style="231"/>
    <col min="7500" max="7508" width="10.7109375" style="231" customWidth="1"/>
    <col min="7509" max="7510" width="10.7109375" style="231"/>
    <col min="7511" max="7514" width="10.7109375" style="231" customWidth="1"/>
    <col min="7515" max="7516" width="10.7109375" style="231"/>
    <col min="7517" max="7517" width="10.7109375" style="231" customWidth="1"/>
    <col min="7518" max="7519" width="10.7109375" style="231"/>
    <col min="7520" max="7521" width="10.7109375" style="231" customWidth="1"/>
    <col min="7522" max="7522" width="10.7109375" style="231"/>
    <col min="7523" max="7524" width="10.7109375" style="231" customWidth="1"/>
    <col min="7525" max="7525" width="10.7109375" style="231"/>
    <col min="7526" max="7529" width="10.7109375" style="231" customWidth="1"/>
    <col min="7530" max="7530" width="10.7109375" style="231"/>
    <col min="7531" max="7532" width="10.7109375" style="231" customWidth="1"/>
    <col min="7533" max="7533" width="10.7109375" style="231"/>
    <col min="7534" max="7544" width="10.7109375" style="231" customWidth="1"/>
    <col min="7545" max="7545" width="10.7109375" style="231"/>
    <col min="7546" max="7546" width="10.7109375" style="231" customWidth="1"/>
    <col min="7547" max="7547" width="10.7109375" style="231"/>
    <col min="7548" max="7552" width="10.7109375" style="231" customWidth="1"/>
    <col min="7553" max="7553" width="10.7109375" style="231"/>
    <col min="7554" max="7554" width="10.7109375" style="231" customWidth="1"/>
    <col min="7555" max="7557" width="10.7109375" style="231"/>
    <col min="7558" max="7562" width="10.7109375" style="231" customWidth="1"/>
    <col min="7563" max="7563" width="10.7109375" style="231"/>
    <col min="7564" max="7572" width="10.7109375" style="231" customWidth="1"/>
    <col min="7573" max="7573" width="10.7109375" style="231"/>
    <col min="7574" max="7605" width="10.7109375" style="231" customWidth="1"/>
    <col min="7606" max="7606" width="10.7109375" style="231"/>
    <col min="7607" max="7608" width="10.7109375" style="231" customWidth="1"/>
    <col min="7609" max="7611" width="10.7109375" style="231"/>
    <col min="7612" max="7612" width="10.7109375" style="231" customWidth="1"/>
    <col min="7613" max="7615" width="10.7109375" style="231"/>
    <col min="7616" max="7624" width="10.7109375" style="231" customWidth="1"/>
    <col min="7625" max="7625" width="10.7109375" style="231"/>
    <col min="7626" max="7626" width="10.7109375" style="231" customWidth="1"/>
    <col min="7627" max="7627" width="10.7109375" style="231"/>
    <col min="7628" max="7628" width="10.7109375" style="231" customWidth="1"/>
    <col min="7629" max="7629" width="10.7109375" style="231"/>
    <col min="7630" max="7636" width="10.7109375" style="231" customWidth="1"/>
    <col min="7637" max="7637" width="10.7109375" style="231"/>
    <col min="7638" max="7638" width="10.7109375" style="231" customWidth="1"/>
    <col min="7639" max="7640" width="10.7109375" style="231"/>
    <col min="7641" max="7641" width="10.7109375" style="231" customWidth="1"/>
    <col min="7642" max="7642" width="10.7109375" style="231"/>
    <col min="7643" max="7645" width="10.7109375" style="231" customWidth="1"/>
    <col min="7646" max="7648" width="10.7109375" style="231"/>
    <col min="7649" max="7649" width="10.7109375" style="231" customWidth="1"/>
    <col min="7650" max="7654" width="10.7109375" style="231"/>
    <col min="7655" max="7656" width="10.7109375" style="231" customWidth="1"/>
    <col min="7657" max="7657" width="10.7109375" style="231"/>
    <col min="7658" max="7660" width="10.7109375" style="231" customWidth="1"/>
    <col min="7661" max="7661" width="10.7109375" style="231"/>
    <col min="7662" max="7676" width="10.7109375" style="231" customWidth="1"/>
    <col min="7677" max="7677" width="10.7109375" style="231"/>
    <col min="7678" max="7678" width="10.7109375" style="231" customWidth="1"/>
    <col min="7679" max="7680" width="10.7109375" style="231"/>
    <col min="7681" max="7682" width="10.7109375" style="231" customWidth="1"/>
    <col min="7683" max="7685" width="10.7109375" style="231"/>
    <col min="7686" max="7690" width="10.7109375" style="231" customWidth="1"/>
    <col min="7691" max="7691" width="10.7109375" style="231"/>
    <col min="7692" max="7696" width="10.7109375" style="231" customWidth="1"/>
    <col min="7697" max="7699" width="10.7109375" style="231"/>
    <col min="7700" max="7728" width="10.7109375" style="231" customWidth="1"/>
    <col min="7729" max="7731" width="10.7109375" style="231"/>
    <col min="7732" max="7772" width="10.7109375" style="231" customWidth="1"/>
    <col min="7773" max="7773" width="10.7109375" style="231"/>
    <col min="7774" max="7774" width="10.7109375" style="231" customWidth="1"/>
    <col min="7775" max="7776" width="10.7109375" style="231"/>
    <col min="7777" max="7778" width="10.7109375" style="231" customWidth="1"/>
    <col min="7779" max="7781" width="10.7109375" style="231"/>
    <col min="7782" max="7786" width="10.7109375" style="231" customWidth="1"/>
    <col min="7787" max="7787" width="10.7109375" style="231"/>
    <col min="7788" max="7832" width="10.7109375" style="231" customWidth="1"/>
    <col min="7833" max="7833" width="10.7109375" style="231"/>
    <col min="7834" max="7834" width="10.7109375" style="231" customWidth="1"/>
    <col min="7835" max="7835" width="10.7109375" style="231"/>
    <col min="7836" max="7840" width="10.7109375" style="231" customWidth="1"/>
    <col min="7841" max="7841" width="10.7109375" style="231"/>
    <col min="7842" max="7842" width="10.7109375" style="231" customWidth="1"/>
    <col min="7843" max="7845" width="10.7109375" style="231"/>
    <col min="7846" max="7850" width="10.7109375" style="231" customWidth="1"/>
    <col min="7851" max="7851" width="10.7109375" style="231"/>
    <col min="7852" max="7859" width="10.7109375" style="231" customWidth="1"/>
    <col min="7860" max="7860" width="10.7109375" style="231"/>
    <col min="7861" max="7861" width="10.7109375" style="231" customWidth="1"/>
    <col min="7862" max="7862" width="10.7109375" style="231"/>
    <col min="7863" max="7864" width="10.7109375" style="231" customWidth="1"/>
    <col min="7865" max="7866" width="10.7109375" style="231"/>
    <col min="7867" max="7867" width="10.7109375" style="231" customWidth="1"/>
    <col min="7868" max="7868" width="10.7109375" style="231"/>
    <col min="7869" max="7869" width="10.7109375" style="231" customWidth="1"/>
    <col min="7870" max="7870" width="10.7109375" style="231"/>
    <col min="7871" max="7871" width="10.7109375" style="231" customWidth="1"/>
    <col min="7872" max="7886" width="10.7109375" style="231"/>
    <col min="7887" max="7887" width="10.7109375" style="231" customWidth="1"/>
    <col min="7888" max="7890" width="10.7109375" style="231"/>
    <col min="7891" max="7891" width="10.7109375" style="231" customWidth="1"/>
    <col min="7892" max="7892" width="10.7109375" style="231"/>
    <col min="7893" max="7894" width="10.7109375" style="231" customWidth="1"/>
    <col min="7895" max="7899" width="10.7109375" style="231"/>
    <col min="7900" max="7902" width="10.7109375" style="231" customWidth="1"/>
    <col min="7903" max="7903" width="10.7109375" style="231"/>
    <col min="7904" max="7904" width="10.7109375" style="231" customWidth="1"/>
    <col min="7905" max="7907" width="10.7109375" style="231"/>
    <col min="7908" max="7909" width="10.7109375" style="231" customWidth="1"/>
    <col min="7910" max="7910" width="10.7109375" style="231"/>
    <col min="7911" max="7913" width="10.7109375" style="231" customWidth="1"/>
    <col min="7914" max="7914" width="10.7109375" style="231"/>
    <col min="7915" max="7915" width="10.7109375" style="231" customWidth="1"/>
    <col min="7916" max="7917" width="10.7109375" style="231"/>
    <col min="7918" max="7919" width="10.7109375" style="231" customWidth="1"/>
    <col min="7920" max="7920" width="10.7109375" style="231"/>
    <col min="7921" max="7928" width="10.7109375" style="231" customWidth="1"/>
    <col min="7929" max="7929" width="10.7109375" style="231"/>
    <col min="7930" max="7930" width="10.7109375" style="231" customWidth="1"/>
    <col min="7931" max="7931" width="10.7109375" style="231"/>
    <col min="7932" max="7936" width="10.7109375" style="231" customWidth="1"/>
    <col min="7937" max="7937" width="10.7109375" style="231"/>
    <col min="7938" max="7938" width="10.7109375" style="231" customWidth="1"/>
    <col min="7939" max="7941" width="10.7109375" style="231"/>
    <col min="7942" max="7946" width="10.7109375" style="231" customWidth="1"/>
    <col min="7947" max="7947" width="10.7109375" style="231"/>
    <col min="7948" max="7952" width="10.7109375" style="231" customWidth="1"/>
    <col min="7953" max="7955" width="10.7109375" style="231"/>
    <col min="7956" max="7971" width="10.7109375" style="231" customWidth="1"/>
    <col min="7972" max="7973" width="10.7109375" style="231"/>
    <col min="7974" max="7974" width="10.7109375" style="231" customWidth="1"/>
    <col min="7975" max="7977" width="10.7109375" style="231"/>
    <col min="7978" max="7980" width="10.7109375" style="231" customWidth="1"/>
    <col min="7981" max="7981" width="10.7109375" style="231"/>
    <col min="7982" max="7984" width="10.7109375" style="231" customWidth="1"/>
    <col min="7985" max="7987" width="10.7109375" style="231"/>
    <col min="7988" max="8028" width="10.7109375" style="231" customWidth="1"/>
    <col min="8029" max="8029" width="10.7109375" style="231"/>
    <col min="8030" max="8030" width="10.7109375" style="231" customWidth="1"/>
    <col min="8031" max="8032" width="10.7109375" style="231"/>
    <col min="8033" max="8034" width="10.7109375" style="231" customWidth="1"/>
    <col min="8035" max="8037" width="10.7109375" style="231"/>
    <col min="8038" max="8042" width="10.7109375" style="231" customWidth="1"/>
    <col min="8043" max="8043" width="10.7109375" style="231"/>
    <col min="8044" max="8088" width="10.7109375" style="231" customWidth="1"/>
    <col min="8089" max="8089" width="10.7109375" style="231"/>
    <col min="8090" max="8090" width="10.7109375" style="231" customWidth="1"/>
    <col min="8091" max="8091" width="10.7109375" style="231"/>
    <col min="8092" max="8096" width="10.7109375" style="231" customWidth="1"/>
    <col min="8097" max="8097" width="10.7109375" style="231"/>
    <col min="8098" max="8098" width="10.7109375" style="231" customWidth="1"/>
    <col min="8099" max="8101" width="10.7109375" style="231"/>
    <col min="8102" max="8106" width="10.7109375" style="231" customWidth="1"/>
    <col min="8107" max="8107" width="10.7109375" style="231"/>
    <col min="8108" max="8115" width="10.7109375" style="231" customWidth="1"/>
    <col min="8116" max="8116" width="10.7109375" style="231"/>
    <col min="8117" max="8118" width="10.7109375" style="231" customWidth="1"/>
    <col min="8119" max="8119" width="10.7109375" style="231"/>
    <col min="8120" max="8120" width="10.7109375" style="231" customWidth="1"/>
    <col min="8121" max="8122" width="10.7109375" style="231"/>
    <col min="8123" max="8123" width="10.7109375" style="231" customWidth="1"/>
    <col min="8124" max="8124" width="10.7109375" style="231"/>
    <col min="8125" max="8125" width="10.7109375" style="231" customWidth="1"/>
    <col min="8126" max="8126" width="10.7109375" style="231"/>
    <col min="8127" max="8127" width="10.7109375" style="231" customWidth="1"/>
    <col min="8128" max="8142" width="10.7109375" style="231"/>
    <col min="8143" max="8143" width="10.7109375" style="231" customWidth="1"/>
    <col min="8144" max="8146" width="10.7109375" style="231"/>
    <col min="8147" max="8147" width="10.7109375" style="231" customWidth="1"/>
    <col min="8148" max="8148" width="10.7109375" style="231"/>
    <col min="8149" max="8150" width="10.7109375" style="231" customWidth="1"/>
    <col min="8151" max="8155" width="10.7109375" style="231"/>
    <col min="8156" max="8158" width="10.7109375" style="231" customWidth="1"/>
    <col min="8159" max="8159" width="10.7109375" style="231"/>
    <col min="8160" max="8160" width="10.7109375" style="231" customWidth="1"/>
    <col min="8161" max="8163" width="10.7109375" style="231"/>
    <col min="8164" max="8165" width="10.7109375" style="231" customWidth="1"/>
    <col min="8166" max="8166" width="10.7109375" style="231"/>
    <col min="8167" max="8169" width="10.7109375" style="231" customWidth="1"/>
    <col min="8170" max="8170" width="10.7109375" style="231"/>
    <col min="8171" max="8171" width="10.7109375" style="231" customWidth="1"/>
    <col min="8172" max="8173" width="10.7109375" style="231"/>
    <col min="8174" max="8175" width="10.7109375" style="231" customWidth="1"/>
    <col min="8176" max="8176" width="10.7109375" style="231"/>
    <col min="8177" max="8184" width="10.7109375" style="231" customWidth="1"/>
    <col min="8185" max="8185" width="10.7109375" style="231"/>
    <col min="8186" max="8186" width="10.7109375" style="231" customWidth="1"/>
    <col min="8187" max="8187" width="10.7109375" style="231"/>
    <col min="8188" max="8192" width="10.7109375" style="231" customWidth="1"/>
    <col min="8193" max="8193" width="10.7109375" style="231"/>
    <col min="8194" max="8194" width="10.7109375" style="231" customWidth="1"/>
    <col min="8195" max="8197" width="10.7109375" style="231"/>
    <col min="8198" max="8202" width="10.7109375" style="231" customWidth="1"/>
    <col min="8203" max="8203" width="10.7109375" style="231"/>
    <col min="8204" max="8212" width="10.7109375" style="231" customWidth="1"/>
    <col min="8213" max="8216" width="10.7109375" style="231"/>
    <col min="8217" max="8217" width="10.7109375" style="231" customWidth="1"/>
    <col min="8218" max="8218" width="10.7109375" style="231"/>
    <col min="8219" max="8219" width="10.7109375" style="231" customWidth="1"/>
    <col min="8220" max="8220" width="10.7109375" style="231"/>
    <col min="8221" max="8221" width="10.7109375" style="231" customWidth="1"/>
    <col min="8222" max="8222" width="10.7109375" style="231"/>
    <col min="8223" max="8223" width="10.7109375" style="231" customWidth="1"/>
    <col min="8224" max="8238" width="10.7109375" style="231"/>
    <col min="8239" max="8239" width="10.7109375" style="231" customWidth="1"/>
    <col min="8240" max="8240" width="10.7109375" style="231"/>
    <col min="8241" max="8275" width="10.7109375" style="231" customWidth="1"/>
    <col min="8276" max="8280" width="10.7109375" style="231"/>
    <col min="8281" max="8281" width="10.7109375" style="231" customWidth="1"/>
    <col min="8282" max="8282" width="10.7109375" style="231"/>
    <col min="8283" max="8283" width="10.7109375" style="231" customWidth="1"/>
    <col min="8284" max="8284" width="10.7109375" style="231"/>
    <col min="8285" max="8285" width="10.7109375" style="231" customWidth="1"/>
    <col min="8286" max="8286" width="10.7109375" style="231"/>
    <col min="8287" max="8287" width="10.7109375" style="231" customWidth="1"/>
    <col min="8288" max="8302" width="10.7109375" style="231"/>
    <col min="8303" max="8303" width="10.7109375" style="231" customWidth="1"/>
    <col min="8304" max="8304" width="10.7109375" style="231"/>
    <col min="8305" max="8306" width="10.7109375" style="231" customWidth="1"/>
    <col min="8307" max="8307" width="10.7109375" style="231"/>
    <col min="8308" max="8308" width="10.7109375" style="231" customWidth="1"/>
    <col min="8309" max="8312" width="10.7109375" style="231"/>
    <col min="8313" max="8313" width="10.7109375" style="231" customWidth="1"/>
    <col min="8314" max="8314" width="10.7109375" style="231"/>
    <col min="8315" max="8315" width="10.7109375" style="231" customWidth="1"/>
    <col min="8316" max="8316" width="10.7109375" style="231"/>
    <col min="8317" max="8317" width="10.7109375" style="231" customWidth="1"/>
    <col min="8318" max="8318" width="10.7109375" style="231"/>
    <col min="8319" max="8319" width="10.7109375" style="231" customWidth="1"/>
    <col min="8320" max="8334" width="10.7109375" style="231"/>
    <col min="8335" max="8335" width="10.7109375" style="231" customWidth="1"/>
    <col min="8336" max="8336" width="10.7109375" style="231"/>
    <col min="8337" max="8376" width="10.7109375" style="231" customWidth="1"/>
    <col min="8377" max="8377" width="10.7109375" style="231"/>
    <col min="8378" max="8378" width="10.7109375" style="231" customWidth="1"/>
    <col min="8379" max="8379" width="10.7109375" style="231"/>
    <col min="8380" max="8384" width="10.7109375" style="231" customWidth="1"/>
    <col min="8385" max="8385" width="10.7109375" style="231"/>
    <col min="8386" max="8386" width="10.7109375" style="231" customWidth="1"/>
    <col min="8387" max="8389" width="10.7109375" style="231"/>
    <col min="8390" max="8394" width="10.7109375" style="231" customWidth="1"/>
    <col min="8395" max="8395" width="10.7109375" style="231"/>
    <col min="8396" max="8435" width="10.7109375" style="231" customWidth="1"/>
    <col min="8436" max="8439" width="10.7109375" style="231"/>
    <col min="8440" max="8444" width="10.7109375" style="231" customWidth="1"/>
    <col min="8445" max="8446" width="10.7109375" style="231"/>
    <col min="8447" max="8447" width="10.7109375" style="231" customWidth="1"/>
    <col min="8448" max="8450" width="10.7109375" style="231"/>
    <col min="8451" max="8451" width="10.7109375" style="231" customWidth="1"/>
    <col min="8452" max="8454" width="10.7109375" style="231"/>
    <col min="8455" max="8458" width="10.7109375" style="231" customWidth="1"/>
    <col min="8459" max="8459" width="10.7109375" style="231"/>
    <col min="8460" max="8496" width="10.7109375" style="231" customWidth="1"/>
    <col min="8497" max="8497" width="10.7109375" style="231"/>
    <col min="8498" max="8499" width="10.7109375" style="231" customWidth="1"/>
    <col min="8500" max="8506" width="10.7109375" style="231"/>
    <col min="8507" max="8510" width="10.7109375" style="231" customWidth="1"/>
    <col min="8511" max="8511" width="10.7109375" style="231"/>
    <col min="8512" max="8512" width="10.7109375" style="231" customWidth="1"/>
    <col min="8513" max="8515" width="10.7109375" style="231"/>
    <col min="8516" max="8517" width="10.7109375" style="231" customWidth="1"/>
    <col min="8518" max="8518" width="10.7109375" style="231"/>
    <col min="8519" max="8521" width="10.7109375" style="231" customWidth="1"/>
    <col min="8522" max="8522" width="10.7109375" style="231"/>
    <col min="8523" max="8523" width="10.7109375" style="231" customWidth="1"/>
    <col min="8524" max="8525" width="10.7109375" style="231"/>
    <col min="8526" max="8527" width="10.7109375" style="231" customWidth="1"/>
    <col min="8528" max="8528" width="10.7109375" style="231"/>
    <col min="8529" max="8529" width="10.7109375" style="231" customWidth="1"/>
    <col min="8530" max="8530" width="10.7109375" style="231"/>
    <col min="8531" max="8538" width="10.7109375" style="231" customWidth="1"/>
    <col min="8539" max="8539" width="10.7109375" style="231"/>
    <col min="8540" max="8541" width="10.7109375" style="231" customWidth="1"/>
    <col min="8542" max="8543" width="10.7109375" style="231"/>
    <col min="8544" max="8544" width="10.7109375" style="231" customWidth="1"/>
    <col min="8545" max="8545" width="10.7109375" style="231"/>
    <col min="8546" max="8547" width="10.7109375" style="231" customWidth="1"/>
    <col min="8548" max="8550" width="10.7109375" style="231"/>
    <col min="8551" max="8554" width="10.7109375" style="231" customWidth="1"/>
    <col min="8555" max="8555" width="10.7109375" style="231"/>
    <col min="8556" max="8556" width="10.7109375" style="231" customWidth="1"/>
    <col min="8557" max="8557" width="10.7109375" style="231"/>
    <col min="8558" max="8559" width="10.7109375" style="231" customWidth="1"/>
    <col min="8560" max="8560" width="10.7109375" style="231"/>
    <col min="8561" max="8599" width="10.7109375" style="231" customWidth="1"/>
    <col min="8600" max="8600" width="10.7109375" style="231"/>
    <col min="8601" max="8632" width="10.7109375" style="231" customWidth="1"/>
    <col min="8633" max="8633" width="10.7109375" style="231"/>
    <col min="8634" max="8634" width="10.7109375" style="231" customWidth="1"/>
    <col min="8635" max="8635" width="10.7109375" style="231"/>
    <col min="8636" max="8640" width="10.7109375" style="231" customWidth="1"/>
    <col min="8641" max="8641" width="10.7109375" style="231"/>
    <col min="8642" max="8642" width="10.7109375" style="231" customWidth="1"/>
    <col min="8643" max="8645" width="10.7109375" style="231"/>
    <col min="8646" max="8650" width="10.7109375" style="231" customWidth="1"/>
    <col min="8651" max="8651" width="10.7109375" style="231"/>
    <col min="8652" max="8668" width="10.7109375" style="231" customWidth="1"/>
    <col min="8669" max="8669" width="10.7109375" style="231"/>
    <col min="8670" max="8670" width="10.7109375" style="231" customWidth="1"/>
    <col min="8671" max="8672" width="10.7109375" style="231"/>
    <col min="8673" max="8674" width="10.7109375" style="231" customWidth="1"/>
    <col min="8675" max="8677" width="10.7109375" style="231"/>
    <col min="8678" max="8682" width="10.7109375" style="231" customWidth="1"/>
    <col min="8683" max="8683" width="10.7109375" style="231"/>
    <col min="8684" max="8692" width="10.7109375" style="231" customWidth="1"/>
    <col min="8693" max="8693" width="10.7109375" style="231"/>
    <col min="8694" max="8694" width="10.7109375" style="231" customWidth="1"/>
    <col min="8695" max="8695" width="10.7109375" style="231"/>
    <col min="8696" max="8696" width="10.7109375" style="231" customWidth="1"/>
    <col min="8697" max="8697" width="10.7109375" style="231"/>
    <col min="8698" max="8700" width="10.7109375" style="231" customWidth="1"/>
    <col min="8701" max="8702" width="10.7109375" style="231"/>
    <col min="8703" max="8703" width="10.7109375" style="231" customWidth="1"/>
    <col min="8704" max="8718" width="10.7109375" style="231"/>
    <col min="8719" max="8719" width="10.7109375" style="231" customWidth="1"/>
    <col min="8720" max="8720" width="10.7109375" style="231"/>
    <col min="8721" max="8723" width="10.7109375" style="231" customWidth="1"/>
    <col min="8724" max="8724" width="10.7109375" style="231"/>
    <col min="8725" max="8760" width="10.7109375" style="231" customWidth="1"/>
    <col min="8761" max="8761" width="10.7109375" style="231"/>
    <col min="8762" max="8762" width="10.7109375" style="231" customWidth="1"/>
    <col min="8763" max="8763" width="10.7109375" style="231"/>
    <col min="8764" max="8768" width="10.7109375" style="231" customWidth="1"/>
    <col min="8769" max="8769" width="10.7109375" style="231"/>
    <col min="8770" max="8770" width="10.7109375" style="231" customWidth="1"/>
    <col min="8771" max="8773" width="10.7109375" style="231"/>
    <col min="8774" max="8778" width="10.7109375" style="231" customWidth="1"/>
    <col min="8779" max="8779" width="10.7109375" style="231"/>
    <col min="8780" max="8801" width="10.7109375" style="231" customWidth="1"/>
    <col min="8802" max="8803" width="10.7109375" style="231"/>
    <col min="8804" max="8804" width="10.7109375" style="231" customWidth="1"/>
    <col min="8805" max="8808" width="10.7109375" style="231"/>
    <col min="8809" max="8812" width="10.7109375" style="231" customWidth="1"/>
    <col min="8813" max="8813" width="10.7109375" style="231"/>
    <col min="8814" max="8815" width="10.7109375" style="231" customWidth="1"/>
    <col min="8816" max="8816" width="10.7109375" style="231"/>
    <col min="8817" max="8855" width="10.7109375" style="231" customWidth="1"/>
    <col min="8856" max="8856" width="10.7109375" style="231"/>
    <col min="8857" max="8888" width="10.7109375" style="231" customWidth="1"/>
    <col min="8889" max="8889" width="10.7109375" style="231"/>
    <col min="8890" max="8890" width="10.7109375" style="231" customWidth="1"/>
    <col min="8891" max="8891" width="10.7109375" style="231"/>
    <col min="8892" max="8896" width="10.7109375" style="231" customWidth="1"/>
    <col min="8897" max="8897" width="10.7109375" style="231"/>
    <col min="8898" max="8898" width="10.7109375" style="231" customWidth="1"/>
    <col min="8899" max="8901" width="10.7109375" style="231"/>
    <col min="8902" max="8906" width="10.7109375" style="231" customWidth="1"/>
    <col min="8907" max="8907" width="10.7109375" style="231"/>
    <col min="8908" max="8924" width="10.7109375" style="231" customWidth="1"/>
    <col min="8925" max="8925" width="10.7109375" style="231"/>
    <col min="8926" max="8926" width="10.7109375" style="231" customWidth="1"/>
    <col min="8927" max="8928" width="10.7109375" style="231"/>
    <col min="8929" max="8930" width="10.7109375" style="231" customWidth="1"/>
    <col min="8931" max="8933" width="10.7109375" style="231"/>
    <col min="8934" max="8938" width="10.7109375" style="231" customWidth="1"/>
    <col min="8939" max="8939" width="10.7109375" style="231"/>
    <col min="8940" max="8944" width="10.7109375" style="231" customWidth="1"/>
    <col min="8945" max="8948" width="10.7109375" style="231"/>
    <col min="8949" max="8950" width="10.7109375" style="231" customWidth="1"/>
    <col min="8951" max="8951" width="10.7109375" style="231"/>
    <col min="8952" max="8952" width="10.7109375" style="231" customWidth="1"/>
    <col min="8953" max="8954" width="10.7109375" style="231"/>
    <col min="8955" max="8958" width="10.7109375" style="231" customWidth="1"/>
    <col min="8959" max="8959" width="10.7109375" style="231"/>
    <col min="8960" max="8960" width="10.7109375" style="231" customWidth="1"/>
    <col min="8961" max="8963" width="10.7109375" style="231"/>
    <col min="8964" max="8965" width="10.7109375" style="231" customWidth="1"/>
    <col min="8966" max="8966" width="10.7109375" style="231"/>
    <col min="8967" max="8969" width="10.7109375" style="231" customWidth="1"/>
    <col min="8970" max="8970" width="10.7109375" style="231"/>
    <col min="8971" max="8971" width="10.7109375" style="231" customWidth="1"/>
    <col min="8972" max="8973" width="10.7109375" style="231"/>
    <col min="8974" max="8975" width="10.7109375" style="231" customWidth="1"/>
    <col min="8976" max="8976" width="10.7109375" style="231"/>
    <col min="8977" max="8983" width="10.7109375" style="231" customWidth="1"/>
    <col min="8984" max="8984" width="10.7109375" style="231"/>
    <col min="8985" max="9011" width="10.7109375" style="231" customWidth="1"/>
    <col min="9012" max="9014" width="10.7109375" style="231"/>
    <col min="9015" max="9016" width="10.7109375" style="231" customWidth="1"/>
    <col min="9017" max="9018" width="10.7109375" style="231"/>
    <col min="9019" max="9019" width="10.7109375" style="231" customWidth="1"/>
    <col min="9020" max="9020" width="10.7109375" style="231"/>
    <col min="9021" max="9021" width="10.7109375" style="231" customWidth="1"/>
    <col min="9022" max="9022" width="10.7109375" style="231"/>
    <col min="9023" max="9023" width="10.7109375" style="231" customWidth="1"/>
    <col min="9024" max="9038" width="10.7109375" style="231"/>
    <col min="9039" max="9039" width="10.7109375" style="231" customWidth="1"/>
    <col min="9040" max="9041" width="10.7109375" style="231"/>
    <col min="9042" max="9045" width="10.7109375" style="231" customWidth="1"/>
    <col min="9046" max="9050" width="10.7109375" style="231"/>
    <col min="9051" max="9054" width="10.7109375" style="231" customWidth="1"/>
    <col min="9055" max="9055" width="10.7109375" style="231"/>
    <col min="9056" max="9056" width="10.7109375" style="231" customWidth="1"/>
    <col min="9057" max="9059" width="10.7109375" style="231"/>
    <col min="9060" max="9061" width="10.7109375" style="231" customWidth="1"/>
    <col min="9062" max="9062" width="10.7109375" style="231"/>
    <col min="9063" max="9065" width="10.7109375" style="231" customWidth="1"/>
    <col min="9066" max="9066" width="10.7109375" style="231"/>
    <col min="9067" max="9067" width="10.7109375" style="231" customWidth="1"/>
    <col min="9068" max="9069" width="10.7109375" style="231"/>
    <col min="9070" max="9071" width="10.7109375" style="231" customWidth="1"/>
    <col min="9072" max="9072" width="10.7109375" style="231"/>
    <col min="9073" max="9104" width="10.7109375" style="231" customWidth="1"/>
    <col min="9105" max="9105" width="10.7109375" style="231"/>
    <col min="9106" max="9106" width="10.7109375" style="231" customWidth="1"/>
    <col min="9107" max="9136" width="10.7109375" style="231"/>
    <col min="9137" max="9139" width="10.7109375" style="231" customWidth="1"/>
    <col min="9140" max="9140" width="10.7109375" style="231"/>
    <col min="9141" max="9141" width="10.7109375" style="231" customWidth="1"/>
    <col min="9142" max="9143" width="10.7109375" style="231"/>
    <col min="9144" max="9144" width="10.7109375" style="231" customWidth="1"/>
    <col min="9145" max="9146" width="10.7109375" style="231"/>
    <col min="9147" max="9147" width="10.7109375" style="231" customWidth="1"/>
    <col min="9148" max="9148" width="10.7109375" style="231"/>
    <col min="9149" max="9149" width="10.7109375" style="231" customWidth="1"/>
    <col min="9150" max="9150" width="10.7109375" style="231"/>
    <col min="9151" max="9151" width="10.7109375" style="231" customWidth="1"/>
    <col min="9152" max="9166" width="10.7109375" style="231"/>
    <col min="9167" max="9167" width="10.7109375" style="231" customWidth="1"/>
    <col min="9168" max="9168" width="10.7109375" style="231"/>
    <col min="9169" max="9170" width="10.7109375" style="231" customWidth="1"/>
    <col min="9171" max="9172" width="10.7109375" style="231"/>
    <col min="9173" max="9175" width="10.7109375" style="231" customWidth="1"/>
    <col min="9176" max="9178" width="10.7109375" style="231"/>
    <col min="9179" max="9182" width="10.7109375" style="231" customWidth="1"/>
    <col min="9183" max="9183" width="10.7109375" style="231"/>
    <col min="9184" max="9184" width="10.7109375" style="231" customWidth="1"/>
    <col min="9185" max="9187" width="10.7109375" style="231"/>
    <col min="9188" max="9189" width="10.7109375" style="231" customWidth="1"/>
    <col min="9190" max="9190" width="10.7109375" style="231"/>
    <col min="9191" max="9193" width="10.7109375" style="231" customWidth="1"/>
    <col min="9194" max="9194" width="10.7109375" style="231"/>
    <col min="9195" max="9195" width="10.7109375" style="231" customWidth="1"/>
    <col min="9196" max="9197" width="10.7109375" style="231"/>
    <col min="9198" max="9199" width="10.7109375" style="231" customWidth="1"/>
    <col min="9200" max="9200" width="10.7109375" style="231"/>
    <col min="9201" max="9212" width="10.7109375" style="231" customWidth="1"/>
    <col min="9213" max="9213" width="10.7109375" style="231"/>
    <col min="9214" max="9214" width="10.7109375" style="231" customWidth="1"/>
    <col min="9215" max="9216" width="10.7109375" style="231"/>
    <col min="9217" max="9218" width="10.7109375" style="231" customWidth="1"/>
    <col min="9219" max="9221" width="10.7109375" style="231"/>
    <col min="9222" max="9226" width="10.7109375" style="231" customWidth="1"/>
    <col min="9227" max="9227" width="10.7109375" style="231"/>
    <col min="9228" max="9239" width="10.7109375" style="231" customWidth="1"/>
    <col min="9240" max="9240" width="10.7109375" style="231"/>
    <col min="9241" max="9265" width="10.7109375" style="231" customWidth="1"/>
    <col min="9266" max="9269" width="10.7109375" style="231"/>
    <col min="9270" max="9271" width="10.7109375" style="231" customWidth="1"/>
    <col min="9272" max="9273" width="10.7109375" style="231"/>
    <col min="9274" max="9274" width="10.7109375" style="231" customWidth="1"/>
    <col min="9275" max="9277" width="10.7109375" style="231"/>
    <col min="9278" max="9279" width="10.7109375" style="231" customWidth="1"/>
    <col min="9280" max="9280" width="10.7109375" style="231"/>
    <col min="9281" max="9281" width="10.7109375" style="231" customWidth="1"/>
    <col min="9282" max="9282" width="10.7109375" style="231"/>
    <col min="9283" max="9283" width="10.7109375" style="231" customWidth="1"/>
    <col min="9284" max="9288" width="10.7109375" style="231"/>
    <col min="9289" max="9292" width="10.7109375" style="231" customWidth="1"/>
    <col min="9293" max="9293" width="10.7109375" style="231"/>
    <col min="9294" max="9295" width="10.7109375" style="231" customWidth="1"/>
    <col min="9296" max="9297" width="10.7109375" style="231"/>
    <col min="9298" max="9301" width="10.7109375" style="231" customWidth="1"/>
    <col min="9302" max="9306" width="10.7109375" style="231"/>
    <col min="9307" max="9310" width="10.7109375" style="231" customWidth="1"/>
    <col min="9311" max="9311" width="10.7109375" style="231"/>
    <col min="9312" max="9312" width="10.7109375" style="231" customWidth="1"/>
    <col min="9313" max="9315" width="10.7109375" style="231"/>
    <col min="9316" max="9317" width="10.7109375" style="231" customWidth="1"/>
    <col min="9318" max="9318" width="10.7109375" style="231"/>
    <col min="9319" max="9321" width="10.7109375" style="231" customWidth="1"/>
    <col min="9322" max="9322" width="10.7109375" style="231"/>
    <col min="9323" max="9323" width="10.7109375" style="231" customWidth="1"/>
    <col min="9324" max="9325" width="10.7109375" style="231"/>
    <col min="9326" max="9327" width="10.7109375" style="231" customWidth="1"/>
    <col min="9328" max="9328" width="10.7109375" style="231"/>
    <col min="9329" max="9360" width="10.7109375" style="231" customWidth="1"/>
    <col min="9361" max="9361" width="10.7109375" style="231"/>
    <col min="9362" max="9362" width="10.7109375" style="231" customWidth="1"/>
    <col min="9363" max="9392" width="10.7109375" style="231"/>
    <col min="9393" max="9395" width="10.7109375" style="231" customWidth="1"/>
    <col min="9396" max="9396" width="10.7109375" style="231"/>
    <col min="9397" max="9399" width="10.7109375" style="231" customWidth="1"/>
    <col min="9400" max="9402" width="10.7109375" style="231"/>
    <col min="9403" max="9403" width="10.7109375" style="231" customWidth="1"/>
    <col min="9404" max="9404" width="10.7109375" style="231"/>
    <col min="9405" max="9405" width="10.7109375" style="231" customWidth="1"/>
    <col min="9406" max="9406" width="10.7109375" style="231"/>
    <col min="9407" max="9407" width="10.7109375" style="231" customWidth="1"/>
    <col min="9408" max="9422" width="10.7109375" style="231"/>
    <col min="9423" max="9423" width="10.7109375" style="231" customWidth="1"/>
    <col min="9424" max="9424" width="10.7109375" style="231"/>
    <col min="9425" max="9431" width="10.7109375" style="231" customWidth="1"/>
    <col min="9432" max="9432" width="10.7109375" style="231"/>
    <col min="9433" max="9457" width="10.7109375" style="231" customWidth="1"/>
    <col min="9458" max="9461" width="10.7109375" style="231"/>
    <col min="9462" max="9463" width="10.7109375" style="231" customWidth="1"/>
    <col min="9464" max="9464" width="10.7109375" style="231"/>
    <col min="9465" max="9465" width="10.7109375" style="231" customWidth="1"/>
    <col min="9466" max="9468" width="10.7109375" style="231"/>
    <col min="9469" max="9471" width="10.7109375" style="231" customWidth="1"/>
    <col min="9472" max="9472" width="10.7109375" style="231"/>
    <col min="9473" max="9478" width="10.7109375" style="231" customWidth="1"/>
    <col min="9479" max="9482" width="10.7109375" style="231"/>
    <col min="9483" max="9483" width="10.7109375" style="231" customWidth="1"/>
    <col min="9484" max="9485" width="10.7109375" style="231"/>
    <col min="9486" max="9487" width="10.7109375" style="231" customWidth="1"/>
    <col min="9488" max="9488" width="10.7109375" style="231"/>
    <col min="9489" max="9489" width="10.7109375" style="231" customWidth="1"/>
    <col min="9490" max="9490" width="10.7109375" style="231"/>
    <col min="9491" max="9523" width="10.7109375" style="231" customWidth="1"/>
    <col min="9524" max="9527" width="10.7109375" style="231"/>
    <col min="9528" max="9528" width="10.7109375" style="231" customWidth="1"/>
    <col min="9529" max="9530" width="10.7109375" style="231"/>
    <col min="9531" max="9531" width="10.7109375" style="231" customWidth="1"/>
    <col min="9532" max="9532" width="10.7109375" style="231"/>
    <col min="9533" max="9533" width="10.7109375" style="231" customWidth="1"/>
    <col min="9534" max="9534" width="10.7109375" style="231"/>
    <col min="9535" max="9535" width="10.7109375" style="231" customWidth="1"/>
    <col min="9536" max="9550" width="10.7109375" style="231"/>
    <col min="9551" max="9551" width="10.7109375" style="231" customWidth="1"/>
    <col min="9552" max="9552" width="10.7109375" style="231"/>
    <col min="9553" max="9555" width="10.7109375" style="231" customWidth="1"/>
    <col min="9556" max="9559" width="10.7109375" style="231"/>
    <col min="9560" max="9560" width="10.7109375" style="231" customWidth="1"/>
    <col min="9561" max="9564" width="10.7109375" style="231"/>
    <col min="9565" max="9567" width="10.7109375" style="231" customWidth="1"/>
    <col min="9568" max="9568" width="10.7109375" style="231"/>
    <col min="9569" max="9574" width="10.7109375" style="231" customWidth="1"/>
    <col min="9575" max="9578" width="10.7109375" style="231"/>
    <col min="9579" max="9579" width="10.7109375" style="231" customWidth="1"/>
    <col min="9580" max="9581" width="10.7109375" style="231"/>
    <col min="9582" max="9583" width="10.7109375" style="231" customWidth="1"/>
    <col min="9584" max="9584" width="10.7109375" style="231"/>
    <col min="9585" max="9596" width="10.7109375" style="231" customWidth="1"/>
    <col min="9597" max="9597" width="10.7109375" style="231"/>
    <col min="9598" max="9598" width="10.7109375" style="231" customWidth="1"/>
    <col min="9599" max="9600" width="10.7109375" style="231"/>
    <col min="9601" max="9602" width="10.7109375" style="231" customWidth="1"/>
    <col min="9603" max="9605" width="10.7109375" style="231"/>
    <col min="9606" max="9610" width="10.7109375" style="231" customWidth="1"/>
    <col min="9611" max="9611" width="10.7109375" style="231"/>
    <col min="9612" max="9623" width="10.7109375" style="231" customWidth="1"/>
    <col min="9624" max="9624" width="10.7109375" style="231"/>
    <col min="9625" max="9651" width="10.7109375" style="231" customWidth="1"/>
    <col min="9652" max="9652" width="10.7109375" style="231"/>
    <col min="9653" max="9653" width="10.7109375" style="231" customWidth="1"/>
    <col min="9654" max="9654" width="10.7109375" style="231"/>
    <col min="9655" max="9655" width="10.7109375" style="231" customWidth="1"/>
    <col min="9656" max="9658" width="10.7109375" style="231"/>
    <col min="9659" max="9659" width="10.7109375" style="231" customWidth="1"/>
    <col min="9660" max="9660" width="10.7109375" style="231"/>
    <col min="9661" max="9661" width="10.7109375" style="231" customWidth="1"/>
    <col min="9662" max="9662" width="10.7109375" style="231"/>
    <col min="9663" max="9663" width="10.7109375" style="231" customWidth="1"/>
    <col min="9664" max="9678" width="10.7109375" style="231"/>
    <col min="9679" max="9679" width="10.7109375" style="231" customWidth="1"/>
    <col min="9680" max="9680" width="10.7109375" style="231"/>
    <col min="9681" max="9681" width="10.7109375" style="231" customWidth="1"/>
    <col min="9682" max="9683" width="10.7109375" style="231"/>
    <col min="9684" max="9684" width="10.7109375" style="231" customWidth="1"/>
    <col min="9685" max="9685" width="10.7109375" style="231"/>
    <col min="9686" max="9688" width="10.7109375" style="231" customWidth="1"/>
    <col min="9689" max="9692" width="10.7109375" style="231"/>
    <col min="9693" max="9695" width="10.7109375" style="231" customWidth="1"/>
    <col min="9696" max="9696" width="10.7109375" style="231"/>
    <col min="9697" max="9702" width="10.7109375" style="231" customWidth="1"/>
    <col min="9703" max="9706" width="10.7109375" style="231"/>
    <col min="9707" max="9707" width="10.7109375" style="231" customWidth="1"/>
    <col min="9708" max="9709" width="10.7109375" style="231"/>
    <col min="9710" max="9711" width="10.7109375" style="231" customWidth="1"/>
    <col min="9712" max="9712" width="10.7109375" style="231"/>
    <col min="9713" max="9719" width="10.7109375" style="231" customWidth="1"/>
    <col min="9720" max="9720" width="10.7109375" style="231"/>
    <col min="9721" max="9788" width="10.7109375" style="231" customWidth="1"/>
    <col min="9789" max="9789" width="10.7109375" style="231"/>
    <col min="9790" max="9790" width="10.7109375" style="231" customWidth="1"/>
    <col min="9791" max="9792" width="10.7109375" style="231"/>
    <col min="9793" max="9794" width="10.7109375" style="231" customWidth="1"/>
    <col min="9795" max="9797" width="10.7109375" style="231"/>
    <col min="9798" max="9802" width="10.7109375" style="231" customWidth="1"/>
    <col min="9803" max="9803" width="10.7109375" style="231"/>
    <col min="9804" max="9808" width="10.7109375" style="231" customWidth="1"/>
    <col min="9809" max="9812" width="10.7109375" style="231"/>
    <col min="9813" max="9814" width="10.7109375" style="231" customWidth="1"/>
    <col min="9815" max="9815" width="10.7109375" style="231"/>
    <col min="9816" max="9819" width="10.7109375" style="231" customWidth="1"/>
    <col min="9820" max="9820" width="10.7109375" style="231"/>
    <col min="9821" max="9821" width="10.7109375" style="231" customWidth="1"/>
    <col min="9822" max="9822" width="10.7109375" style="231"/>
    <col min="9823" max="9823" width="10.7109375" style="231" customWidth="1"/>
    <col min="9824" max="9827" width="10.7109375" style="231"/>
    <col min="9828" max="9829" width="10.7109375" style="231" customWidth="1"/>
    <col min="9830" max="9830" width="10.7109375" style="231"/>
    <col min="9831" max="9833" width="10.7109375" style="231" customWidth="1"/>
    <col min="9834" max="9834" width="10.7109375" style="231"/>
    <col min="9835" max="9835" width="10.7109375" style="231" customWidth="1"/>
    <col min="9836" max="9837" width="10.7109375" style="231"/>
    <col min="9838" max="9839" width="10.7109375" style="231" customWidth="1"/>
    <col min="9840" max="9840" width="10.7109375" style="231"/>
    <col min="9841" max="9852" width="10.7109375" style="231" customWidth="1"/>
    <col min="9853" max="9853" width="10.7109375" style="231"/>
    <col min="9854" max="9854" width="10.7109375" style="231" customWidth="1"/>
    <col min="9855" max="9856" width="10.7109375" style="231"/>
    <col min="9857" max="9858" width="10.7109375" style="231" customWidth="1"/>
    <col min="9859" max="9861" width="10.7109375" style="231"/>
    <col min="9862" max="9866" width="10.7109375" style="231" customWidth="1"/>
    <col min="9867" max="9867" width="10.7109375" style="231"/>
    <col min="9868" max="9875" width="10.7109375" style="231" customWidth="1"/>
    <col min="9876" max="9879" width="10.7109375" style="231"/>
    <col min="9880" max="9906" width="10.7109375" style="231" customWidth="1"/>
    <col min="9907" max="9908" width="10.7109375" style="231"/>
    <col min="9909" max="9909" width="10.7109375" style="231" customWidth="1"/>
    <col min="9910" max="9912" width="10.7109375" style="231"/>
    <col min="9913" max="9914" width="10.7109375" style="231" customWidth="1"/>
    <col min="9915" max="9915" width="10.7109375" style="231"/>
    <col min="9916" max="9916" width="10.7109375" style="231" customWidth="1"/>
    <col min="9917" max="9918" width="10.7109375" style="231"/>
    <col min="9919" max="9919" width="10.7109375" style="231" customWidth="1"/>
    <col min="9920" max="9934" width="10.7109375" style="231"/>
    <col min="9935" max="9935" width="10.7109375" style="231" customWidth="1"/>
    <col min="9936" max="9936" width="10.7109375" style="231"/>
    <col min="9937" max="9943" width="10.7109375" style="231" customWidth="1"/>
    <col min="9944" max="9944" width="10.7109375" style="231"/>
    <col min="9945" max="9968" width="10.7109375" style="231" customWidth="1"/>
    <col min="9969" max="9970" width="10.7109375" style="231"/>
    <col min="9971" max="9972" width="10.7109375" style="231" customWidth="1"/>
    <col min="9973" max="9973" width="10.7109375" style="231"/>
    <col min="9974" max="9975" width="10.7109375" style="231" customWidth="1"/>
    <col min="9976" max="9976" width="10.7109375" style="231"/>
    <col min="9977" max="9977" width="10.7109375" style="231" customWidth="1"/>
    <col min="9978" max="9978" width="10.7109375" style="231"/>
    <col min="9979" max="9979" width="10.7109375" style="231" customWidth="1"/>
    <col min="9980" max="9983" width="10.7109375" style="231"/>
    <col min="9984" max="9984" width="10.7109375" style="231" customWidth="1"/>
    <col min="9985" max="9985" width="10.7109375" style="231"/>
    <col min="9986" max="9990" width="10.7109375" style="231" customWidth="1"/>
    <col min="9991" max="9994" width="10.7109375" style="231"/>
    <col min="9995" max="9995" width="10.7109375" style="231" customWidth="1"/>
    <col min="9996" max="9997" width="10.7109375" style="231"/>
    <col min="9998" max="9999" width="10.7109375" style="231" customWidth="1"/>
    <col min="10000" max="10000" width="10.7109375" style="231"/>
    <col min="10001" max="10007" width="10.7109375" style="231" customWidth="1"/>
    <col min="10008" max="10008" width="10.7109375" style="231"/>
    <col min="10009" max="10035" width="10.7109375" style="231" customWidth="1"/>
    <col min="10036" max="10036" width="10.7109375" style="231"/>
    <col min="10037" max="10038" width="10.7109375" style="231" customWidth="1"/>
    <col min="10039" max="10040" width="10.7109375" style="231"/>
    <col min="10041" max="10042" width="10.7109375" style="231" customWidth="1"/>
    <col min="10043" max="10044" width="10.7109375" style="231"/>
    <col min="10045" max="10045" width="10.7109375" style="231" customWidth="1"/>
    <col min="10046" max="10046" width="10.7109375" style="231"/>
    <col min="10047" max="10047" width="10.7109375" style="231" customWidth="1"/>
    <col min="10048" max="10062" width="10.7109375" style="231"/>
    <col min="10063" max="10063" width="10.7109375" style="231" customWidth="1"/>
    <col min="10064" max="10065" width="10.7109375" style="231"/>
    <col min="10066" max="10066" width="10.7109375" style="231" customWidth="1"/>
    <col min="10067" max="10067" width="10.7109375" style="231"/>
    <col min="10068" max="10068" width="10.7109375" style="231" customWidth="1"/>
    <col min="10069" max="10069" width="10.7109375" style="231"/>
    <col min="10070" max="10071" width="10.7109375" style="231" customWidth="1"/>
    <col min="10072" max="10079" width="10.7109375" style="231"/>
    <col min="10080" max="10080" width="10.7109375" style="231" customWidth="1"/>
    <col min="10081" max="10081" width="10.7109375" style="231"/>
    <col min="10082" max="10086" width="10.7109375" style="231" customWidth="1"/>
    <col min="10087" max="10090" width="10.7109375" style="231"/>
    <col min="10091" max="10091" width="10.7109375" style="231" customWidth="1"/>
    <col min="10092" max="10093" width="10.7109375" style="231"/>
    <col min="10094" max="10095" width="10.7109375" style="231" customWidth="1"/>
    <col min="10096" max="10096" width="10.7109375" style="231"/>
    <col min="10097" max="10102" width="10.7109375" style="231" customWidth="1"/>
    <col min="10103" max="10104" width="10.7109375" style="231"/>
    <col min="10105" max="10106" width="10.7109375" style="231" customWidth="1"/>
    <col min="10107" max="10109" width="10.7109375" style="231"/>
    <col min="10110" max="10110" width="10.7109375" style="231" customWidth="1"/>
    <col min="10111" max="10111" width="10.7109375" style="231"/>
    <col min="10112" max="10113" width="10.7109375" style="231" customWidth="1"/>
    <col min="10114" max="10115" width="10.7109375" style="231"/>
    <col min="10116" max="10116" width="10.7109375" style="231" customWidth="1"/>
    <col min="10117" max="10117" width="10.7109375" style="231"/>
    <col min="10118" max="10120" width="10.7109375" style="231" customWidth="1"/>
    <col min="10121" max="10121" width="10.7109375" style="231"/>
    <col min="10122" max="10125" width="10.7109375" style="231" customWidth="1"/>
    <col min="10126" max="10126" width="10.7109375" style="231"/>
    <col min="10127" max="10127" width="10.7109375" style="231" customWidth="1"/>
    <col min="10128" max="10128" width="10.7109375" style="231"/>
    <col min="10129" max="10135" width="10.7109375" style="231" customWidth="1"/>
    <col min="10136" max="10136" width="10.7109375" style="231"/>
    <col min="10137" max="10193" width="10.7109375" style="231" customWidth="1"/>
    <col min="10194" max="10198" width="10.7109375" style="231"/>
    <col min="10199" max="10199" width="10.7109375" style="231" customWidth="1"/>
    <col min="10200" max="10201" width="10.7109375" style="231"/>
    <col min="10202" max="10202" width="10.7109375" style="231" customWidth="1"/>
    <col min="10203" max="10205" width="10.7109375" style="231"/>
    <col min="10206" max="10207" width="10.7109375" style="231" customWidth="1"/>
    <col min="10208" max="10208" width="10.7109375" style="231"/>
    <col min="10209" max="10209" width="10.7109375" style="231" customWidth="1"/>
    <col min="10210" max="10210" width="10.7109375" style="231"/>
    <col min="10211" max="10211" width="10.7109375" style="231" customWidth="1"/>
    <col min="10212" max="10216" width="10.7109375" style="231"/>
    <col min="10217" max="10220" width="10.7109375" style="231" customWidth="1"/>
    <col min="10221" max="10221" width="10.7109375" style="231"/>
    <col min="10222" max="10223" width="10.7109375" style="231" customWidth="1"/>
    <col min="10224" max="10224" width="10.7109375" style="231"/>
    <col min="10225" max="10225" width="10.7109375" style="231" customWidth="1"/>
    <col min="10226" max="10229" width="10.7109375" style="231"/>
    <col min="10230" max="10231" width="10.7109375" style="231" customWidth="1"/>
    <col min="10232" max="10233" width="10.7109375" style="231"/>
    <col min="10234" max="10234" width="10.7109375" style="231" customWidth="1"/>
    <col min="10235" max="10237" width="10.7109375" style="231"/>
    <col min="10238" max="10239" width="10.7109375" style="231" customWidth="1"/>
    <col min="10240" max="10240" width="10.7109375" style="231"/>
    <col min="10241" max="10241" width="10.7109375" style="231" customWidth="1"/>
    <col min="10242" max="10242" width="10.7109375" style="231"/>
    <col min="10243" max="10243" width="10.7109375" style="231" customWidth="1"/>
    <col min="10244" max="10248" width="10.7109375" style="231"/>
    <col min="10249" max="10252" width="10.7109375" style="231" customWidth="1"/>
    <col min="10253" max="10253" width="10.7109375" style="231"/>
    <col min="10254" max="10255" width="10.7109375" style="231" customWidth="1"/>
    <col min="10256" max="10288" width="10.7109375" style="231"/>
    <col min="10289" max="10289" width="10.7109375" style="231" customWidth="1"/>
    <col min="10290" max="10292" width="10.7109375" style="231"/>
    <col min="10293" max="10294" width="10.7109375" style="231" customWidth="1"/>
    <col min="10295" max="10297" width="10.7109375" style="231"/>
    <col min="10298" max="10298" width="10.7109375" style="231" customWidth="1"/>
    <col min="10299" max="10301" width="10.7109375" style="231"/>
    <col min="10302" max="10303" width="10.7109375" style="231" customWidth="1"/>
    <col min="10304" max="10304" width="10.7109375" style="231"/>
    <col min="10305" max="10305" width="10.7109375" style="231" customWidth="1"/>
    <col min="10306" max="10306" width="10.7109375" style="231"/>
    <col min="10307" max="10307" width="10.7109375" style="231" customWidth="1"/>
    <col min="10308" max="10312" width="10.7109375" style="231"/>
    <col min="10313" max="10316" width="10.7109375" style="231" customWidth="1"/>
    <col min="10317" max="10317" width="10.7109375" style="231"/>
    <col min="10318" max="10319" width="10.7109375" style="231" customWidth="1"/>
    <col min="10320" max="10321" width="10.7109375" style="231"/>
    <col min="10322" max="10322" width="10.7109375" style="231" customWidth="1"/>
    <col min="10323" max="10352" width="10.7109375" style="231"/>
    <col min="10353" max="10384" width="10.7109375" style="231" customWidth="1"/>
    <col min="10385" max="10387" width="10.7109375" style="231"/>
    <col min="10388" max="10388" width="10.7109375" style="231" customWidth="1"/>
    <col min="10389" max="10392" width="10.7109375" style="231"/>
    <col min="10393" max="10394" width="10.7109375" style="231" customWidth="1"/>
    <col min="10395" max="10396" width="10.7109375" style="231"/>
    <col min="10397" max="10397" width="10.7109375" style="231" customWidth="1"/>
    <col min="10398" max="10401" width="10.7109375" style="231"/>
    <col min="10402" max="10402" width="10.7109375" style="231" customWidth="1"/>
    <col min="10403" max="10403" width="10.7109375" style="231"/>
    <col min="10404" max="10404" width="10.7109375" style="231" customWidth="1"/>
    <col min="10405" max="10408" width="10.7109375" style="231"/>
    <col min="10409" max="10412" width="10.7109375" style="231" customWidth="1"/>
    <col min="10413" max="10413" width="10.7109375" style="231"/>
    <col min="10414" max="10415" width="10.7109375" style="231" customWidth="1"/>
    <col min="10416" max="10416" width="10.7109375" style="231"/>
    <col min="10417" max="10417" width="10.7109375" style="231" customWidth="1"/>
    <col min="10418" max="10420" width="10.7109375" style="231"/>
    <col min="10421" max="10421" width="10.7109375" style="231" customWidth="1"/>
    <col min="10422" max="10424" width="10.7109375" style="231"/>
    <col min="10425" max="10426" width="10.7109375" style="231" customWidth="1"/>
    <col min="10427" max="10427" width="10.7109375" style="231"/>
    <col min="10428" max="10428" width="10.7109375" style="231" customWidth="1"/>
    <col min="10429" max="10430" width="10.7109375" style="231"/>
    <col min="10431" max="10431" width="10.7109375" style="231" customWidth="1"/>
    <col min="10432" max="10446" width="10.7109375" style="231"/>
    <col min="10447" max="10447" width="10.7109375" style="231" customWidth="1"/>
    <col min="10448" max="10448" width="10.7109375" style="231"/>
    <col min="10449" max="10512" width="10.7109375" style="231" customWidth="1"/>
    <col min="10513" max="10544" width="10.7109375" style="231"/>
    <col min="10545" max="10548" width="10.7109375" style="231" customWidth="1"/>
    <col min="10549" max="10549" width="10.7109375" style="231"/>
    <col min="10550" max="10550" width="10.7109375" style="231" customWidth="1"/>
    <col min="10551" max="10552" width="10.7109375" style="231"/>
    <col min="10553" max="10553" width="10.7109375" style="231" customWidth="1"/>
    <col min="10554" max="10554" width="10.7109375" style="231"/>
    <col min="10555" max="10557" width="10.7109375" style="231" customWidth="1"/>
    <col min="10558" max="10560" width="10.7109375" style="231"/>
    <col min="10561" max="10561" width="10.7109375" style="231" customWidth="1"/>
    <col min="10562" max="10566" width="10.7109375" style="231"/>
    <col min="10567" max="10568" width="10.7109375" style="231" customWidth="1"/>
    <col min="10569" max="10569" width="10.7109375" style="231"/>
    <col min="10570" max="10572" width="10.7109375" style="231" customWidth="1"/>
    <col min="10573" max="10573" width="10.7109375" style="231"/>
    <col min="10574" max="10576" width="10.7109375" style="231" customWidth="1"/>
    <col min="10577" max="10577" width="10.7109375" style="231"/>
    <col min="10578" max="10578" width="10.7109375" style="231" customWidth="1"/>
    <col min="10579" max="10600" width="10.7109375" style="231"/>
    <col min="10601" max="10610" width="10.7109375" style="231" customWidth="1"/>
    <col min="10611" max="10612" width="10.7109375" style="231"/>
    <col min="10613" max="10613" width="10.7109375" style="231" customWidth="1"/>
    <col min="10614" max="10616" width="10.7109375" style="231"/>
    <col min="10617" max="10618" width="10.7109375" style="231" customWidth="1"/>
    <col min="10619" max="10619" width="10.7109375" style="231"/>
    <col min="10620" max="10620" width="10.7109375" style="231" customWidth="1"/>
    <col min="10621" max="10622" width="10.7109375" style="231"/>
    <col min="10623" max="10623" width="10.7109375" style="231" customWidth="1"/>
    <col min="10624" max="10638" width="10.7109375" style="231"/>
    <col min="10639" max="10639" width="10.7109375" style="231" customWidth="1"/>
    <col min="10640" max="10640" width="10.7109375" style="231"/>
    <col min="10641" max="10643" width="10.7109375" style="231" customWidth="1"/>
    <col min="10644" max="10644" width="10.7109375" style="231"/>
    <col min="10645" max="10645" width="10.7109375" style="231" customWidth="1"/>
    <col min="10646" max="10646" width="10.7109375" style="231"/>
    <col min="10647" max="10648" width="10.7109375" style="231" customWidth="1"/>
    <col min="10649" max="10650" width="10.7109375" style="231"/>
    <col min="10651" max="10651" width="10.7109375" style="231" customWidth="1"/>
    <col min="10652" max="10653" width="10.7109375" style="231"/>
    <col min="10654" max="10654" width="10.7109375" style="231" customWidth="1"/>
    <col min="10655" max="10656" width="10.7109375" style="231"/>
    <col min="10657" max="10657" width="10.7109375" style="231" customWidth="1"/>
    <col min="10658" max="10662" width="10.7109375" style="231"/>
    <col min="10663" max="10664" width="10.7109375" style="231" customWidth="1"/>
    <col min="10665" max="10665" width="10.7109375" style="231"/>
    <col min="10666" max="10668" width="10.7109375" style="231" customWidth="1"/>
    <col min="10669" max="10669" width="10.7109375" style="231"/>
    <col min="10670" max="10673" width="10.7109375" style="231" customWidth="1"/>
    <col min="10674" max="10676" width="10.7109375" style="231"/>
    <col min="10677" max="10680" width="10.7109375" style="231" customWidth="1"/>
    <col min="10681" max="10681" width="10.7109375" style="231"/>
    <col min="10682" max="10682" width="10.7109375" style="231" customWidth="1"/>
    <col min="10683" max="10683" width="10.7109375" style="231"/>
    <col min="10684" max="10684" width="10.7109375" style="231" customWidth="1"/>
    <col min="10685" max="10686" width="10.7109375" style="231"/>
    <col min="10687" max="10687" width="10.7109375" style="231" customWidth="1"/>
    <col min="10688" max="10702" width="10.7109375" style="231"/>
    <col min="10703" max="10703" width="10.7109375" style="231" customWidth="1"/>
    <col min="10704" max="10704" width="10.7109375" style="231"/>
    <col min="10705" max="10707" width="10.7109375" style="231" customWidth="1"/>
    <col min="10708" max="10708" width="10.7109375" style="231"/>
    <col min="10709" max="10711" width="10.7109375" style="231" customWidth="1"/>
    <col min="10712" max="10712" width="10.7109375" style="231"/>
    <col min="10713" max="10713" width="10.7109375" style="231" customWidth="1"/>
    <col min="10714" max="10714" width="10.7109375" style="231"/>
    <col min="10715" max="10717" width="10.7109375" style="231" customWidth="1"/>
    <col min="10718" max="10718" width="10.7109375" style="231"/>
    <col min="10719" max="10719" width="10.7109375" style="231" customWidth="1"/>
    <col min="10720" max="10720" width="10.7109375" style="231"/>
    <col min="10721" max="10721" width="10.7109375" style="231" customWidth="1"/>
    <col min="10722" max="10723" width="10.7109375" style="231"/>
    <col min="10724" max="10724" width="10.7109375" style="231" customWidth="1"/>
    <col min="10725" max="10725" width="10.7109375" style="231"/>
    <col min="10726" max="10728" width="10.7109375" style="231" customWidth="1"/>
    <col min="10729" max="10729" width="10.7109375" style="231"/>
    <col min="10730" max="10733" width="10.7109375" style="231" customWidth="1"/>
    <col min="10734" max="10734" width="10.7109375" style="231"/>
    <col min="10735" max="10735" width="10.7109375" style="231" customWidth="1"/>
    <col min="10736" max="10737" width="10.7109375" style="231"/>
    <col min="10738" max="10745" width="10.7109375" style="231" customWidth="1"/>
    <col min="10746" max="10746" width="10.7109375" style="231"/>
    <col min="10747" max="10747" width="10.7109375" style="231" customWidth="1"/>
    <col min="10748" max="10751" width="10.7109375" style="231"/>
    <col min="10752" max="10752" width="10.7109375" style="231" customWidth="1"/>
    <col min="10753" max="10753" width="10.7109375" style="231"/>
    <col min="10754" max="10758" width="10.7109375" style="231" customWidth="1"/>
    <col min="10759" max="10762" width="10.7109375" style="231"/>
    <col min="10763" max="10763" width="10.7109375" style="231" customWidth="1"/>
    <col min="10764" max="10765" width="10.7109375" style="231"/>
    <col min="10766" max="10767" width="10.7109375" style="231" customWidth="1"/>
    <col min="10768" max="10770" width="10.7109375" style="231"/>
    <col min="10771" max="10800" width="10.7109375" style="231" customWidth="1"/>
    <col min="10801" max="10801" width="10.7109375" style="231"/>
    <col min="10802" max="10832" width="10.7109375" style="231" customWidth="1"/>
    <col min="10833" max="10833" width="10.7109375" style="231"/>
    <col min="10834" max="10834" width="10.7109375" style="231" customWidth="1"/>
    <col min="10835" max="10835" width="10.7109375" style="231"/>
    <col min="10836" max="10864" width="10.7109375" style="231" customWidth="1"/>
    <col min="10865" max="10865" width="10.7109375" style="231"/>
    <col min="10866" max="10866" width="10.7109375" style="231" customWidth="1"/>
    <col min="10867" max="10867" width="10.7109375" style="231"/>
    <col min="10868" max="10899" width="10.7109375" style="231" customWidth="1"/>
    <col min="10900" max="10902" width="10.7109375" style="231"/>
    <col min="10903" max="10908" width="10.7109375" style="231" customWidth="1"/>
    <col min="10909" max="10909" width="10.7109375" style="231"/>
    <col min="10910" max="10910" width="10.7109375" style="231" customWidth="1"/>
    <col min="10911" max="10913" width="10.7109375" style="231"/>
    <col min="10914" max="10914" width="10.7109375" style="231" customWidth="1"/>
    <col min="10915" max="10915" width="10.7109375" style="231"/>
    <col min="10916" max="10916" width="10.7109375" style="231" customWidth="1"/>
    <col min="10917" max="10917" width="10.7109375" style="231"/>
    <col min="10918" max="10918" width="10.7109375" style="231" customWidth="1"/>
    <col min="10919" max="10919" width="10.7109375" style="231"/>
    <col min="10920" max="10925" width="10.7109375" style="231" customWidth="1"/>
    <col min="10926" max="10926" width="10.7109375" style="231"/>
    <col min="10927" max="10927" width="10.7109375" style="231" customWidth="1"/>
    <col min="10928" max="10928" width="10.7109375" style="231"/>
    <col min="10929" max="10960" width="10.7109375" style="231" customWidth="1"/>
    <col min="10961" max="10962" width="10.7109375" style="231"/>
    <col min="10963" max="10999" width="10.7109375" style="231" customWidth="1"/>
    <col min="11000" max="11000" width="10.7109375" style="231"/>
    <col min="11001" max="11061" width="10.7109375" style="231" customWidth="1"/>
    <col min="11062" max="11062" width="10.7109375" style="231"/>
    <col min="11063" max="11064" width="10.7109375" style="231" customWidth="1"/>
    <col min="11065" max="11065" width="10.7109375" style="231"/>
    <col min="11066" max="11066" width="10.7109375" style="231" customWidth="1"/>
    <col min="11067" max="11068" width="10.7109375" style="231"/>
    <col min="11069" max="11069" width="10.7109375" style="231" customWidth="1"/>
    <col min="11070" max="11070" width="10.7109375" style="231"/>
    <col min="11071" max="11071" width="10.7109375" style="231" customWidth="1"/>
    <col min="11072" max="11086" width="10.7109375" style="231"/>
    <col min="11087" max="11087" width="10.7109375" style="231" customWidth="1"/>
    <col min="11088" max="11088" width="10.7109375" style="231"/>
    <col min="11089" max="11152" width="10.7109375" style="231" customWidth="1"/>
    <col min="11153" max="11154" width="10.7109375" style="231"/>
    <col min="11155" max="11156" width="10.7109375" style="231" customWidth="1"/>
    <col min="11157" max="11157" width="10.7109375" style="231"/>
    <col min="11158" max="11159" width="10.7109375" style="231" customWidth="1"/>
    <col min="11160" max="11160" width="10.7109375" style="231"/>
    <col min="11161" max="11161" width="10.7109375" style="231" customWidth="1"/>
    <col min="11162" max="11162" width="10.7109375" style="231"/>
    <col min="11163" max="11163" width="10.7109375" style="231" customWidth="1"/>
    <col min="11164" max="11167" width="10.7109375" style="231"/>
    <col min="11168" max="11168" width="10.7109375" style="231" customWidth="1"/>
    <col min="11169" max="11169" width="10.7109375" style="231"/>
    <col min="11170" max="11174" width="10.7109375" style="231" customWidth="1"/>
    <col min="11175" max="11178" width="10.7109375" style="231"/>
    <col min="11179" max="11179" width="10.7109375" style="231" customWidth="1"/>
    <col min="11180" max="11181" width="10.7109375" style="231"/>
    <col min="11182" max="11183" width="10.7109375" style="231" customWidth="1"/>
    <col min="11184" max="11184" width="10.7109375" style="231"/>
    <col min="11185" max="11221" width="10.7109375" style="231" customWidth="1"/>
    <col min="11222" max="11222" width="10.7109375" style="231"/>
    <col min="11223" max="11224" width="10.7109375" style="231" customWidth="1"/>
    <col min="11225" max="11226" width="10.7109375" style="231"/>
    <col min="11227" max="11227" width="10.7109375" style="231" customWidth="1"/>
    <col min="11228" max="11229" width="10.7109375" style="231"/>
    <col min="11230" max="11230" width="10.7109375" style="231" customWidth="1"/>
    <col min="11231" max="11232" width="10.7109375" style="231"/>
    <col min="11233" max="11233" width="10.7109375" style="231" customWidth="1"/>
    <col min="11234" max="11238" width="10.7109375" style="231"/>
    <col min="11239" max="11240" width="10.7109375" style="231" customWidth="1"/>
    <col min="11241" max="11241" width="10.7109375" style="231"/>
    <col min="11242" max="11244" width="10.7109375" style="231" customWidth="1"/>
    <col min="11245" max="11245" width="10.7109375" style="231"/>
    <col min="11246" max="11255" width="10.7109375" style="231" customWidth="1"/>
    <col min="11256" max="11256" width="10.7109375" style="231"/>
    <col min="11257" max="11318" width="10.7109375" style="231" customWidth="1"/>
    <col min="11319" max="11319" width="10.7109375" style="231"/>
    <col min="11320" max="11320" width="10.7109375" style="231" customWidth="1"/>
    <col min="11321" max="11321" width="10.7109375" style="231"/>
    <col min="11322" max="11322" width="10.7109375" style="231" customWidth="1"/>
    <col min="11323" max="11324" width="10.7109375" style="231"/>
    <col min="11325" max="11325" width="10.7109375" style="231" customWidth="1"/>
    <col min="11326" max="11326" width="10.7109375" style="231"/>
    <col min="11327" max="11327" width="10.7109375" style="231" customWidth="1"/>
    <col min="11328" max="11342" width="10.7109375" style="231"/>
    <col min="11343" max="11343" width="10.7109375" style="231" customWidth="1"/>
    <col min="11344" max="11344" width="10.7109375" style="231"/>
    <col min="11345" max="11353" width="10.7109375" style="231" customWidth="1"/>
    <col min="11354" max="11356" width="10.7109375" style="231"/>
    <col min="11357" max="11358" width="10.7109375" style="231" customWidth="1"/>
    <col min="11359" max="11359" width="10.7109375" style="231"/>
    <col min="11360" max="11360" width="10.7109375" style="231" customWidth="1"/>
    <col min="11361" max="11362" width="10.7109375" style="231"/>
    <col min="11363" max="11363" width="10.7109375" style="231" customWidth="1"/>
    <col min="11364" max="11364" width="10.7109375" style="231"/>
    <col min="11365" max="11366" width="10.7109375" style="231" customWidth="1"/>
    <col min="11367" max="11367" width="10.7109375" style="231"/>
    <col min="11368" max="11368" width="10.7109375" style="231" customWidth="1"/>
    <col min="11369" max="11372" width="10.7109375" style="231"/>
    <col min="11373" max="11374" width="10.7109375" style="231" customWidth="1"/>
    <col min="11375" max="11375" width="10.7109375" style="231"/>
    <col min="11376" max="11408" width="10.7109375" style="231" customWidth="1"/>
    <col min="11409" max="11410" width="10.7109375" style="231"/>
    <col min="11411" max="11412" width="10.7109375" style="231" customWidth="1"/>
    <col min="11413" max="11413" width="10.7109375" style="231"/>
    <col min="11414" max="11415" width="10.7109375" style="231" customWidth="1"/>
    <col min="11416" max="11416" width="10.7109375" style="231"/>
    <col min="11417" max="11417" width="10.7109375" style="231" customWidth="1"/>
    <col min="11418" max="11418" width="10.7109375" style="231"/>
    <col min="11419" max="11419" width="10.7109375" style="231" customWidth="1"/>
    <col min="11420" max="11423" width="10.7109375" style="231"/>
    <col min="11424" max="11424" width="10.7109375" style="231" customWidth="1"/>
    <col min="11425" max="11425" width="10.7109375" style="231"/>
    <col min="11426" max="11430" width="10.7109375" style="231" customWidth="1"/>
    <col min="11431" max="11434" width="10.7109375" style="231"/>
    <col min="11435" max="11435" width="10.7109375" style="231" customWidth="1"/>
    <col min="11436" max="11437" width="10.7109375" style="231"/>
    <col min="11438" max="11439" width="10.7109375" style="231" customWidth="1"/>
    <col min="11440" max="11442" width="10.7109375" style="231"/>
    <col min="11443" max="11443" width="10.7109375" style="231" customWidth="1"/>
    <col min="11444" max="11444" width="10.7109375" style="231"/>
    <col min="11445" max="11445" width="10.7109375" style="231" customWidth="1"/>
    <col min="11446" max="11447" width="10.7109375" style="231"/>
    <col min="11448" max="11448" width="10.7109375" style="231" customWidth="1"/>
    <col min="11449" max="11450" width="10.7109375" style="231"/>
    <col min="11451" max="11451" width="10.7109375" style="231" customWidth="1"/>
    <col min="11452" max="11452" width="10.7109375" style="231"/>
    <col min="11453" max="11453" width="10.7109375" style="231" customWidth="1"/>
    <col min="11454" max="11455" width="10.7109375" style="231"/>
    <col min="11456" max="11456" width="10.7109375" style="231" customWidth="1"/>
    <col min="11457" max="11458" width="10.7109375" style="231"/>
    <col min="11459" max="11459" width="10.7109375" style="231" customWidth="1"/>
    <col min="11460" max="11460" width="10.7109375" style="231"/>
    <col min="11461" max="11461" width="10.7109375" style="231" customWidth="1"/>
    <col min="11462" max="11463" width="10.7109375" style="231"/>
    <col min="11464" max="11477" width="10.7109375" style="231" customWidth="1"/>
    <col min="11478" max="11478" width="10.7109375" style="231"/>
    <col min="11479" max="11480" width="10.7109375" style="231" customWidth="1"/>
    <col min="11481" max="11482" width="10.7109375" style="231"/>
    <col min="11483" max="11483" width="10.7109375" style="231" customWidth="1"/>
    <col min="11484" max="11485" width="10.7109375" style="231"/>
    <col min="11486" max="11486" width="10.7109375" style="231" customWidth="1"/>
    <col min="11487" max="11488" width="10.7109375" style="231"/>
    <col min="11489" max="11489" width="10.7109375" style="231" customWidth="1"/>
    <col min="11490" max="11494" width="10.7109375" style="231"/>
    <col min="11495" max="11499" width="10.7109375" style="231" customWidth="1"/>
    <col min="11500" max="11501" width="10.7109375" style="231"/>
    <col min="11502" max="11502" width="10.7109375" style="231" customWidth="1"/>
    <col min="11503" max="11503" width="10.7109375" style="231"/>
    <col min="11504" max="11504" width="10.7109375" style="231" customWidth="1"/>
    <col min="11505" max="11505" width="10.7109375" style="231"/>
    <col min="11506" max="11506" width="10.7109375" style="231" customWidth="1"/>
    <col min="11507" max="11508" width="10.7109375" style="231"/>
    <col min="11509" max="11509" width="10.7109375" style="231" customWidth="1"/>
    <col min="11510" max="11510" width="10.7109375" style="231"/>
    <col min="11511" max="11512" width="10.7109375" style="231" customWidth="1"/>
    <col min="11513" max="11513" width="10.7109375" style="231"/>
    <col min="11514" max="11514" width="10.7109375" style="231" customWidth="1"/>
    <col min="11515" max="11516" width="10.7109375" style="231"/>
    <col min="11517" max="11517" width="10.7109375" style="231" customWidth="1"/>
    <col min="11518" max="11518" width="10.7109375" style="231"/>
    <col min="11519" max="11520" width="10.7109375" style="231" customWidth="1"/>
    <col min="11521" max="11521" width="10.7109375" style="231"/>
    <col min="11522" max="11522" width="10.7109375" style="231" customWidth="1"/>
    <col min="11523" max="11524" width="10.7109375" style="231"/>
    <col min="11525" max="11525" width="10.7109375" style="231" customWidth="1"/>
    <col min="11526" max="11526" width="10.7109375" style="231"/>
    <col min="11527" max="11528" width="10.7109375" style="231" customWidth="1"/>
    <col min="11529" max="11529" width="10.7109375" style="231"/>
    <col min="11530" max="11530" width="10.7109375" style="231" customWidth="1"/>
    <col min="11531" max="11532" width="10.7109375" style="231"/>
    <col min="11533" max="11533" width="10.7109375" style="231" customWidth="1"/>
    <col min="11534" max="11534" width="10.7109375" style="231"/>
    <col min="11535" max="11536" width="10.7109375" style="231" customWidth="1"/>
    <col min="11537" max="11537" width="10.7109375" style="231"/>
    <col min="11538" max="11538" width="10.7109375" style="231" customWidth="1"/>
    <col min="11539" max="11540" width="10.7109375" style="231"/>
    <col min="11541" max="11541" width="10.7109375" style="231" customWidth="1"/>
    <col min="11542" max="11542" width="10.7109375" style="231"/>
    <col min="11543" max="11554" width="10.7109375" style="231" customWidth="1"/>
    <col min="11555" max="11557" width="10.7109375" style="231"/>
    <col min="11558" max="11562" width="10.7109375" style="231" customWidth="1"/>
    <col min="11563" max="11563" width="10.7109375" style="231"/>
    <col min="11564" max="11568" width="10.7109375" style="231" customWidth="1"/>
    <col min="11569" max="11569" width="10.7109375" style="231"/>
    <col min="11570" max="11570" width="10.7109375" style="231" customWidth="1"/>
    <col min="11571" max="11572" width="10.7109375" style="231"/>
    <col min="11573" max="11574" width="10.7109375" style="231" customWidth="1"/>
    <col min="11575" max="11575" width="10.7109375" style="231"/>
    <col min="11576" max="11576" width="10.7109375" style="231" customWidth="1"/>
    <col min="11577" max="11577" width="10.7109375" style="231"/>
    <col min="11578" max="11581" width="10.7109375" style="231" customWidth="1"/>
    <col min="11582" max="11583" width="10.7109375" style="231"/>
    <col min="11584" max="11584" width="10.7109375" style="231" customWidth="1"/>
    <col min="11585" max="11586" width="10.7109375" style="231"/>
    <col min="11587" max="11589" width="10.7109375" style="231" customWidth="1"/>
    <col min="11590" max="11591" width="10.7109375" style="231"/>
    <col min="11592" max="11592" width="10.7109375" style="231" customWidth="1"/>
    <col min="11593" max="11593" width="10.7109375" style="231"/>
    <col min="11594" max="11595" width="10.7109375" style="231" customWidth="1"/>
    <col min="11596" max="11596" width="10.7109375" style="231"/>
    <col min="11597" max="11597" width="10.7109375" style="231" customWidth="1"/>
    <col min="11598" max="11599" width="10.7109375" style="231"/>
    <col min="11600" max="11601" width="10.7109375" style="231" customWidth="1"/>
    <col min="11602" max="11604" width="10.7109375" style="231"/>
    <col min="11605" max="11605" width="10.7109375" style="231" customWidth="1"/>
    <col min="11606" max="11607" width="10.7109375" style="231"/>
    <col min="11608" max="11610" width="10.7109375" style="231" customWidth="1"/>
    <col min="11611" max="11611" width="10.7109375" style="231"/>
    <col min="11612" max="11612" width="10.7109375" style="231" customWidth="1"/>
    <col min="11613" max="11615" width="10.7109375" style="231"/>
    <col min="11616" max="11616" width="10.7109375" style="231" customWidth="1"/>
    <col min="11617" max="11620" width="10.7109375" style="231"/>
    <col min="11621" max="11621" width="10.7109375" style="231" customWidth="1"/>
    <col min="11622" max="11623" width="10.7109375" style="231"/>
    <col min="11624" max="11624" width="10.7109375" style="231" customWidth="1"/>
    <col min="11625" max="11626" width="10.7109375" style="231"/>
    <col min="11627" max="11628" width="10.7109375" style="231" customWidth="1"/>
    <col min="11629" max="11631" width="10.7109375" style="231"/>
    <col min="11632" max="11635" width="10.7109375" style="231" customWidth="1"/>
    <col min="11636" max="11636" width="10.7109375" style="231"/>
    <col min="11637" max="11637" width="10.7109375" style="231" customWidth="1"/>
    <col min="11638" max="11639" width="10.7109375" style="231"/>
    <col min="11640" max="11645" width="10.7109375" style="231" customWidth="1"/>
    <col min="11646" max="11646" width="10.7109375" style="231"/>
    <col min="11647" max="11651" width="10.7109375" style="231" customWidth="1"/>
    <col min="11652" max="11652" width="10.7109375" style="231"/>
    <col min="11653" max="11654" width="10.7109375" style="231" customWidth="1"/>
    <col min="11655" max="11655" width="10.7109375" style="231"/>
    <col min="11656" max="11658" width="10.7109375" style="231" customWidth="1"/>
    <col min="11659" max="11659" width="10.7109375" style="231"/>
    <col min="11660" max="11662" width="10.7109375" style="231" customWidth="1"/>
    <col min="11663" max="11663" width="10.7109375" style="231"/>
    <col min="11664" max="11665" width="10.7109375" style="231" customWidth="1"/>
    <col min="11666" max="11666" width="10.7109375" style="231"/>
    <col min="11667" max="11667" width="10.7109375" style="231" customWidth="1"/>
    <col min="11668" max="11670" width="10.7109375" style="231"/>
    <col min="11671" max="11672" width="10.7109375" style="231" customWidth="1"/>
    <col min="11673" max="11673" width="10.7109375" style="231"/>
    <col min="11674" max="11674" width="10.7109375" style="231" customWidth="1"/>
    <col min="11675" max="11675" width="10.7109375" style="231"/>
    <col min="11676" max="11676" width="10.7109375" style="231" customWidth="1"/>
    <col min="11677" max="11677" width="10.7109375" style="231"/>
    <col min="11678" max="11678" width="10.7109375" style="231" customWidth="1"/>
    <col min="11679" max="11679" width="10.7109375" style="231"/>
    <col min="11680" max="11680" width="10.7109375" style="231" customWidth="1"/>
    <col min="11681" max="11682" width="10.7109375" style="231"/>
    <col min="11683" max="11684" width="10.7109375" style="231" customWidth="1"/>
    <col min="11685" max="11687" width="10.7109375" style="231"/>
    <col min="11688" max="11688" width="10.7109375" style="231" customWidth="1"/>
    <col min="11689" max="11689" width="10.7109375" style="231"/>
    <col min="11690" max="11690" width="10.7109375" style="231" customWidth="1"/>
    <col min="11691" max="11691" width="10.7109375" style="231"/>
    <col min="11692" max="11693" width="10.7109375" style="231" customWidth="1"/>
    <col min="11694" max="11695" width="10.7109375" style="231"/>
    <col min="11696" max="11697" width="10.7109375" style="231" customWidth="1"/>
    <col min="11698" max="11698" width="10.7109375" style="231"/>
    <col min="11699" max="11700" width="10.7109375" style="231" customWidth="1"/>
    <col min="11701" max="11703" width="10.7109375" style="231"/>
    <col min="11704" max="11704" width="10.7109375" style="231" customWidth="1"/>
    <col min="11705" max="11706" width="10.7109375" style="231"/>
    <col min="11707" max="11708" width="10.7109375" style="231" customWidth="1"/>
    <col min="11709" max="11711" width="10.7109375" style="231"/>
    <col min="11712" max="11713" width="10.7109375" style="231" customWidth="1"/>
    <col min="11714" max="11714" width="10.7109375" style="231"/>
    <col min="11715" max="11715" width="10.7109375" style="231" customWidth="1"/>
    <col min="11716" max="11718" width="10.7109375" style="231"/>
    <col min="11719" max="11729" width="10.7109375" style="231" customWidth="1"/>
    <col min="11730" max="11732" width="10.7109375" style="231"/>
    <col min="11733" max="11733" width="10.7109375" style="231" customWidth="1"/>
    <col min="11734" max="11734" width="10.7109375" style="231"/>
    <col min="11735" max="11741" width="10.7109375" style="231" customWidth="1"/>
    <col min="11742" max="11742" width="10.7109375" style="231"/>
    <col min="11743" max="11743" width="10.7109375" style="231" customWidth="1"/>
    <col min="11744" max="11744" width="10.7109375" style="231"/>
    <col min="11745" max="11750" width="10.7109375" style="231" customWidth="1"/>
    <col min="11751" max="11752" width="10.7109375" style="231"/>
    <col min="11753" max="11755" width="10.7109375" style="231" customWidth="1"/>
    <col min="11756" max="11757" width="10.7109375" style="231"/>
    <col min="11758" max="11758" width="10.7109375" style="231" customWidth="1"/>
    <col min="11759" max="11759" width="10.7109375" style="231"/>
    <col min="11760" max="11760" width="10.7109375" style="231" customWidth="1"/>
    <col min="11761" max="11761" width="10.7109375" style="231"/>
    <col min="11762" max="11763" width="10.7109375" style="231" customWidth="1"/>
    <col min="11764" max="11764" width="10.7109375" style="231"/>
    <col min="11765" max="11765" width="10.7109375" style="231" customWidth="1"/>
    <col min="11766" max="11767" width="10.7109375" style="231"/>
    <col min="11768" max="11768" width="10.7109375" style="231" customWidth="1"/>
    <col min="11769" max="11769" width="10.7109375" style="231"/>
    <col min="11770" max="11773" width="10.7109375" style="231" customWidth="1"/>
    <col min="11774" max="11775" width="10.7109375" style="231"/>
    <col min="11776" max="11776" width="10.7109375" style="231" customWidth="1"/>
    <col min="11777" max="11777" width="10.7109375" style="231"/>
    <col min="11778" max="11778" width="10.7109375" style="231" customWidth="1"/>
    <col min="11779" max="11780" width="10.7109375" style="231"/>
    <col min="11781" max="11781" width="10.7109375" style="231" customWidth="1"/>
    <col min="11782" max="11783" width="10.7109375" style="231"/>
    <col min="11784" max="11786" width="10.7109375" style="231" customWidth="1"/>
    <col min="11787" max="11788" width="10.7109375" style="231"/>
    <col min="11789" max="11789" width="10.7109375" style="231" customWidth="1"/>
    <col min="11790" max="11791" width="10.7109375" style="231"/>
    <col min="11792" max="11792" width="10.7109375" style="231" customWidth="1"/>
    <col min="11793" max="11793" width="10.7109375" style="231"/>
    <col min="11794" max="11794" width="10.7109375" style="231" customWidth="1"/>
    <col min="11795" max="11795" width="10.7109375" style="231"/>
    <col min="11796" max="11797" width="10.7109375" style="231" customWidth="1"/>
    <col min="11798" max="11799" width="10.7109375" style="231"/>
    <col min="11800" max="11801" width="10.7109375" style="231" customWidth="1"/>
    <col min="11802" max="11804" width="10.7109375" style="231"/>
    <col min="11805" max="11805" width="10.7109375" style="231" customWidth="1"/>
    <col min="11806" max="11807" width="10.7109375" style="231"/>
    <col min="11808" max="11808" width="10.7109375" style="231" customWidth="1"/>
    <col min="11809" max="11812" width="10.7109375" style="231"/>
    <col min="11813" max="11813" width="10.7109375" style="231" customWidth="1"/>
    <col min="11814" max="11815" width="10.7109375" style="231"/>
    <col min="11816" max="11819" width="10.7109375" style="231" customWidth="1"/>
    <col min="11820" max="11823" width="10.7109375" style="231"/>
    <col min="11824" max="11825" width="10.7109375" style="231" customWidth="1"/>
    <col min="11826" max="11826" width="10.7109375" style="231"/>
    <col min="11827" max="11827" width="10.7109375" style="231" customWidth="1"/>
    <col min="11828" max="11830" width="10.7109375" style="231"/>
    <col min="11831" max="11842" width="10.7109375" style="231" customWidth="1"/>
    <col min="11843" max="11844" width="10.7109375" style="231"/>
    <col min="11845" max="11846" width="10.7109375" style="231" customWidth="1"/>
    <col min="11847" max="11847" width="10.7109375" style="231"/>
    <col min="11848" max="11848" width="10.7109375" style="231" customWidth="1"/>
    <col min="11849" max="11849" width="10.7109375" style="231"/>
    <col min="11850" max="11851" width="10.7109375" style="231" customWidth="1"/>
    <col min="11852" max="11852" width="10.7109375" style="231"/>
    <col min="11853" max="11853" width="10.7109375" style="231" customWidth="1"/>
    <col min="11854" max="11855" width="10.7109375" style="231"/>
    <col min="11856" max="11857" width="10.7109375" style="231" customWidth="1"/>
    <col min="11858" max="11860" width="10.7109375" style="231"/>
    <col min="11861" max="11862" width="10.7109375" style="231" customWidth="1"/>
    <col min="11863" max="11866" width="10.7109375" style="231"/>
    <col min="11867" max="11867" width="10.7109375" style="231" customWidth="1"/>
    <col min="11868" max="11868" width="10.7109375" style="231"/>
    <col min="11869" max="11870" width="10.7109375" style="231" customWidth="1"/>
    <col min="11871" max="11873" width="10.7109375" style="231"/>
    <col min="11874" max="11878" width="10.7109375" style="231" customWidth="1"/>
    <col min="11879" max="11882" width="10.7109375" style="231"/>
    <col min="11883" max="11883" width="10.7109375" style="231" customWidth="1"/>
    <col min="11884" max="11885" width="10.7109375" style="231"/>
    <col min="11886" max="11887" width="10.7109375" style="231" customWidth="1"/>
    <col min="11888" max="11889" width="10.7109375" style="231"/>
    <col min="11890" max="11891" width="10.7109375" style="231" customWidth="1"/>
    <col min="11892" max="11895" width="10.7109375" style="231"/>
    <col min="11896" max="11897" width="10.7109375" style="231" customWidth="1"/>
    <col min="11898" max="11898" width="10.7109375" style="231"/>
    <col min="11899" max="11899" width="10.7109375" style="231" customWidth="1"/>
    <col min="11900" max="11902" width="10.7109375" style="231"/>
    <col min="11903" max="11912" width="10.7109375" style="231" customWidth="1"/>
    <col min="11913" max="11914" width="10.7109375" style="231"/>
    <col min="11915" max="11918" width="10.7109375" style="231" customWidth="1"/>
    <col min="11919" max="11919" width="10.7109375" style="231"/>
    <col min="11920" max="11920" width="10.7109375" style="231" customWidth="1"/>
    <col min="11921" max="11921" width="10.7109375" style="231"/>
    <col min="11922" max="11925" width="10.7109375" style="231" customWidth="1"/>
    <col min="11926" max="11927" width="10.7109375" style="231"/>
    <col min="11928" max="11928" width="10.7109375" style="231" customWidth="1"/>
    <col min="11929" max="11930" width="10.7109375" style="231"/>
    <col min="11931" max="11933" width="10.7109375" style="231" customWidth="1"/>
    <col min="11934" max="11935" width="10.7109375" style="231"/>
    <col min="11936" max="11939" width="10.7109375" style="231" customWidth="1"/>
    <col min="11940" max="11940" width="10.7109375" style="231"/>
    <col min="11941" max="11941" width="10.7109375" style="231" customWidth="1"/>
    <col min="11942" max="11943" width="10.7109375" style="231"/>
    <col min="11944" max="11944" width="10.7109375" style="231" customWidth="1"/>
    <col min="11945" max="11945" width="10.7109375" style="231"/>
    <col min="11946" max="11946" width="10.7109375" style="231" customWidth="1"/>
    <col min="11947" max="11947" width="10.7109375" style="231"/>
    <col min="11948" max="11949" width="10.7109375" style="231" customWidth="1"/>
    <col min="11950" max="11951" width="10.7109375" style="231"/>
    <col min="11952" max="11952" width="10.7109375" style="231" customWidth="1"/>
    <col min="11953" max="11954" width="10.7109375" style="231"/>
    <col min="11955" max="11956" width="10.7109375" style="231" customWidth="1"/>
    <col min="11957" max="11959" width="10.7109375" style="231"/>
    <col min="11960" max="11961" width="10.7109375" style="231" customWidth="1"/>
    <col min="11962" max="11962" width="10.7109375" style="231"/>
    <col min="11963" max="11963" width="10.7109375" style="231" customWidth="1"/>
    <col min="11964" max="11966" width="10.7109375" style="231"/>
    <col min="11967" max="11978" width="10.7109375" style="231" customWidth="1"/>
    <col min="11979" max="11979" width="10.7109375" style="231"/>
    <col min="11980" max="11980" width="10.7109375" style="231" customWidth="1"/>
    <col min="11981" max="11981" width="10.7109375" style="231"/>
    <col min="11982" max="11982" width="10.7109375" style="231" customWidth="1"/>
    <col min="11983" max="11983" width="10.7109375" style="231"/>
    <col min="11984" max="11985" width="10.7109375" style="231" customWidth="1"/>
    <col min="11986" max="11986" width="10.7109375" style="231"/>
    <col min="11987" max="11987" width="10.7109375" style="231" customWidth="1"/>
    <col min="11988" max="11988" width="10.7109375" style="231"/>
    <col min="11989" max="11990" width="10.7109375" style="231" customWidth="1"/>
    <col min="11991" max="11991" width="10.7109375" style="231"/>
    <col min="11992" max="12017" width="10.7109375" style="231" customWidth="1"/>
    <col min="12018" max="12018" width="10.7109375" style="231"/>
    <col min="12019" max="12020" width="10.7109375" style="231" customWidth="1"/>
    <col min="12021" max="12023" width="10.7109375" style="231"/>
    <col min="12024" max="12024" width="10.7109375" style="231" customWidth="1"/>
    <col min="12025" max="12028" width="10.7109375" style="231"/>
    <col min="12029" max="12029" width="10.7109375" style="231" customWidth="1"/>
    <col min="12030" max="12030" width="10.7109375" style="231"/>
    <col min="12031" max="12031" width="10.7109375" style="231" customWidth="1"/>
    <col min="12032" max="12046" width="10.7109375" style="231"/>
    <col min="12047" max="12047" width="10.7109375" style="231" customWidth="1"/>
    <col min="12048" max="12048" width="10.7109375" style="231"/>
    <col min="12049" max="12049" width="10.7109375" style="231" customWidth="1"/>
    <col min="12050" max="12050" width="10.7109375" style="231"/>
    <col min="12051" max="12051" width="10.7109375" style="231" customWidth="1"/>
    <col min="12052" max="12052" width="10.7109375" style="231"/>
    <col min="12053" max="12054" width="10.7109375" style="231" customWidth="1"/>
    <col min="12055" max="12055" width="10.7109375" style="231"/>
    <col min="12056" max="12113" width="10.7109375" style="231" customWidth="1"/>
    <col min="12114" max="12114" width="10.7109375" style="231"/>
    <col min="12115" max="12115" width="10.7109375" style="231" customWidth="1"/>
    <col min="12116" max="12116" width="10.7109375" style="231"/>
    <col min="12117" max="12118" width="10.7109375" style="231" customWidth="1"/>
    <col min="12119" max="12119" width="10.7109375" style="231"/>
    <col min="12120" max="12120" width="10.7109375" style="231" customWidth="1"/>
    <col min="12121" max="12122" width="10.7109375" style="231"/>
    <col min="12123" max="12124" width="10.7109375" style="231" customWidth="1"/>
    <col min="12125" max="12125" width="10.7109375" style="231"/>
    <col min="12126" max="12126" width="10.7109375" style="231" customWidth="1"/>
    <col min="12127" max="12129" width="10.7109375" style="231"/>
    <col min="12130" max="12134" width="10.7109375" style="231" customWidth="1"/>
    <col min="12135" max="12138" width="10.7109375" style="231"/>
    <col min="12139" max="12139" width="10.7109375" style="231" customWidth="1"/>
    <col min="12140" max="12141" width="10.7109375" style="231"/>
    <col min="12142" max="12143" width="10.7109375" style="231" customWidth="1"/>
    <col min="12144" max="12147" width="10.7109375" style="231"/>
    <col min="12148" max="12209" width="10.7109375" style="231" customWidth="1"/>
    <col min="12210" max="12211" width="10.7109375" style="231"/>
    <col min="12212" max="12212" width="10.7109375" style="231" customWidth="1"/>
    <col min="12213" max="12216" width="10.7109375" style="231"/>
    <col min="12217" max="12217" width="10.7109375" style="231" customWidth="1"/>
    <col min="12218" max="12218" width="10.7109375" style="231"/>
    <col min="12219" max="12220" width="10.7109375" style="231" customWidth="1"/>
    <col min="12221" max="12221" width="10.7109375" style="231"/>
    <col min="12222" max="12223" width="10.7109375" style="231" customWidth="1"/>
    <col min="12224" max="12224" width="10.7109375" style="231"/>
    <col min="12225" max="12225" width="10.7109375" style="231" customWidth="1"/>
    <col min="12226" max="12228" width="10.7109375" style="231"/>
    <col min="12229" max="12229" width="10.7109375" style="231" customWidth="1"/>
    <col min="12230" max="12230" width="10.7109375" style="231"/>
    <col min="12231" max="12231" width="10.7109375" style="231" customWidth="1"/>
    <col min="12232" max="12232" width="10.7109375" style="231"/>
    <col min="12233" max="12234" width="10.7109375" style="231" customWidth="1"/>
    <col min="12235" max="12235" width="10.7109375" style="231"/>
    <col min="12236" max="12237" width="10.7109375" style="231" customWidth="1"/>
    <col min="12238" max="12240" width="10.7109375" style="231"/>
    <col min="12241" max="12245" width="10.7109375" style="231" customWidth="1"/>
    <col min="12246" max="12246" width="10.7109375" style="231"/>
    <col min="12247" max="12248" width="10.7109375" style="231" customWidth="1"/>
    <col min="12249" max="12250" width="10.7109375" style="231"/>
    <col min="12251" max="12251" width="10.7109375" style="231" customWidth="1"/>
    <col min="12252" max="12253" width="10.7109375" style="231"/>
    <col min="12254" max="12254" width="10.7109375" style="231" customWidth="1"/>
    <col min="12255" max="12256" width="10.7109375" style="231"/>
    <col min="12257" max="12257" width="10.7109375" style="231" customWidth="1"/>
    <col min="12258" max="12262" width="10.7109375" style="231"/>
    <col min="12263" max="12264" width="10.7109375" style="231" customWidth="1"/>
    <col min="12265" max="12265" width="10.7109375" style="231"/>
    <col min="12266" max="12268" width="10.7109375" style="231" customWidth="1"/>
    <col min="12269" max="12269" width="10.7109375" style="231"/>
    <col min="12270" max="12272" width="10.7109375" style="231" customWidth="1"/>
    <col min="12273" max="12274" width="10.7109375" style="231"/>
    <col min="12275" max="12307" width="10.7109375" style="231" customWidth="1"/>
    <col min="12308" max="12308" width="10.7109375" style="231"/>
    <col min="12309" max="12309" width="10.7109375" style="231" customWidth="1"/>
    <col min="12310" max="12310" width="10.7109375" style="231"/>
    <col min="12311" max="12312" width="10.7109375" style="231" customWidth="1"/>
    <col min="12313" max="12314" width="10.7109375" style="231"/>
    <col min="12315" max="12315" width="10.7109375" style="231" customWidth="1"/>
    <col min="12316" max="12317" width="10.7109375" style="231"/>
    <col min="12318" max="12318" width="10.7109375" style="231" customWidth="1"/>
    <col min="12319" max="12320" width="10.7109375" style="231"/>
    <col min="12321" max="12321" width="10.7109375" style="231" customWidth="1"/>
    <col min="12322" max="12326" width="10.7109375" style="231"/>
    <col min="12327" max="12328" width="10.7109375" style="231" customWidth="1"/>
    <col min="12329" max="12329" width="10.7109375" style="231"/>
    <col min="12330" max="12332" width="10.7109375" style="231" customWidth="1"/>
    <col min="12333" max="12333" width="10.7109375" style="231"/>
    <col min="12334" max="12339" width="10.7109375" style="231" customWidth="1"/>
    <col min="12340" max="12342" width="10.7109375" style="231"/>
    <col min="12343" max="12344" width="10.7109375" style="231" customWidth="1"/>
    <col min="12345" max="12345" width="10.7109375" style="231"/>
    <col min="12346" max="12348" width="10.7109375" style="231" customWidth="1"/>
    <col min="12349" max="12350" width="10.7109375" style="231"/>
    <col min="12351" max="12351" width="10.7109375" style="231" customWidth="1"/>
    <col min="12352" max="12366" width="10.7109375" style="231"/>
    <col min="12367" max="12367" width="10.7109375" style="231" customWidth="1"/>
    <col min="12368" max="12370" width="10.7109375" style="231"/>
    <col min="12371" max="12371" width="10.7109375" style="231" customWidth="1"/>
    <col min="12372" max="12377" width="10.7109375" style="231"/>
    <col min="12378" max="12380" width="10.7109375" style="231" customWidth="1"/>
    <col min="12381" max="12381" width="10.7109375" style="231"/>
    <col min="12382" max="12383" width="10.7109375" style="231" customWidth="1"/>
    <col min="12384" max="12384" width="10.7109375" style="231"/>
    <col min="12385" max="12386" width="10.7109375" style="231" customWidth="1"/>
    <col min="12387" max="12387" width="10.7109375" style="231"/>
    <col min="12388" max="12390" width="10.7109375" style="231" customWidth="1"/>
    <col min="12391" max="12394" width="10.7109375" style="231"/>
    <col min="12395" max="12395" width="10.7109375" style="231" customWidth="1"/>
    <col min="12396" max="12397" width="10.7109375" style="231"/>
    <col min="12398" max="12399" width="10.7109375" style="231" customWidth="1"/>
    <col min="12400" max="12401" width="10.7109375" style="231"/>
    <col min="12402" max="12404" width="10.7109375" style="231" customWidth="1"/>
    <col min="12405" max="12405" width="10.7109375" style="231"/>
    <col min="12406" max="12406" width="10.7109375" style="231" customWidth="1"/>
    <col min="12407" max="12408" width="10.7109375" style="231"/>
    <col min="12409" max="12409" width="10.7109375" style="231" customWidth="1"/>
    <col min="12410" max="12410" width="10.7109375" style="231"/>
    <col min="12411" max="12413" width="10.7109375" style="231" customWidth="1"/>
    <col min="12414" max="12416" width="10.7109375" style="231"/>
    <col min="12417" max="12417" width="10.7109375" style="231" customWidth="1"/>
    <col min="12418" max="12422" width="10.7109375" style="231"/>
    <col min="12423" max="12424" width="10.7109375" style="231" customWidth="1"/>
    <col min="12425" max="12425" width="10.7109375" style="231"/>
    <col min="12426" max="12428" width="10.7109375" style="231" customWidth="1"/>
    <col min="12429" max="12429" width="10.7109375" style="231"/>
    <col min="12430" max="12436" width="10.7109375" style="231" customWidth="1"/>
    <col min="12437" max="12437" width="10.7109375" style="231"/>
    <col min="12438" max="12438" width="10.7109375" style="231" customWidth="1"/>
    <col min="12439" max="12439" width="10.7109375" style="231"/>
    <col min="12440" max="12440" width="10.7109375" style="231" customWidth="1"/>
    <col min="12441" max="12441" width="10.7109375" style="231"/>
    <col min="12442" max="12444" width="10.7109375" style="231" customWidth="1"/>
    <col min="12445" max="12446" width="10.7109375" style="231"/>
    <col min="12447" max="12447" width="10.7109375" style="231" customWidth="1"/>
    <col min="12448" max="12462" width="10.7109375" style="231"/>
    <col min="12463" max="12463" width="10.7109375" style="231" customWidth="1"/>
    <col min="12464" max="12466" width="10.7109375" style="231"/>
    <col min="12467" max="12501" width="10.7109375" style="231" customWidth="1"/>
    <col min="12502" max="12502" width="10.7109375" style="231"/>
    <col min="12503" max="12504" width="10.7109375" style="231" customWidth="1"/>
    <col min="12505" max="12506" width="10.7109375" style="231"/>
    <col min="12507" max="12507" width="10.7109375" style="231" customWidth="1"/>
    <col min="12508" max="12509" width="10.7109375" style="231"/>
    <col min="12510" max="12510" width="10.7109375" style="231" customWidth="1"/>
    <col min="12511" max="12512" width="10.7109375" style="231"/>
    <col min="12513" max="12513" width="10.7109375" style="231" customWidth="1"/>
    <col min="12514" max="12518" width="10.7109375" style="231"/>
    <col min="12519" max="12520" width="10.7109375" style="231" customWidth="1"/>
    <col min="12521" max="12521" width="10.7109375" style="231"/>
    <col min="12522" max="12524" width="10.7109375" style="231" customWidth="1"/>
    <col min="12525" max="12525" width="10.7109375" style="231"/>
    <col min="12526" max="12528" width="10.7109375" style="231" customWidth="1"/>
    <col min="12529" max="12530" width="10.7109375" style="231"/>
    <col min="12531" max="12563" width="10.7109375" style="231" customWidth="1"/>
    <col min="12564" max="12564" width="10.7109375" style="231"/>
    <col min="12565" max="12565" width="10.7109375" style="231" customWidth="1"/>
    <col min="12566" max="12566" width="10.7109375" style="231"/>
    <col min="12567" max="12568" width="10.7109375" style="231" customWidth="1"/>
    <col min="12569" max="12570" width="10.7109375" style="231"/>
    <col min="12571" max="12571" width="10.7109375" style="231" customWidth="1"/>
    <col min="12572" max="12573" width="10.7109375" style="231"/>
    <col min="12574" max="12574" width="10.7109375" style="231" customWidth="1"/>
    <col min="12575" max="12576" width="10.7109375" style="231"/>
    <col min="12577" max="12577" width="10.7109375" style="231" customWidth="1"/>
    <col min="12578" max="12582" width="10.7109375" style="231"/>
    <col min="12583" max="12584" width="10.7109375" style="231" customWidth="1"/>
    <col min="12585" max="12585" width="10.7109375" style="231"/>
    <col min="12586" max="12588" width="10.7109375" style="231" customWidth="1"/>
    <col min="12589" max="12589" width="10.7109375" style="231"/>
    <col min="12590" max="12595" width="10.7109375" style="231" customWidth="1"/>
    <col min="12596" max="12597" width="10.7109375" style="231"/>
    <col min="12598" max="12598" width="10.7109375" style="231" customWidth="1"/>
    <col min="12599" max="12599" width="10.7109375" style="231"/>
    <col min="12600" max="12600" width="10.7109375" style="231" customWidth="1"/>
    <col min="12601" max="12601" width="10.7109375" style="231"/>
    <col min="12602" max="12604" width="10.7109375" style="231" customWidth="1"/>
    <col min="12605" max="12606" width="10.7109375" style="231"/>
    <col min="12607" max="12607" width="10.7109375" style="231" customWidth="1"/>
    <col min="12608" max="12622" width="10.7109375" style="231"/>
    <col min="12623" max="12623" width="10.7109375" style="231" customWidth="1"/>
    <col min="12624" max="12626" width="10.7109375" style="231"/>
    <col min="12627" max="12627" width="10.7109375" style="231" customWidth="1"/>
    <col min="12628" max="12633" width="10.7109375" style="231"/>
    <col min="12634" max="12636" width="10.7109375" style="231" customWidth="1"/>
    <col min="12637" max="12637" width="10.7109375" style="231"/>
    <col min="12638" max="12639" width="10.7109375" style="231" customWidth="1"/>
    <col min="12640" max="12640" width="10.7109375" style="231"/>
    <col min="12641" max="12642" width="10.7109375" style="231" customWidth="1"/>
    <col min="12643" max="12643" width="10.7109375" style="231"/>
    <col min="12644" max="12646" width="10.7109375" style="231" customWidth="1"/>
    <col min="12647" max="12650" width="10.7109375" style="231"/>
    <col min="12651" max="12651" width="10.7109375" style="231" customWidth="1"/>
    <col min="12652" max="12653" width="10.7109375" style="231"/>
    <col min="12654" max="12655" width="10.7109375" style="231" customWidth="1"/>
    <col min="12656" max="12657" width="10.7109375" style="231"/>
    <col min="12658" max="12660" width="10.7109375" style="231" customWidth="1"/>
    <col min="12661" max="12662" width="10.7109375" style="231"/>
    <col min="12663" max="12663" width="10.7109375" style="231" customWidth="1"/>
    <col min="12664" max="12666" width="10.7109375" style="231"/>
    <col min="12667" max="12667" width="10.7109375" style="231" customWidth="1"/>
    <col min="12668" max="12668" width="10.7109375" style="231"/>
    <col min="12669" max="12669" width="10.7109375" style="231" customWidth="1"/>
    <col min="12670" max="12671" width="10.7109375" style="231"/>
    <col min="12672" max="12673" width="10.7109375" style="231" customWidth="1"/>
    <col min="12674" max="12674" width="10.7109375" style="231"/>
    <col min="12675" max="12676" width="10.7109375" style="231" customWidth="1"/>
    <col min="12677" max="12677" width="10.7109375" style="231"/>
    <col min="12678" max="12681" width="10.7109375" style="231" customWidth="1"/>
    <col min="12682" max="12682" width="10.7109375" style="231"/>
    <col min="12683" max="12684" width="10.7109375" style="231" customWidth="1"/>
    <col min="12685" max="12685" width="10.7109375" style="231"/>
    <col min="12686" max="12692" width="10.7109375" style="231" customWidth="1"/>
    <col min="12693" max="12695" width="10.7109375" style="231"/>
    <col min="12696" max="12696" width="10.7109375" style="231" customWidth="1"/>
    <col min="12697" max="12697" width="10.7109375" style="231"/>
    <col min="12698" max="12700" width="10.7109375" style="231" customWidth="1"/>
    <col min="12701" max="12702" width="10.7109375" style="231"/>
    <col min="12703" max="12703" width="10.7109375" style="231" customWidth="1"/>
    <col min="12704" max="12718" width="10.7109375" style="231"/>
    <col min="12719" max="12719" width="10.7109375" style="231" customWidth="1"/>
    <col min="12720" max="12722" width="10.7109375" style="231"/>
    <col min="12723" max="12754" width="10.7109375" style="231" customWidth="1"/>
    <col min="12755" max="12755" width="10.7109375" style="231"/>
    <col min="12756" max="12757" width="10.7109375" style="231" customWidth="1"/>
    <col min="12758" max="12760" width="10.7109375" style="231"/>
    <col min="12761" max="12761" width="10.7109375" style="231" customWidth="1"/>
    <col min="12762" max="12763" width="10.7109375" style="231"/>
    <col min="12764" max="12765" width="10.7109375" style="231" customWidth="1"/>
    <col min="12766" max="12768" width="10.7109375" style="231"/>
    <col min="12769" max="12769" width="10.7109375" style="231" customWidth="1"/>
    <col min="12770" max="12771" width="10.7109375" style="231"/>
    <col min="12772" max="12772" width="10.7109375" style="231" customWidth="1"/>
    <col min="12773" max="12773" width="10.7109375" style="231"/>
    <col min="12774" max="12776" width="10.7109375" style="231" customWidth="1"/>
    <col min="12777" max="12777" width="10.7109375" style="231"/>
    <col min="12778" max="12781" width="10.7109375" style="231" customWidth="1"/>
    <col min="12782" max="12782" width="10.7109375" style="231"/>
    <col min="12783" max="12783" width="10.7109375" style="231" customWidth="1"/>
    <col min="12784" max="12784" width="10.7109375" style="231"/>
    <col min="12785" max="12786" width="10.7109375" style="231" customWidth="1"/>
    <col min="12787" max="12789" width="10.7109375" style="231"/>
    <col min="12790" max="12791" width="10.7109375" style="231" customWidth="1"/>
    <col min="12792" max="12792" width="10.7109375" style="231"/>
    <col min="12793" max="12793" width="10.7109375" style="231" customWidth="1"/>
    <col min="12794" max="12794" width="10.7109375" style="231"/>
    <col min="12795" max="12798" width="10.7109375" style="231" customWidth="1"/>
    <col min="12799" max="12800" width="10.7109375" style="231"/>
    <col min="12801" max="12801" width="10.7109375" style="231" customWidth="1"/>
    <col min="12802" max="12803" width="10.7109375" style="231"/>
    <col min="12804" max="12804" width="10.7109375" style="231" customWidth="1"/>
    <col min="12805" max="12805" width="10.7109375" style="231"/>
    <col min="12806" max="12808" width="10.7109375" style="231" customWidth="1"/>
    <col min="12809" max="12809" width="10.7109375" style="231"/>
    <col min="12810" max="12813" width="10.7109375" style="231" customWidth="1"/>
    <col min="12814" max="12814" width="10.7109375" style="231"/>
    <col min="12815" max="12815" width="10.7109375" style="231" customWidth="1"/>
    <col min="12816" max="12816" width="10.7109375" style="231"/>
    <col min="12817" max="12851" width="10.7109375" style="231" customWidth="1"/>
    <col min="12852" max="12854" width="10.7109375" style="231"/>
    <col min="12855" max="12860" width="10.7109375" style="231" customWidth="1"/>
    <col min="12861" max="12861" width="10.7109375" style="231"/>
    <col min="12862" max="12862" width="10.7109375" style="231" customWidth="1"/>
    <col min="12863" max="12865" width="10.7109375" style="231"/>
    <col min="12866" max="12866" width="10.7109375" style="231" customWidth="1"/>
    <col min="12867" max="12867" width="10.7109375" style="231"/>
    <col min="12868" max="12868" width="10.7109375" style="231" customWidth="1"/>
    <col min="12869" max="12869" width="10.7109375" style="231"/>
    <col min="12870" max="12870" width="10.7109375" style="231" customWidth="1"/>
    <col min="12871" max="12871" width="10.7109375" style="231"/>
    <col min="12872" max="12877" width="10.7109375" style="231" customWidth="1"/>
    <col min="12878" max="12878" width="10.7109375" style="231"/>
    <col min="12879" max="12879" width="10.7109375" style="231" customWidth="1"/>
    <col min="12880" max="12880" width="10.7109375" style="231"/>
    <col min="12881" max="12948" width="10.7109375" style="231" customWidth="1"/>
    <col min="12949" max="12949" width="10.7109375" style="231"/>
    <col min="12950" max="12950" width="10.7109375" style="231" customWidth="1"/>
    <col min="12951" max="12951" width="10.7109375" style="231"/>
    <col min="12952" max="12952" width="10.7109375" style="231" customWidth="1"/>
    <col min="12953" max="12953" width="10.7109375" style="231"/>
    <col min="12954" max="12956" width="10.7109375" style="231" customWidth="1"/>
    <col min="12957" max="12958" width="10.7109375" style="231"/>
    <col min="12959" max="12959" width="10.7109375" style="231" customWidth="1"/>
    <col min="12960" max="12974" width="10.7109375" style="231"/>
    <col min="12975" max="12975" width="10.7109375" style="231" customWidth="1"/>
    <col min="12976" max="12977" width="10.7109375" style="231"/>
    <col min="12978" max="12980" width="10.7109375" style="231" customWidth="1"/>
    <col min="12981" max="12982" width="10.7109375" style="231"/>
    <col min="12983" max="12983" width="10.7109375" style="231" customWidth="1"/>
    <col min="12984" max="12984" width="10.7109375" style="231"/>
    <col min="12985" max="12986" width="10.7109375" style="231" customWidth="1"/>
    <col min="12987" max="12988" width="10.7109375" style="231"/>
    <col min="12989" max="12991" width="10.7109375" style="231" customWidth="1"/>
    <col min="12992" max="12992" width="10.7109375" style="231"/>
    <col min="12993" max="12994" width="10.7109375" style="231" customWidth="1"/>
    <col min="12995" max="12995" width="10.7109375" style="231"/>
    <col min="12996" max="12998" width="10.7109375" style="231" customWidth="1"/>
    <col min="12999" max="13002" width="10.7109375" style="231"/>
    <col min="13003" max="13003" width="10.7109375" style="231" customWidth="1"/>
    <col min="13004" max="13005" width="10.7109375" style="231"/>
    <col min="13006" max="13007" width="10.7109375" style="231" customWidth="1"/>
    <col min="13008" max="13008" width="10.7109375" style="231"/>
    <col min="13009" max="13010" width="10.7109375" style="231" customWidth="1"/>
    <col min="13011" max="13011" width="10.7109375" style="231"/>
    <col min="13012" max="13013" width="10.7109375" style="231" customWidth="1"/>
    <col min="13014" max="13016" width="10.7109375" style="231"/>
    <col min="13017" max="13017" width="10.7109375" style="231" customWidth="1"/>
    <col min="13018" max="13019" width="10.7109375" style="231"/>
    <col min="13020" max="13021" width="10.7109375" style="231" customWidth="1"/>
    <col min="13022" max="13024" width="10.7109375" style="231"/>
    <col min="13025" max="13025" width="10.7109375" style="231" customWidth="1"/>
    <col min="13026" max="13027" width="10.7109375" style="231"/>
    <col min="13028" max="13028" width="10.7109375" style="231" customWidth="1"/>
    <col min="13029" max="13029" width="10.7109375" style="231"/>
    <col min="13030" max="13032" width="10.7109375" style="231" customWidth="1"/>
    <col min="13033" max="13033" width="10.7109375" style="231"/>
    <col min="13034" max="13037" width="10.7109375" style="231" customWidth="1"/>
    <col min="13038" max="13038" width="10.7109375" style="231"/>
    <col min="13039" max="13039" width="10.7109375" style="231" customWidth="1"/>
    <col min="13040" max="13040" width="10.7109375" style="231"/>
    <col min="13041" max="13107" width="10.7109375" style="231" customWidth="1"/>
    <col min="13108" max="13110" width="10.7109375" style="231"/>
    <col min="13111" max="13116" width="10.7109375" style="231" customWidth="1"/>
    <col min="13117" max="13117" width="10.7109375" style="231"/>
    <col min="13118" max="13118" width="10.7109375" style="231" customWidth="1"/>
    <col min="13119" max="13121" width="10.7109375" style="231"/>
    <col min="13122" max="13122" width="10.7109375" style="231" customWidth="1"/>
    <col min="13123" max="13123" width="10.7109375" style="231"/>
    <col min="13124" max="13124" width="10.7109375" style="231" customWidth="1"/>
    <col min="13125" max="13125" width="10.7109375" style="231"/>
    <col min="13126" max="13126" width="10.7109375" style="231" customWidth="1"/>
    <col min="13127" max="13127" width="10.7109375" style="231"/>
    <col min="13128" max="13133" width="10.7109375" style="231" customWidth="1"/>
    <col min="13134" max="13134" width="10.7109375" style="231"/>
    <col min="13135" max="13135" width="10.7109375" style="231" customWidth="1"/>
    <col min="13136" max="13136" width="10.7109375" style="231"/>
    <col min="13137" max="13204" width="10.7109375" style="231" customWidth="1"/>
    <col min="13205" max="13207" width="10.7109375" style="231"/>
    <col min="13208" max="13208" width="10.7109375" style="231" customWidth="1"/>
    <col min="13209" max="13209" width="10.7109375" style="231"/>
    <col min="13210" max="13212" width="10.7109375" style="231" customWidth="1"/>
    <col min="13213" max="13214" width="10.7109375" style="231"/>
    <col min="13215" max="13215" width="10.7109375" style="231" customWidth="1"/>
    <col min="13216" max="13230" width="10.7109375" style="231"/>
    <col min="13231" max="13231" width="10.7109375" style="231" customWidth="1"/>
    <col min="13232" max="13233" width="10.7109375" style="231"/>
    <col min="13234" max="13236" width="10.7109375" style="231" customWidth="1"/>
    <col min="13237" max="13238" width="10.7109375" style="231"/>
    <col min="13239" max="13239" width="10.7109375" style="231" customWidth="1"/>
    <col min="13240" max="13240" width="10.7109375" style="231"/>
    <col min="13241" max="13242" width="10.7109375" style="231" customWidth="1"/>
    <col min="13243" max="13244" width="10.7109375" style="231"/>
    <col min="13245" max="13247" width="10.7109375" style="231" customWidth="1"/>
    <col min="13248" max="13248" width="10.7109375" style="231"/>
    <col min="13249" max="13250" width="10.7109375" style="231" customWidth="1"/>
    <col min="13251" max="13251" width="10.7109375" style="231"/>
    <col min="13252" max="13254" width="10.7109375" style="231" customWidth="1"/>
    <col min="13255" max="13258" width="10.7109375" style="231"/>
    <col min="13259" max="13259" width="10.7109375" style="231" customWidth="1"/>
    <col min="13260" max="13261" width="10.7109375" style="231"/>
    <col min="13262" max="13263" width="10.7109375" style="231" customWidth="1"/>
    <col min="13264" max="13264" width="10.7109375" style="231"/>
    <col min="13265" max="13272" width="10.7109375" style="231" customWidth="1"/>
    <col min="13273" max="13273" width="10.7109375" style="231"/>
    <col min="13274" max="13274" width="10.7109375" style="231" customWidth="1"/>
    <col min="13275" max="13275" width="10.7109375" style="231"/>
    <col min="13276" max="13280" width="10.7109375" style="231" customWidth="1"/>
    <col min="13281" max="13281" width="10.7109375" style="231"/>
    <col min="13282" max="13282" width="10.7109375" style="231" customWidth="1"/>
    <col min="13283" max="13285" width="10.7109375" style="231"/>
    <col min="13286" max="13290" width="10.7109375" style="231" customWidth="1"/>
    <col min="13291" max="13291" width="10.7109375" style="231"/>
    <col min="13292" max="13363" width="10.7109375" style="231" customWidth="1"/>
    <col min="13364" max="13364" width="10.7109375" style="231"/>
    <col min="13365" max="13366" width="10.7109375" style="231" customWidth="1"/>
    <col min="13367" max="13369" width="10.7109375" style="231"/>
    <col min="13370" max="13370" width="10.7109375" style="231" customWidth="1"/>
    <col min="13371" max="13372" width="10.7109375" style="231"/>
    <col min="13373" max="13373" width="10.7109375" style="231" customWidth="1"/>
    <col min="13374" max="13374" width="10.7109375" style="231"/>
    <col min="13375" max="13375" width="10.7109375" style="231" customWidth="1"/>
    <col min="13376" max="13390" width="10.7109375" style="231"/>
    <col min="13391" max="13391" width="10.7109375" style="231" customWidth="1"/>
    <col min="13392" max="13392" width="10.7109375" style="231"/>
    <col min="13393" max="13395" width="10.7109375" style="231" customWidth="1"/>
    <col min="13396" max="13396" width="10.7109375" style="231"/>
    <col min="13397" max="13399" width="10.7109375" style="231" customWidth="1"/>
    <col min="13400" max="13400" width="10.7109375" style="231"/>
    <col min="13401" max="13404" width="10.7109375" style="231" customWidth="1"/>
    <col min="13405" max="13407" width="10.7109375" style="231"/>
    <col min="13408" max="13408" width="10.7109375" style="231" customWidth="1"/>
    <col min="13409" max="13411" width="10.7109375" style="231"/>
    <col min="13412" max="13413" width="10.7109375" style="231" customWidth="1"/>
    <col min="13414" max="13414" width="10.7109375" style="231"/>
    <col min="13415" max="13417" width="10.7109375" style="231" customWidth="1"/>
    <col min="13418" max="13418" width="10.7109375" style="231"/>
    <col min="13419" max="13419" width="10.7109375" style="231" customWidth="1"/>
    <col min="13420" max="13421" width="10.7109375" style="231"/>
    <col min="13422" max="13423" width="10.7109375" style="231" customWidth="1"/>
    <col min="13424" max="13424" width="10.7109375" style="231"/>
    <col min="13425" max="13432" width="10.7109375" style="231" customWidth="1"/>
    <col min="13433" max="13433" width="10.7109375" style="231"/>
    <col min="13434" max="13434" width="10.7109375" style="231" customWidth="1"/>
    <col min="13435" max="13435" width="10.7109375" style="231"/>
    <col min="13436" max="13440" width="10.7109375" style="231" customWidth="1"/>
    <col min="13441" max="13441" width="10.7109375" style="231"/>
    <col min="13442" max="13442" width="10.7109375" style="231" customWidth="1"/>
    <col min="13443" max="13445" width="10.7109375" style="231"/>
    <col min="13446" max="13450" width="10.7109375" style="231" customWidth="1"/>
    <col min="13451" max="13451" width="10.7109375" style="231"/>
    <col min="13452" max="13457" width="10.7109375" style="231" customWidth="1"/>
    <col min="13458" max="13458" width="10.7109375" style="231"/>
    <col min="13459" max="13491" width="10.7109375" style="231" customWidth="1"/>
    <col min="13492" max="13492" width="10.7109375" style="231"/>
    <col min="13493" max="13495" width="10.7109375" style="231" customWidth="1"/>
    <col min="13496" max="13497" width="10.7109375" style="231"/>
    <col min="13498" max="13498" width="10.7109375" style="231" customWidth="1"/>
    <col min="13499" max="13500" width="10.7109375" style="231"/>
    <col min="13501" max="13501" width="10.7109375" style="231" customWidth="1"/>
    <col min="13502" max="13502" width="10.7109375" style="231"/>
    <col min="13503" max="13503" width="10.7109375" style="231" customWidth="1"/>
    <col min="13504" max="13518" width="10.7109375" style="231"/>
    <col min="13519" max="13519" width="10.7109375" style="231" customWidth="1"/>
    <col min="13520" max="13520" width="10.7109375" style="231"/>
    <col min="13521" max="13522" width="10.7109375" style="231" customWidth="1"/>
    <col min="13523" max="13524" width="10.7109375" style="231"/>
    <col min="13525" max="13527" width="10.7109375" style="231" customWidth="1"/>
    <col min="13528" max="13530" width="10.7109375" style="231"/>
    <col min="13531" max="13534" width="10.7109375" style="231" customWidth="1"/>
    <col min="13535" max="13535" width="10.7109375" style="231"/>
    <col min="13536" max="13536" width="10.7109375" style="231" customWidth="1"/>
    <col min="13537" max="13539" width="10.7109375" style="231"/>
    <col min="13540" max="13541" width="10.7109375" style="231" customWidth="1"/>
    <col min="13542" max="13542" width="10.7109375" style="231"/>
    <col min="13543" max="13545" width="10.7109375" style="231" customWidth="1"/>
    <col min="13546" max="13546" width="10.7109375" style="231"/>
    <col min="13547" max="13547" width="10.7109375" style="231" customWidth="1"/>
    <col min="13548" max="13549" width="10.7109375" style="231"/>
    <col min="13550" max="13551" width="10.7109375" style="231" customWidth="1"/>
    <col min="13552" max="13556" width="10.7109375" style="231"/>
    <col min="13557" max="13557" width="10.7109375" style="231" customWidth="1"/>
    <col min="13558" max="13558" width="10.7109375" style="231"/>
    <col min="13559" max="13568" width="10.7109375" style="231" customWidth="1"/>
    <col min="13569" max="13582" width="10.7109375" style="231"/>
    <col min="13583" max="13583" width="10.7109375" style="231" customWidth="1"/>
    <col min="13584" max="13584" width="10.7109375" style="231"/>
    <col min="13585" max="13585" width="10.7109375" style="231" customWidth="1"/>
    <col min="13586" max="13616" width="10.7109375" style="231"/>
    <col min="13617" max="13617" width="10.7109375" style="231" customWidth="1"/>
    <col min="13618" max="13618" width="10.7109375" style="231"/>
    <col min="13619" max="13680" width="10.7109375" style="231" customWidth="1"/>
    <col min="13681" max="13683" width="10.7109375" style="231"/>
    <col min="13684" max="13724" width="10.7109375" style="231" customWidth="1"/>
    <col min="13725" max="13725" width="10.7109375" style="231"/>
    <col min="13726" max="13726" width="10.7109375" style="231" customWidth="1"/>
    <col min="13727" max="13728" width="10.7109375" style="231"/>
    <col min="13729" max="13730" width="10.7109375" style="231" customWidth="1"/>
    <col min="13731" max="13733" width="10.7109375" style="231"/>
    <col min="13734" max="13738" width="10.7109375" style="231" customWidth="1"/>
    <col min="13739" max="13739" width="10.7109375" style="231"/>
    <col min="13740" max="13752" width="10.7109375" style="231" customWidth="1"/>
    <col min="13753" max="13753" width="10.7109375" style="231"/>
    <col min="13754" max="13754" width="10.7109375" style="231" customWidth="1"/>
    <col min="13755" max="13755" width="10.7109375" style="231"/>
    <col min="13756" max="13760" width="10.7109375" style="231" customWidth="1"/>
    <col min="13761" max="13761" width="10.7109375" style="231"/>
    <col min="13762" max="13762" width="10.7109375" style="231" customWidth="1"/>
    <col min="13763" max="13765" width="10.7109375" style="231"/>
    <col min="13766" max="13770" width="10.7109375" style="231" customWidth="1"/>
    <col min="13771" max="13771" width="10.7109375" style="231"/>
    <col min="13772" max="13784" width="10.7109375" style="231" customWidth="1"/>
    <col min="13785" max="13785" width="10.7109375" style="231"/>
    <col min="13786" max="13786" width="10.7109375" style="231" customWidth="1"/>
    <col min="13787" max="13787" width="10.7109375" style="231"/>
    <col min="13788" max="13792" width="10.7109375" style="231" customWidth="1"/>
    <col min="13793" max="13793" width="10.7109375" style="231"/>
    <col min="13794" max="13794" width="10.7109375" style="231" customWidth="1"/>
    <col min="13795" max="13797" width="10.7109375" style="231"/>
    <col min="13798" max="13802" width="10.7109375" style="231" customWidth="1"/>
    <col min="13803" max="13803" width="10.7109375" style="231"/>
    <col min="13804" max="13816" width="10.7109375" style="231" customWidth="1"/>
    <col min="13817" max="13817" width="10.7109375" style="231"/>
    <col min="13818" max="13818" width="10.7109375" style="231" customWidth="1"/>
    <col min="13819" max="13819" width="10.7109375" style="231"/>
    <col min="13820" max="13824" width="10.7109375" style="231" customWidth="1"/>
    <col min="13825" max="13825" width="10.7109375" style="231"/>
    <col min="13826" max="13826" width="10.7109375" style="231" customWidth="1"/>
    <col min="13827" max="13829" width="10.7109375" style="231"/>
    <col min="13830" max="13834" width="10.7109375" style="231" customWidth="1"/>
    <col min="13835" max="13835" width="10.7109375" style="231"/>
    <col min="13836" max="13852" width="10.7109375" style="231" customWidth="1"/>
    <col min="13853" max="13853" width="10.7109375" style="231"/>
    <col min="13854" max="13854" width="10.7109375" style="231" customWidth="1"/>
    <col min="13855" max="13856" width="10.7109375" style="231"/>
    <col min="13857" max="13858" width="10.7109375" style="231" customWidth="1"/>
    <col min="13859" max="13861" width="10.7109375" style="231"/>
    <col min="13862" max="13866" width="10.7109375" style="231" customWidth="1"/>
    <col min="13867" max="13867" width="10.7109375" style="231"/>
    <col min="13868" max="13875" width="10.7109375" style="231" customWidth="1"/>
    <col min="13876" max="13876" width="10.7109375" style="231"/>
    <col min="13877" max="13881" width="10.7109375" style="231" customWidth="1"/>
    <col min="13882" max="13884" width="10.7109375" style="231"/>
    <col min="13885" max="13885" width="10.7109375" style="231" customWidth="1"/>
    <col min="13886" max="13886" width="10.7109375" style="231"/>
    <col min="13887" max="13887" width="10.7109375" style="231" customWidth="1"/>
    <col min="13888" max="13902" width="10.7109375" style="231"/>
    <col min="13903" max="13903" width="10.7109375" style="231" customWidth="1"/>
    <col min="13904" max="13904" width="10.7109375" style="231"/>
    <col min="13905" max="13907" width="10.7109375" style="231" customWidth="1"/>
    <col min="13908" max="13908" width="10.7109375" style="231"/>
    <col min="13909" max="13911" width="10.7109375" style="231" customWidth="1"/>
    <col min="13912" max="13912" width="10.7109375" style="231"/>
    <col min="13913" max="13916" width="10.7109375" style="231" customWidth="1"/>
    <col min="13917" max="13919" width="10.7109375" style="231"/>
    <col min="13920" max="13920" width="10.7109375" style="231" customWidth="1"/>
    <col min="13921" max="13923" width="10.7109375" style="231"/>
    <col min="13924" max="13925" width="10.7109375" style="231" customWidth="1"/>
    <col min="13926" max="13926" width="10.7109375" style="231"/>
    <col min="13927" max="13929" width="10.7109375" style="231" customWidth="1"/>
    <col min="13930" max="13930" width="10.7109375" style="231"/>
    <col min="13931" max="13931" width="10.7109375" style="231" customWidth="1"/>
    <col min="13932" max="13933" width="10.7109375" style="231"/>
    <col min="13934" max="13935" width="10.7109375" style="231" customWidth="1"/>
    <col min="13936" max="13936" width="10.7109375" style="231"/>
    <col min="13937" max="13944" width="10.7109375" style="231" customWidth="1"/>
    <col min="13945" max="13945" width="10.7109375" style="231"/>
    <col min="13946" max="13946" width="10.7109375" style="231" customWidth="1"/>
    <col min="13947" max="13947" width="10.7109375" style="231"/>
    <col min="13948" max="13952" width="10.7109375" style="231" customWidth="1"/>
    <col min="13953" max="13953" width="10.7109375" style="231"/>
    <col min="13954" max="13954" width="10.7109375" style="231" customWidth="1"/>
    <col min="13955" max="13957" width="10.7109375" style="231"/>
    <col min="13958" max="13962" width="10.7109375" style="231" customWidth="1"/>
    <col min="13963" max="13963" width="10.7109375" style="231"/>
    <col min="13964" max="13971" width="10.7109375" style="231" customWidth="1"/>
    <col min="13972" max="13972" width="10.7109375" style="231"/>
    <col min="13973" max="14005" width="10.7109375" style="231" customWidth="1"/>
    <col min="14006" max="14006" width="10.7109375" style="231"/>
    <col min="14007" max="14037" width="10.7109375" style="231" customWidth="1"/>
    <col min="14038" max="14039" width="10.7109375" style="231"/>
    <col min="14040" max="14040" width="10.7109375" style="231" customWidth="1"/>
    <col min="14041" max="14041" width="10.7109375" style="231"/>
    <col min="14042" max="14042" width="10.7109375" style="231" customWidth="1"/>
    <col min="14043" max="14043" width="10.7109375" style="231"/>
    <col min="14044" max="14044" width="10.7109375" style="231" customWidth="1"/>
    <col min="14045" max="14046" width="10.7109375" style="231"/>
    <col min="14047" max="14048" width="10.7109375" style="231" customWidth="1"/>
    <col min="14049" max="14049" width="10.7109375" style="231"/>
    <col min="14050" max="14051" width="10.7109375" style="231" customWidth="1"/>
    <col min="14052" max="14054" width="10.7109375" style="231"/>
    <col min="14055" max="14056" width="10.7109375" style="231" customWidth="1"/>
    <col min="14057" max="14057" width="10.7109375" style="231"/>
    <col min="14058" max="14060" width="10.7109375" style="231" customWidth="1"/>
    <col min="14061" max="14061" width="10.7109375" style="231"/>
    <col min="14062" max="14068" width="10.7109375" style="231" customWidth="1"/>
    <col min="14069" max="14070" width="10.7109375" style="231"/>
    <col min="14071" max="14071" width="10.7109375" style="231" customWidth="1"/>
    <col min="14072" max="14072" width="10.7109375" style="231"/>
    <col min="14073" max="14073" width="10.7109375" style="231" customWidth="1"/>
    <col min="14074" max="14074" width="10.7109375" style="231"/>
    <col min="14075" max="14076" width="10.7109375" style="231" customWidth="1"/>
    <col min="14077" max="14077" width="10.7109375" style="231"/>
    <col min="14078" max="14078" width="10.7109375" style="231" customWidth="1"/>
    <col min="14079" max="14080" width="10.7109375" style="231"/>
    <col min="14081" max="14081" width="10.7109375" style="231" customWidth="1"/>
    <col min="14082" max="14084" width="10.7109375" style="231"/>
    <col min="14085" max="14101" width="10.7109375" style="231" customWidth="1"/>
    <col min="14102" max="14103" width="10.7109375" style="231"/>
    <col min="14104" max="14104" width="10.7109375" style="231" customWidth="1"/>
    <col min="14105" max="14105" width="10.7109375" style="231"/>
    <col min="14106" max="14106" width="10.7109375" style="231" customWidth="1"/>
    <col min="14107" max="14107" width="10.7109375" style="231"/>
    <col min="14108" max="14108" width="10.7109375" style="231" customWidth="1"/>
    <col min="14109" max="14110" width="10.7109375" style="231"/>
    <col min="14111" max="14112" width="10.7109375" style="231" customWidth="1"/>
    <col min="14113" max="14113" width="10.7109375" style="231"/>
    <col min="14114" max="14115" width="10.7109375" style="231" customWidth="1"/>
    <col min="14116" max="14118" width="10.7109375" style="231"/>
    <col min="14119" max="14120" width="10.7109375" style="231" customWidth="1"/>
    <col min="14121" max="14121" width="10.7109375" style="231"/>
    <col min="14122" max="14124" width="10.7109375" style="231" customWidth="1"/>
    <col min="14125" max="14125" width="10.7109375" style="231"/>
    <col min="14126" max="14148" width="10.7109375" style="231" customWidth="1"/>
    <col min="14149" max="14150" width="10.7109375" style="231"/>
    <col min="14151" max="14152" width="10.7109375" style="231" customWidth="1"/>
    <col min="14153" max="14153" width="10.7109375" style="231"/>
    <col min="14154" max="14156" width="10.7109375" style="231" customWidth="1"/>
    <col min="14157" max="14157" width="10.7109375" style="231"/>
    <col min="14158" max="14193" width="10.7109375" style="231" customWidth="1"/>
    <col min="14194" max="14194" width="10.7109375" style="231"/>
    <col min="14195" max="14232" width="10.7109375" style="231" customWidth="1"/>
    <col min="14233" max="14233" width="10.7109375" style="231"/>
    <col min="14234" max="14234" width="10.7109375" style="231" customWidth="1"/>
    <col min="14235" max="14235" width="10.7109375" style="231"/>
    <col min="14236" max="14240" width="10.7109375" style="231" customWidth="1"/>
    <col min="14241" max="14241" width="10.7109375" style="231"/>
    <col min="14242" max="14242" width="10.7109375" style="231" customWidth="1"/>
    <col min="14243" max="14245" width="10.7109375" style="231"/>
    <col min="14246" max="14250" width="10.7109375" style="231" customWidth="1"/>
    <col min="14251" max="14251" width="10.7109375" style="231"/>
    <col min="14252" max="14264" width="10.7109375" style="231" customWidth="1"/>
    <col min="14265" max="14265" width="10.7109375" style="231"/>
    <col min="14266" max="14266" width="10.7109375" style="231" customWidth="1"/>
    <col min="14267" max="14267" width="10.7109375" style="231"/>
    <col min="14268" max="14272" width="10.7109375" style="231" customWidth="1"/>
    <col min="14273" max="14273" width="10.7109375" style="231"/>
    <col min="14274" max="14274" width="10.7109375" style="231" customWidth="1"/>
    <col min="14275" max="14277" width="10.7109375" style="231"/>
    <col min="14278" max="14282" width="10.7109375" style="231" customWidth="1"/>
    <col min="14283" max="14283" width="10.7109375" style="231"/>
    <col min="14284" max="14293" width="10.7109375" style="231" customWidth="1"/>
    <col min="14294" max="14295" width="10.7109375" style="231"/>
    <col min="14296" max="14320" width="10.7109375" style="231" customWidth="1"/>
    <col min="14321" max="14321" width="10.7109375" style="231"/>
    <col min="14322" max="14325" width="10.7109375" style="231" customWidth="1"/>
    <col min="14326" max="14328" width="10.7109375" style="231"/>
    <col min="14329" max="14329" width="10.7109375" style="231" customWidth="1"/>
    <col min="14330" max="14332" width="10.7109375" style="231"/>
    <col min="14333" max="14379" width="10.7109375" style="231" customWidth="1"/>
    <col min="14380" max="14380" width="10.7109375" style="231"/>
    <col min="14381" max="14389" width="10.7109375" style="231" customWidth="1"/>
    <col min="14390" max="14392" width="10.7109375" style="231"/>
    <col min="14393" max="14393" width="10.7109375" style="231" customWidth="1"/>
    <col min="14394" max="14396" width="10.7109375" style="231"/>
    <col min="14397" max="14436" width="10.7109375" style="231" customWidth="1"/>
    <col min="14437" max="14438" width="10.7109375" style="231"/>
    <col min="14439" max="14440" width="10.7109375" style="231" customWidth="1"/>
    <col min="14441" max="14441" width="10.7109375" style="231"/>
    <col min="14442" max="14444" width="10.7109375" style="231" customWidth="1"/>
    <col min="14445" max="14445" width="10.7109375" style="231"/>
    <col min="14446" max="14452" width="10.7109375" style="231" customWidth="1"/>
    <col min="14453" max="14454" width="10.7109375" style="231"/>
    <col min="14455" max="14455" width="10.7109375" style="231" customWidth="1"/>
    <col min="14456" max="14457" width="10.7109375" style="231"/>
    <col min="14458" max="14461" width="10.7109375" style="231" customWidth="1"/>
    <col min="14462" max="14464" width="10.7109375" style="231"/>
    <col min="14465" max="14465" width="10.7109375" style="231" customWidth="1"/>
    <col min="14466" max="14470" width="10.7109375" style="231"/>
    <col min="14471" max="14472" width="10.7109375" style="231" customWidth="1"/>
    <col min="14473" max="14473" width="10.7109375" style="231"/>
    <col min="14474" max="14476" width="10.7109375" style="231" customWidth="1"/>
    <col min="14477" max="14477" width="10.7109375" style="231"/>
    <col min="14478" max="14487" width="10.7109375" style="231" customWidth="1"/>
    <col min="14488" max="14488" width="10.7109375" style="231"/>
    <col min="14489" max="14494" width="10.7109375" style="231" customWidth="1"/>
    <col min="14495" max="14502" width="10.7109375" style="231"/>
    <col min="14503" max="14504" width="10.7109375" style="231" customWidth="1"/>
    <col min="14505" max="14505" width="10.7109375" style="231"/>
    <col min="14506" max="14508" width="10.7109375" style="231" customWidth="1"/>
    <col min="14509" max="14509" width="10.7109375" style="231"/>
    <col min="14510" max="14517" width="10.7109375" style="231" customWidth="1"/>
    <col min="14518" max="14519" width="10.7109375" style="231"/>
    <col min="14520" max="14548" width="10.7109375" style="231" customWidth="1"/>
    <col min="14549" max="14549" width="10.7109375" style="231"/>
    <col min="14550" max="14550" width="10.7109375" style="231" customWidth="1"/>
    <col min="14551" max="14551" width="10.7109375" style="231"/>
    <col min="14552" max="14552" width="10.7109375" style="231" customWidth="1"/>
    <col min="14553" max="14553" width="10.7109375" style="231"/>
    <col min="14554" max="14557" width="10.7109375" style="231" customWidth="1"/>
    <col min="14558" max="14560" width="10.7109375" style="231"/>
    <col min="14561" max="14561" width="10.7109375" style="231" customWidth="1"/>
    <col min="14562" max="14566" width="10.7109375" style="231"/>
    <col min="14567" max="14568" width="10.7109375" style="231" customWidth="1"/>
    <col min="14569" max="14569" width="10.7109375" style="231"/>
    <col min="14570" max="14572" width="10.7109375" style="231" customWidth="1"/>
    <col min="14573" max="14573" width="10.7109375" style="231"/>
    <col min="14574" max="14580" width="10.7109375" style="231" customWidth="1"/>
    <col min="14581" max="14581" width="10.7109375" style="231"/>
    <col min="14582" max="14583" width="10.7109375" style="231" customWidth="1"/>
    <col min="14584" max="14584" width="10.7109375" style="231"/>
    <col min="14585" max="14585" width="10.7109375" style="231" customWidth="1"/>
    <col min="14586" max="14586" width="10.7109375" style="231"/>
    <col min="14587" max="14588" width="10.7109375" style="231" customWidth="1"/>
    <col min="14589" max="14589" width="10.7109375" style="231"/>
    <col min="14590" max="14590" width="10.7109375" style="231" customWidth="1"/>
    <col min="14591" max="14592" width="10.7109375" style="231"/>
    <col min="14593" max="14593" width="10.7109375" style="231" customWidth="1"/>
    <col min="14594" max="14596" width="10.7109375" style="231"/>
    <col min="14597" max="14612" width="10.7109375" style="231" customWidth="1"/>
    <col min="14613" max="14613" width="10.7109375" style="231"/>
    <col min="14614" max="14614" width="10.7109375" style="231" customWidth="1"/>
    <col min="14615" max="14615" width="10.7109375" style="231"/>
    <col min="14616" max="14616" width="10.7109375" style="231" customWidth="1"/>
    <col min="14617" max="14617" width="10.7109375" style="231"/>
    <col min="14618" max="14621" width="10.7109375" style="231" customWidth="1"/>
    <col min="14622" max="14624" width="10.7109375" style="231"/>
    <col min="14625" max="14625" width="10.7109375" style="231" customWidth="1"/>
    <col min="14626" max="14630" width="10.7109375" style="231"/>
    <col min="14631" max="14632" width="10.7109375" style="231" customWidth="1"/>
    <col min="14633" max="14633" width="10.7109375" style="231"/>
    <col min="14634" max="14636" width="10.7109375" style="231" customWidth="1"/>
    <col min="14637" max="14637" width="10.7109375" style="231"/>
    <col min="14638" max="14660" width="10.7109375" style="231" customWidth="1"/>
    <col min="14661" max="14662" width="10.7109375" style="231"/>
    <col min="14663" max="14664" width="10.7109375" style="231" customWidth="1"/>
    <col min="14665" max="14665" width="10.7109375" style="231"/>
    <col min="14666" max="14668" width="10.7109375" style="231" customWidth="1"/>
    <col min="14669" max="14669" width="10.7109375" style="231"/>
    <col min="14670" max="14707" width="10.7109375" style="231" customWidth="1"/>
    <col min="14708" max="14708" width="10.7109375" style="231"/>
    <col min="14709" max="14744" width="10.7109375" style="231" customWidth="1"/>
    <col min="14745" max="14745" width="10.7109375" style="231"/>
    <col min="14746" max="14746" width="10.7109375" style="231" customWidth="1"/>
    <col min="14747" max="14747" width="10.7109375" style="231"/>
    <col min="14748" max="14752" width="10.7109375" style="231" customWidth="1"/>
    <col min="14753" max="14753" width="10.7109375" style="231"/>
    <col min="14754" max="14754" width="10.7109375" style="231" customWidth="1"/>
    <col min="14755" max="14757" width="10.7109375" style="231"/>
    <col min="14758" max="14762" width="10.7109375" style="231" customWidth="1"/>
    <col min="14763" max="14763" width="10.7109375" style="231"/>
    <col min="14764" max="14776" width="10.7109375" style="231" customWidth="1"/>
    <col min="14777" max="14777" width="10.7109375" style="231"/>
    <col min="14778" max="14778" width="10.7109375" style="231" customWidth="1"/>
    <col min="14779" max="14779" width="10.7109375" style="231"/>
    <col min="14780" max="14784" width="10.7109375" style="231" customWidth="1"/>
    <col min="14785" max="14785" width="10.7109375" style="231"/>
    <col min="14786" max="14786" width="10.7109375" style="231" customWidth="1"/>
    <col min="14787" max="14789" width="10.7109375" style="231"/>
    <col min="14790" max="14794" width="10.7109375" style="231" customWidth="1"/>
    <col min="14795" max="14795" width="10.7109375" style="231"/>
    <col min="14796" max="14805" width="10.7109375" style="231" customWidth="1"/>
    <col min="14806" max="14807" width="10.7109375" style="231"/>
    <col min="14808" max="14833" width="10.7109375" style="231" customWidth="1"/>
    <col min="14834" max="14834" width="10.7109375" style="231"/>
    <col min="14835" max="14835" width="10.7109375" style="231" customWidth="1"/>
    <col min="14836" max="14836" width="10.7109375" style="231"/>
    <col min="14837" max="14839" width="10.7109375" style="231" customWidth="1"/>
    <col min="14840" max="14842" width="10.7109375" style="231"/>
    <col min="14843" max="14843" width="10.7109375" style="231" customWidth="1"/>
    <col min="14844" max="14845" width="10.7109375" style="231"/>
    <col min="14846" max="14846" width="10.7109375" style="231" customWidth="1"/>
    <col min="14847" max="14847" width="10.7109375" style="231"/>
    <col min="14848" max="14848" width="10.7109375" style="231" customWidth="1"/>
    <col min="14849" max="14851" width="10.7109375" style="231"/>
    <col min="14852" max="14853" width="10.7109375" style="231" customWidth="1"/>
    <col min="14854" max="14854" width="10.7109375" style="231"/>
    <col min="14855" max="14857" width="10.7109375" style="231" customWidth="1"/>
    <col min="14858" max="14858" width="10.7109375" style="231"/>
    <col min="14859" max="14859" width="10.7109375" style="231" customWidth="1"/>
    <col min="14860" max="14861" width="10.7109375" style="231"/>
    <col min="14862" max="14863" width="10.7109375" style="231" customWidth="1"/>
    <col min="14864" max="14864" width="10.7109375" style="231"/>
    <col min="14865" max="14876" width="10.7109375" style="231" customWidth="1"/>
    <col min="14877" max="14877" width="10.7109375" style="231"/>
    <col min="14878" max="14878" width="10.7109375" style="231" customWidth="1"/>
    <col min="14879" max="14880" width="10.7109375" style="231"/>
    <col min="14881" max="14882" width="10.7109375" style="231" customWidth="1"/>
    <col min="14883" max="14885" width="10.7109375" style="231"/>
    <col min="14886" max="14890" width="10.7109375" style="231" customWidth="1"/>
    <col min="14891" max="14891" width="10.7109375" style="231"/>
    <col min="14892" max="14899" width="10.7109375" style="231" customWidth="1"/>
    <col min="14900" max="14900" width="10.7109375" style="231"/>
    <col min="14901" max="14902" width="10.7109375" style="231" customWidth="1"/>
    <col min="14903" max="14903" width="10.7109375" style="231"/>
    <col min="14904" max="14905" width="10.7109375" style="231" customWidth="1"/>
    <col min="14906" max="14908" width="10.7109375" style="231"/>
    <col min="14909" max="14909" width="10.7109375" style="231" customWidth="1"/>
    <col min="14910" max="14910" width="10.7109375" style="231"/>
    <col min="14911" max="14911" width="10.7109375" style="231" customWidth="1"/>
    <col min="14912" max="14926" width="10.7109375" style="231"/>
    <col min="14927" max="14927" width="10.7109375" style="231" customWidth="1"/>
    <col min="14928" max="14929" width="10.7109375" style="231"/>
    <col min="14930" max="14931" width="10.7109375" style="231" customWidth="1"/>
    <col min="14932" max="14932" width="10.7109375" style="231"/>
    <col min="14933" max="14933" width="10.7109375" style="231" customWidth="1"/>
    <col min="14934" max="14934" width="10.7109375" style="231"/>
    <col min="14935" max="14935" width="10.7109375" style="231" customWidth="1"/>
    <col min="14936" max="14936" width="10.7109375" style="231"/>
    <col min="14937" max="14938" width="10.7109375" style="231" customWidth="1"/>
    <col min="14939" max="14941" width="10.7109375" style="231"/>
    <col min="14942" max="14942" width="10.7109375" style="231" customWidth="1"/>
    <col min="14943" max="14943" width="10.7109375" style="231"/>
    <col min="14944" max="14944" width="10.7109375" style="231" customWidth="1"/>
    <col min="14945" max="14947" width="10.7109375" style="231"/>
    <col min="14948" max="14949" width="10.7109375" style="231" customWidth="1"/>
    <col min="14950" max="14950" width="10.7109375" style="231"/>
    <col min="14951" max="14953" width="10.7109375" style="231" customWidth="1"/>
    <col min="14954" max="14954" width="10.7109375" style="231"/>
    <col min="14955" max="14955" width="10.7109375" style="231" customWidth="1"/>
    <col min="14956" max="14957" width="10.7109375" style="231"/>
    <col min="14958" max="14959" width="10.7109375" style="231" customWidth="1"/>
    <col min="14960" max="14960" width="10.7109375" style="231"/>
    <col min="14961" max="14972" width="10.7109375" style="231" customWidth="1"/>
    <col min="14973" max="14973" width="10.7109375" style="231"/>
    <col min="14974" max="14974" width="10.7109375" style="231" customWidth="1"/>
    <col min="14975" max="14976" width="10.7109375" style="231"/>
    <col min="14977" max="14978" width="10.7109375" style="231" customWidth="1"/>
    <col min="14979" max="14981" width="10.7109375" style="231"/>
    <col min="14982" max="14986" width="10.7109375" style="231" customWidth="1"/>
    <col min="14987" max="14987" width="10.7109375" style="231"/>
    <col min="14988" max="14996" width="10.7109375" style="231" customWidth="1"/>
    <col min="14997" max="14998" width="10.7109375" style="231"/>
    <col min="14999" max="14999" width="10.7109375" style="231" customWidth="1"/>
    <col min="15000" max="15001" width="10.7109375" style="231"/>
    <col min="15002" max="15004" width="10.7109375" style="231" customWidth="1"/>
    <col min="15005" max="15006" width="10.7109375" style="231"/>
    <col min="15007" max="15008" width="10.7109375" style="231" customWidth="1"/>
    <col min="15009" max="15009" width="10.7109375" style="231"/>
    <col min="15010" max="15010" width="10.7109375" style="231" customWidth="1"/>
    <col min="15011" max="15011" width="10.7109375" style="231"/>
    <col min="15012" max="15012" width="10.7109375" style="231" customWidth="1"/>
    <col min="15013" max="15014" width="10.7109375" style="231"/>
    <col min="15015" max="15018" width="10.7109375" style="231" customWidth="1"/>
    <col min="15019" max="15019" width="10.7109375" style="231"/>
    <col min="15020" max="15021" width="10.7109375" style="231" customWidth="1"/>
    <col min="15022" max="15023" width="10.7109375" style="231"/>
    <col min="15024" max="15029" width="10.7109375" style="231" customWidth="1"/>
    <col min="15030" max="15031" width="10.7109375" style="231"/>
    <col min="15032" max="15059" width="10.7109375" style="231" customWidth="1"/>
    <col min="15060" max="15061" width="10.7109375" style="231"/>
    <col min="15062" max="15063" width="10.7109375" style="231" customWidth="1"/>
    <col min="15064" max="15064" width="10.7109375" style="231"/>
    <col min="15065" max="15065" width="10.7109375" style="231" customWidth="1"/>
    <col min="15066" max="15066" width="10.7109375" style="231"/>
    <col min="15067" max="15068" width="10.7109375" style="231" customWidth="1"/>
    <col min="15069" max="15070" width="10.7109375" style="231"/>
    <col min="15071" max="15071" width="10.7109375" style="231" customWidth="1"/>
    <col min="15072" max="15072" width="10.7109375" style="231"/>
    <col min="15073" max="15073" width="10.7109375" style="231" customWidth="1"/>
    <col min="15074" max="15075" width="10.7109375" style="231"/>
    <col min="15076" max="15076" width="10.7109375" style="231" customWidth="1"/>
    <col min="15077" max="15077" width="10.7109375" style="231"/>
    <col min="15078" max="15080" width="10.7109375" style="231" customWidth="1"/>
    <col min="15081" max="15081" width="10.7109375" style="231"/>
    <col min="15082" max="15085" width="10.7109375" style="231" customWidth="1"/>
    <col min="15086" max="15086" width="10.7109375" style="231"/>
    <col min="15087" max="15087" width="10.7109375" style="231" customWidth="1"/>
    <col min="15088" max="15088" width="10.7109375" style="231"/>
    <col min="15089" max="15092" width="10.7109375" style="231" customWidth="1"/>
    <col min="15093" max="15094" width="10.7109375" style="231"/>
    <col min="15095" max="15095" width="10.7109375" style="231" customWidth="1"/>
    <col min="15096" max="15098" width="10.7109375" style="231"/>
    <col min="15099" max="15099" width="10.7109375" style="231" customWidth="1"/>
    <col min="15100" max="15100" width="10.7109375" style="231"/>
    <col min="15101" max="15101" width="10.7109375" style="231" customWidth="1"/>
    <col min="15102" max="15103" width="10.7109375" style="231"/>
    <col min="15104" max="15105" width="10.7109375" style="231" customWidth="1"/>
    <col min="15106" max="15106" width="10.7109375" style="231"/>
    <col min="15107" max="15108" width="10.7109375" style="231" customWidth="1"/>
    <col min="15109" max="15109" width="10.7109375" style="231"/>
    <col min="15110" max="15113" width="10.7109375" style="231" customWidth="1"/>
    <col min="15114" max="15114" width="10.7109375" style="231"/>
    <col min="15115" max="15116" width="10.7109375" style="231" customWidth="1"/>
    <col min="15117" max="15117" width="10.7109375" style="231"/>
    <col min="15118" max="15123" width="10.7109375" style="231" customWidth="1"/>
    <col min="15124" max="15129" width="10.7109375" style="231"/>
    <col min="15130" max="15130" width="10.7109375" style="231" customWidth="1"/>
    <col min="15131" max="15134" width="10.7109375" style="231"/>
    <col min="15135" max="15135" width="10.7109375" style="231" customWidth="1"/>
    <col min="15136" max="15139" width="10.7109375" style="231"/>
    <col min="15140" max="15141" width="10.7109375" style="231" customWidth="1"/>
    <col min="15142" max="15142" width="10.7109375" style="231"/>
    <col min="15143" max="15145" width="10.7109375" style="231" customWidth="1"/>
    <col min="15146" max="15146" width="10.7109375" style="231"/>
    <col min="15147" max="15147" width="10.7109375" style="231" customWidth="1"/>
    <col min="15148" max="15149" width="10.7109375" style="231"/>
    <col min="15150" max="15151" width="10.7109375" style="231" customWidth="1"/>
    <col min="15152" max="15152" width="10.7109375" style="231"/>
    <col min="15153" max="15155" width="10.7109375" style="231" customWidth="1"/>
    <col min="15156" max="15156" width="10.7109375" style="231"/>
    <col min="15157" max="15158" width="10.7109375" style="231" customWidth="1"/>
    <col min="15159" max="15159" width="10.7109375" style="231"/>
    <col min="15160" max="15161" width="10.7109375" style="231" customWidth="1"/>
    <col min="15162" max="15164" width="10.7109375" style="231"/>
    <col min="15165" max="15165" width="10.7109375" style="231" customWidth="1"/>
    <col min="15166" max="15166" width="10.7109375" style="231"/>
    <col min="15167" max="15167" width="10.7109375" style="231" customWidth="1"/>
    <col min="15168" max="15182" width="10.7109375" style="231"/>
    <col min="15183" max="15183" width="10.7109375" style="231" customWidth="1"/>
    <col min="15184" max="15184" width="10.7109375" style="231"/>
    <col min="15185" max="15185" width="10.7109375" style="231" customWidth="1"/>
    <col min="15186" max="15189" width="10.7109375" style="231"/>
    <col min="15190" max="15193" width="10.7109375" style="231" customWidth="1"/>
    <col min="15194" max="15198" width="10.7109375" style="231"/>
    <col min="15199" max="15199" width="10.7109375" style="231" customWidth="1"/>
    <col min="15200" max="15203" width="10.7109375" style="231"/>
    <col min="15204" max="15205" width="10.7109375" style="231" customWidth="1"/>
    <col min="15206" max="15206" width="10.7109375" style="231"/>
    <col min="15207" max="15209" width="10.7109375" style="231" customWidth="1"/>
    <col min="15210" max="15210" width="10.7109375" style="231"/>
    <col min="15211" max="15211" width="10.7109375" style="231" customWidth="1"/>
    <col min="15212" max="15213" width="10.7109375" style="231"/>
    <col min="15214" max="15215" width="10.7109375" style="231" customWidth="1"/>
    <col min="15216" max="15216" width="10.7109375" style="231"/>
    <col min="15217" max="15228" width="10.7109375" style="231" customWidth="1"/>
    <col min="15229" max="15229" width="10.7109375" style="231"/>
    <col min="15230" max="15230" width="10.7109375" style="231" customWidth="1"/>
    <col min="15231" max="15232" width="10.7109375" style="231"/>
    <col min="15233" max="15234" width="10.7109375" style="231" customWidth="1"/>
    <col min="15235" max="15237" width="10.7109375" style="231"/>
    <col min="15238" max="15242" width="10.7109375" style="231" customWidth="1"/>
    <col min="15243" max="15243" width="10.7109375" style="231"/>
    <col min="15244" max="15252" width="10.7109375" style="231" customWidth="1"/>
    <col min="15253" max="15254" width="10.7109375" style="231"/>
    <col min="15255" max="15255" width="10.7109375" style="231" customWidth="1"/>
    <col min="15256" max="15258" width="10.7109375" style="231"/>
    <col min="15259" max="15260" width="10.7109375" style="231" customWidth="1"/>
    <col min="15261" max="15262" width="10.7109375" style="231"/>
    <col min="15263" max="15266" width="10.7109375" style="231" customWidth="1"/>
    <col min="15267" max="15267" width="10.7109375" style="231"/>
    <col min="15268" max="15268" width="10.7109375" style="231" customWidth="1"/>
    <col min="15269" max="15270" width="10.7109375" style="231"/>
    <col min="15271" max="15272" width="10.7109375" style="231" customWidth="1"/>
    <col min="15273" max="15275" width="10.7109375" style="231"/>
    <col min="15276" max="15276" width="10.7109375" style="231" customWidth="1"/>
    <col min="15277" max="15278" width="10.7109375" style="231"/>
    <col min="15279" max="15283" width="10.7109375" style="231" customWidth="1"/>
    <col min="15284" max="15285" width="10.7109375" style="231"/>
    <col min="15286" max="15286" width="10.7109375" style="231" customWidth="1"/>
    <col min="15287" max="15287" width="10.7109375" style="231"/>
    <col min="15288" max="15289" width="10.7109375" style="231" customWidth="1"/>
    <col min="15290" max="15292" width="10.7109375" style="231"/>
    <col min="15293" max="15293" width="10.7109375" style="231" customWidth="1"/>
    <col min="15294" max="15294" width="10.7109375" style="231"/>
    <col min="15295" max="15295" width="10.7109375" style="231" customWidth="1"/>
    <col min="15296" max="15310" width="10.7109375" style="231"/>
    <col min="15311" max="15311" width="10.7109375" style="231" customWidth="1"/>
    <col min="15312" max="15313" width="10.7109375" style="231"/>
    <col min="15314" max="15314" width="10.7109375" style="231" customWidth="1"/>
    <col min="15315" max="15315" width="10.7109375" style="231"/>
    <col min="15316" max="15316" width="10.7109375" style="231" customWidth="1"/>
    <col min="15317" max="15317" width="10.7109375" style="231"/>
    <col min="15318" max="15318" width="10.7109375" style="231" customWidth="1"/>
    <col min="15319" max="15325" width="10.7109375" style="231"/>
    <col min="15326" max="15326" width="10.7109375" style="231" customWidth="1"/>
    <col min="15327" max="15329" width="10.7109375" style="231"/>
    <col min="15330" max="15334" width="10.7109375" style="231" customWidth="1"/>
    <col min="15335" max="15338" width="10.7109375" style="231"/>
    <col min="15339" max="15339" width="10.7109375" style="231" customWidth="1"/>
    <col min="15340" max="15341" width="10.7109375" style="231"/>
    <col min="15342" max="15343" width="10.7109375" style="231" customWidth="1"/>
    <col min="15344" max="15344" width="10.7109375" style="231"/>
    <col min="15345" max="15353" width="10.7109375" style="231" customWidth="1"/>
    <col min="15354" max="15354" width="10.7109375" style="231"/>
    <col min="15355" max="15370" width="10.7109375" style="231" customWidth="1"/>
    <col min="15371" max="15371" width="10.7109375" style="231"/>
    <col min="15372" max="15372" width="10.7109375" style="231" customWidth="1"/>
    <col min="15373" max="15373" width="10.7109375" style="231"/>
    <col min="15374" max="15374" width="10.7109375" style="231" customWidth="1"/>
    <col min="15375" max="15376" width="10.7109375" style="231"/>
    <col min="15377" max="15385" width="10.7109375" style="231" customWidth="1"/>
    <col min="15386" max="15386" width="10.7109375" style="231"/>
    <col min="15387" max="15400" width="10.7109375" style="231" customWidth="1"/>
    <col min="15401" max="15402" width="10.7109375" style="231"/>
    <col min="15403" max="15404" width="10.7109375" style="231" customWidth="1"/>
    <col min="15405" max="15405" width="10.7109375" style="231"/>
    <col min="15406" max="15406" width="10.7109375" style="231" customWidth="1"/>
    <col min="15407" max="15408" width="10.7109375" style="231"/>
    <col min="15409" max="15410" width="10.7109375" style="231" customWidth="1"/>
    <col min="15411" max="15411" width="10.7109375" style="231"/>
    <col min="15412" max="15415" width="10.7109375" style="231" customWidth="1"/>
    <col min="15416" max="15419" width="10.7109375" style="231"/>
    <col min="15420" max="15420" width="10.7109375" style="231" customWidth="1"/>
    <col min="15421" max="15423" width="10.7109375" style="231"/>
    <col min="15424" max="15424" width="10.7109375" style="231" customWidth="1"/>
    <col min="15425" max="15425" width="10.7109375" style="231"/>
    <col min="15426" max="15428" width="10.7109375" style="231" customWidth="1"/>
    <col min="15429" max="15429" width="10.7109375" style="231"/>
    <col min="15430" max="15430" width="10.7109375" style="231" customWidth="1"/>
    <col min="15431" max="15431" width="10.7109375" style="231"/>
    <col min="15432" max="15434" width="10.7109375" style="231" customWidth="1"/>
    <col min="15435" max="15435" width="10.7109375" style="231"/>
    <col min="15436" max="15440" width="10.7109375" style="231" customWidth="1"/>
    <col min="15441" max="15442" width="10.7109375" style="231"/>
    <col min="15443" max="15443" width="10.7109375" style="231" customWidth="1"/>
    <col min="15444" max="15449" width="10.7109375" style="231"/>
    <col min="15450" max="15451" width="10.7109375" style="231" customWidth="1"/>
    <col min="15452" max="15452" width="10.7109375" style="231"/>
    <col min="15453" max="15453" width="10.7109375" style="231" customWidth="1"/>
    <col min="15454" max="15455" width="10.7109375" style="231"/>
    <col min="15456" max="15459" width="10.7109375" style="231" customWidth="1"/>
    <col min="15460" max="15460" width="10.7109375" style="231"/>
    <col min="15461" max="15462" width="10.7109375" style="231" customWidth="1"/>
    <col min="15463" max="15463" width="10.7109375" style="231"/>
    <col min="15464" max="15464" width="10.7109375" style="231" customWidth="1"/>
    <col min="15465" max="15465" width="10.7109375" style="231"/>
    <col min="15466" max="15477" width="10.7109375" style="231" customWidth="1"/>
    <col min="15478" max="15479" width="10.7109375" style="231"/>
    <col min="15480" max="15480" width="10.7109375" style="231" customWidth="1"/>
    <col min="15481" max="15483" width="10.7109375" style="231"/>
    <col min="15484" max="15484" width="10.7109375" style="231" customWidth="1"/>
    <col min="15485" max="15487" width="10.7109375" style="231"/>
    <col min="15488" max="15488" width="10.7109375" style="231" customWidth="1"/>
    <col min="15489" max="15489" width="10.7109375" style="231"/>
    <col min="15490" max="15492" width="10.7109375" style="231" customWidth="1"/>
    <col min="15493" max="15493" width="10.7109375" style="231"/>
    <col min="15494" max="15494" width="10.7109375" style="231" customWidth="1"/>
    <col min="15495" max="15495" width="10.7109375" style="231"/>
    <col min="15496" max="15498" width="10.7109375" style="231" customWidth="1"/>
    <col min="15499" max="15499" width="10.7109375" style="231"/>
    <col min="15500" max="15509" width="10.7109375" style="231" customWidth="1"/>
    <col min="15510" max="15511" width="10.7109375" style="231"/>
    <col min="15512" max="15539" width="10.7109375" style="231" customWidth="1"/>
    <col min="15540" max="15543" width="10.7109375" style="231"/>
    <col min="15544" max="15545" width="10.7109375" style="231" customWidth="1"/>
    <col min="15546" max="15548" width="10.7109375" style="231"/>
    <col min="15549" max="15549" width="10.7109375" style="231" customWidth="1"/>
    <col min="15550" max="15550" width="10.7109375" style="231"/>
    <col min="15551" max="15551" width="10.7109375" style="231" customWidth="1"/>
    <col min="15552" max="15566" width="10.7109375" style="231"/>
    <col min="15567" max="15567" width="10.7109375" style="231" customWidth="1"/>
    <col min="15568" max="15568" width="10.7109375" style="231"/>
    <col min="15569" max="15571" width="10.7109375" style="231" customWidth="1"/>
    <col min="15572" max="15573" width="10.7109375" style="231"/>
    <col min="15574" max="15574" width="10.7109375" style="231" customWidth="1"/>
    <col min="15575" max="15575" width="10.7109375" style="231"/>
    <col min="15576" max="15577" width="10.7109375" style="231" customWidth="1"/>
    <col min="15578" max="15578" width="10.7109375" style="231"/>
    <col min="15579" max="15579" width="10.7109375" style="231" customWidth="1"/>
    <col min="15580" max="15580" width="10.7109375" style="231"/>
    <col min="15581" max="15581" width="10.7109375" style="231" customWidth="1"/>
    <col min="15582" max="15583" width="10.7109375" style="231"/>
    <col min="15584" max="15587" width="10.7109375" style="231" customWidth="1"/>
    <col min="15588" max="15588" width="10.7109375" style="231"/>
    <col min="15589" max="15590" width="10.7109375" style="231" customWidth="1"/>
    <col min="15591" max="15591" width="10.7109375" style="231"/>
    <col min="15592" max="15592" width="10.7109375" style="231" customWidth="1"/>
    <col min="15593" max="15593" width="10.7109375" style="231"/>
    <col min="15594" max="15600" width="10.7109375" style="231" customWidth="1"/>
    <col min="15601" max="15664" width="10.7109375" style="231"/>
    <col min="15665" max="15668" width="10.7109375" style="231" customWidth="1"/>
    <col min="15669" max="15671" width="10.7109375" style="231"/>
    <col min="15672" max="15673" width="10.7109375" style="231" customWidth="1"/>
    <col min="15674" max="15675" width="10.7109375" style="231"/>
    <col min="15676" max="15679" width="10.7109375" style="231" customWidth="1"/>
    <col min="15680" max="15680" width="10.7109375" style="231"/>
    <col min="15681" max="15681" width="10.7109375" style="231" customWidth="1"/>
    <col min="15682" max="15683" width="10.7109375" style="231"/>
    <col min="15684" max="15684" width="10.7109375" style="231" customWidth="1"/>
    <col min="15685" max="15685" width="10.7109375" style="231"/>
    <col min="15686" max="15688" width="10.7109375" style="231" customWidth="1"/>
    <col min="15689" max="15689" width="10.7109375" style="231"/>
    <col min="15690" max="15693" width="10.7109375" style="231" customWidth="1"/>
    <col min="15694" max="15694" width="10.7109375" style="231"/>
    <col min="15695" max="15695" width="10.7109375" style="231" customWidth="1"/>
    <col min="15696" max="15696" width="10.7109375" style="231"/>
    <col min="15697" max="15698" width="10.7109375" style="231" customWidth="1"/>
    <col min="15699" max="15699" width="10.7109375" style="231"/>
    <col min="15700" max="15702" width="10.7109375" style="231" customWidth="1"/>
    <col min="15703" max="15703" width="10.7109375" style="231"/>
    <col min="15704" max="15705" width="10.7109375" style="231" customWidth="1"/>
    <col min="15706" max="15707" width="10.7109375" style="231"/>
    <col min="15708" max="15711" width="10.7109375" style="231" customWidth="1"/>
    <col min="15712" max="15712" width="10.7109375" style="231"/>
    <col min="15713" max="15713" width="10.7109375" style="231" customWidth="1"/>
    <col min="15714" max="15715" width="10.7109375" style="231"/>
    <col min="15716" max="15716" width="10.7109375" style="231" customWidth="1"/>
    <col min="15717" max="15717" width="10.7109375" style="231"/>
    <col min="15718" max="15720" width="10.7109375" style="231" customWidth="1"/>
    <col min="15721" max="15721" width="10.7109375" style="231"/>
    <col min="15722" max="15725" width="10.7109375" style="231" customWidth="1"/>
    <col min="15726" max="15726" width="10.7109375" style="231"/>
    <col min="15727" max="15727" width="10.7109375" style="231" customWidth="1"/>
    <col min="15728" max="15735" width="10.7109375" style="231"/>
    <col min="15736" max="15739" width="10.7109375" style="231" customWidth="1"/>
    <col min="15740" max="15740" width="10.7109375" style="231"/>
    <col min="15741" max="15743" width="10.7109375" style="231" customWidth="1"/>
    <col min="15744" max="15744" width="10.7109375" style="231"/>
    <col min="15745" max="15745" width="10.7109375" style="231" customWidth="1"/>
    <col min="15746" max="15748" width="10.7109375" style="231"/>
    <col min="15749" max="15749" width="10.7109375" style="231" customWidth="1"/>
    <col min="15750" max="15750" width="10.7109375" style="231"/>
    <col min="15751" max="15751" width="10.7109375" style="231" customWidth="1"/>
    <col min="15752" max="15754" width="10.7109375" style="231"/>
    <col min="15755" max="15755" width="10.7109375" style="231" customWidth="1"/>
    <col min="15756" max="15760" width="10.7109375" style="231"/>
    <col min="15761" max="15762" width="10.7109375" style="231" customWidth="1"/>
    <col min="15763" max="15763" width="10.7109375" style="231"/>
    <col min="15764" max="15764" width="10.7109375" style="231" customWidth="1"/>
    <col min="15765" max="15765" width="10.7109375" style="231"/>
    <col min="15766" max="15767" width="10.7109375" style="231" customWidth="1"/>
    <col min="15768" max="15769" width="10.7109375" style="231"/>
    <col min="15770" max="15772" width="10.7109375" style="231" customWidth="1"/>
    <col min="15773" max="15776" width="10.7109375" style="231"/>
    <col min="15777" max="15777" width="10.7109375" style="231" customWidth="1"/>
    <col min="15778" max="15779" width="10.7109375" style="231"/>
    <col min="15780" max="15780" width="10.7109375" style="231" customWidth="1"/>
    <col min="15781" max="15781" width="10.7109375" style="231"/>
    <col min="15782" max="15784" width="10.7109375" style="231" customWidth="1"/>
    <col min="15785" max="15785" width="10.7109375" style="231"/>
    <col min="15786" max="15789" width="10.7109375" style="231" customWidth="1"/>
    <col min="15790" max="15790" width="10.7109375" style="231"/>
    <col min="15791" max="15791" width="10.7109375" style="231" customWidth="1"/>
    <col min="15792" max="15792" width="10.7109375" style="231"/>
    <col min="15793" max="15796" width="10.7109375" style="231" customWidth="1"/>
    <col min="15797" max="15797" width="10.7109375" style="231"/>
    <col min="15798" max="15799" width="10.7109375" style="231" customWidth="1"/>
    <col min="15800" max="15800" width="10.7109375" style="231"/>
    <col min="15801" max="15802" width="10.7109375" style="231" customWidth="1"/>
    <col min="15803" max="15803" width="10.7109375" style="231"/>
    <col min="15804" max="15805" width="10.7109375" style="231" customWidth="1"/>
    <col min="15806" max="15807" width="10.7109375" style="231"/>
    <col min="15808" max="15809" width="10.7109375" style="231" customWidth="1"/>
    <col min="15810" max="15811" width="10.7109375" style="231"/>
    <col min="15812" max="15812" width="10.7109375" style="231" customWidth="1"/>
    <col min="15813" max="15813" width="10.7109375" style="231"/>
    <col min="15814" max="15816" width="10.7109375" style="231" customWidth="1"/>
    <col min="15817" max="15817" width="10.7109375" style="231"/>
    <col min="15818" max="15821" width="10.7109375" style="231" customWidth="1"/>
    <col min="15822" max="15822" width="10.7109375" style="231"/>
    <col min="15823" max="15823" width="10.7109375" style="231" customWidth="1"/>
    <col min="15824" max="15824" width="10.7109375" style="231"/>
    <col min="15825" max="15857" width="10.7109375" style="231" customWidth="1"/>
    <col min="15858" max="15858" width="10.7109375" style="231"/>
    <col min="15859" max="15889" width="10.7109375" style="231" customWidth="1"/>
    <col min="15890" max="15896" width="10.7109375" style="231"/>
    <col min="15897" max="15898" width="10.7109375" style="231" customWidth="1"/>
    <col min="15899" max="15901" width="10.7109375" style="231"/>
    <col min="15902" max="15902" width="10.7109375" style="231" customWidth="1"/>
    <col min="15903" max="15905" width="10.7109375" style="231"/>
    <col min="15906" max="15910" width="10.7109375" style="231" customWidth="1"/>
    <col min="15911" max="15914" width="10.7109375" style="231"/>
    <col min="15915" max="15915" width="10.7109375" style="231" customWidth="1"/>
    <col min="15916" max="15917" width="10.7109375" style="231"/>
    <col min="15918" max="15919" width="10.7109375" style="231" customWidth="1"/>
    <col min="15920" max="15920" width="10.7109375" style="231"/>
    <col min="15921" max="15924" width="10.7109375" style="231" customWidth="1"/>
    <col min="15925" max="15925" width="10.7109375" style="231"/>
    <col min="15926" max="15926" width="10.7109375" style="231" customWidth="1"/>
    <col min="15927" max="15927" width="10.7109375" style="231"/>
    <col min="15928" max="15928" width="10.7109375" style="231" customWidth="1"/>
    <col min="15929" max="15929" width="10.7109375" style="231"/>
    <col min="15930" max="15930" width="10.7109375" style="231" customWidth="1"/>
    <col min="15931" max="15931" width="10.7109375" style="231"/>
    <col min="15932" max="15935" width="10.7109375" style="231" customWidth="1"/>
    <col min="15936" max="15936" width="10.7109375" style="231"/>
    <col min="15937" max="15937" width="10.7109375" style="231" customWidth="1"/>
    <col min="15938" max="15939" width="10.7109375" style="231"/>
    <col min="15940" max="15940" width="10.7109375" style="231" customWidth="1"/>
    <col min="15941" max="15941" width="10.7109375" style="231"/>
    <col min="15942" max="15944" width="10.7109375" style="231" customWidth="1"/>
    <col min="15945" max="15945" width="10.7109375" style="231"/>
    <col min="15946" max="15949" width="10.7109375" style="231" customWidth="1"/>
    <col min="15950" max="15950" width="10.7109375" style="231"/>
    <col min="15951" max="15951" width="10.7109375" style="231" customWidth="1"/>
    <col min="15952" max="15952" width="10.7109375" style="231"/>
    <col min="15953" max="15956" width="10.7109375" style="231" customWidth="1"/>
    <col min="15957" max="15958" width="10.7109375" style="231"/>
    <col min="15959" max="15959" width="10.7109375" style="231" customWidth="1"/>
    <col min="15960" max="15962" width="10.7109375" style="231"/>
    <col min="15963" max="15963" width="10.7109375" style="231" customWidth="1"/>
    <col min="15964" max="15964" width="10.7109375" style="231"/>
    <col min="15965" max="15965" width="10.7109375" style="231" customWidth="1"/>
    <col min="15966" max="15967" width="10.7109375" style="231"/>
    <col min="15968" max="15969" width="10.7109375" style="231" customWidth="1"/>
    <col min="15970" max="15970" width="10.7109375" style="231"/>
    <col min="15971" max="15972" width="10.7109375" style="231" customWidth="1"/>
    <col min="15973" max="15973" width="10.7109375" style="231"/>
    <col min="15974" max="15977" width="10.7109375" style="231" customWidth="1"/>
    <col min="15978" max="15978" width="10.7109375" style="231"/>
    <col min="15979" max="15980" width="10.7109375" style="231" customWidth="1"/>
    <col min="15981" max="15981" width="10.7109375" style="231"/>
    <col min="15982" max="15991" width="10.7109375" style="231" customWidth="1"/>
    <col min="15992" max="15995" width="10.7109375" style="231"/>
    <col min="15996" max="15996" width="10.7109375" style="231" customWidth="1"/>
    <col min="15997" max="15999" width="10.7109375" style="231"/>
    <col min="16000" max="16000" width="10.7109375" style="231" customWidth="1"/>
    <col min="16001" max="16001" width="10.7109375" style="231"/>
    <col min="16002" max="16004" width="10.7109375" style="231" customWidth="1"/>
    <col min="16005" max="16005" width="10.7109375" style="231"/>
    <col min="16006" max="16006" width="10.7109375" style="231" customWidth="1"/>
    <col min="16007" max="16007" width="10.7109375" style="231"/>
    <col min="16008" max="16010" width="10.7109375" style="231" customWidth="1"/>
    <col min="16011" max="16011" width="10.7109375" style="231"/>
    <col min="16012" max="16032" width="10.7109375" style="231" customWidth="1"/>
    <col min="16033" max="16033" width="10.7109375" style="231"/>
    <col min="16034" max="16038" width="10.7109375" style="231" customWidth="1"/>
    <col min="16039" max="16042" width="10.7109375" style="231"/>
    <col min="16043" max="16043" width="10.7109375" style="231" customWidth="1"/>
    <col min="16044" max="16045" width="10.7109375" style="231"/>
    <col min="16046" max="16047" width="10.7109375" style="231" customWidth="1"/>
    <col min="16048" max="16048" width="10.7109375" style="231"/>
    <col min="16049" max="16051" width="10.7109375" style="231" customWidth="1"/>
    <col min="16052" max="16056" width="10.7109375" style="231"/>
    <col min="16057" max="16057" width="10.7109375" style="231" customWidth="1"/>
    <col min="16058" max="16060" width="10.7109375" style="231"/>
    <col min="16061" max="16061" width="10.7109375" style="231" customWidth="1"/>
    <col min="16062" max="16062" width="10.7109375" style="231"/>
    <col min="16063" max="16063" width="10.7109375" style="231" customWidth="1"/>
    <col min="16064" max="16078" width="10.7109375" style="231"/>
    <col min="16079" max="16079" width="10.7109375" style="231" customWidth="1"/>
    <col min="16080" max="16080" width="10.7109375" style="231"/>
    <col min="16081" max="16083" width="10.7109375" style="231" customWidth="1"/>
    <col min="16084" max="16085" width="10.7109375" style="231"/>
    <col min="16086" max="16086" width="10.7109375" style="231" customWidth="1"/>
    <col min="16087" max="16087" width="10.7109375" style="231"/>
    <col min="16088" max="16090" width="10.7109375" style="231" customWidth="1"/>
    <col min="16091" max="16091" width="10.7109375" style="231"/>
    <col min="16092" max="16093" width="10.7109375" style="231" customWidth="1"/>
    <col min="16094" max="16097" width="10.7109375" style="231"/>
    <col min="16098" max="16102" width="10.7109375" style="231" customWidth="1"/>
    <col min="16103" max="16106" width="10.7109375" style="231"/>
    <col min="16107" max="16107" width="10.7109375" style="231" customWidth="1"/>
    <col min="16108" max="16109" width="10.7109375" style="231"/>
    <col min="16110" max="16111" width="10.7109375" style="231" customWidth="1"/>
    <col min="16112" max="16112" width="10.7109375" style="231"/>
    <col min="16113" max="16119" width="10.7109375" style="231" customWidth="1"/>
    <col min="16120" max="16123" width="10.7109375" style="231"/>
    <col min="16124" max="16124" width="10.7109375" style="231" customWidth="1"/>
    <col min="16125" max="16127" width="10.7109375" style="231"/>
    <col min="16128" max="16128" width="10.7109375" style="231" customWidth="1"/>
    <col min="16129" max="16129" width="10.7109375" style="231"/>
    <col min="16130" max="16132" width="10.7109375" style="231" customWidth="1"/>
    <col min="16133" max="16133" width="10.7109375" style="231"/>
    <col min="16134" max="16134" width="10.7109375" style="231" customWidth="1"/>
    <col min="16135" max="16135" width="10.7109375" style="231"/>
    <col min="16136" max="16138" width="10.7109375" style="231" customWidth="1"/>
    <col min="16139" max="16139" width="10.7109375" style="231"/>
    <col min="16140" max="16148" width="10.7109375" style="231" customWidth="1"/>
    <col min="16149" max="16150" width="10.7109375" style="231"/>
    <col min="16151" max="16151" width="10.7109375" style="231" customWidth="1"/>
    <col min="16152" max="16154" width="10.7109375" style="231"/>
    <col min="16155" max="16155" width="10.7109375" style="231" customWidth="1"/>
    <col min="16156" max="16156" width="10.7109375" style="231"/>
    <col min="16157" max="16157" width="10.7109375" style="231" customWidth="1"/>
    <col min="16158" max="16159" width="10.7109375" style="231"/>
    <col min="16160" max="16161" width="10.7109375" style="231" customWidth="1"/>
    <col min="16162" max="16162" width="10.7109375" style="231"/>
    <col min="16163" max="16164" width="10.7109375" style="231" customWidth="1"/>
    <col min="16165" max="16165" width="10.7109375" style="231"/>
    <col min="16166" max="16169" width="10.7109375" style="231" customWidth="1"/>
    <col min="16170" max="16170" width="10.7109375" style="231"/>
    <col min="16171" max="16172" width="10.7109375" style="231" customWidth="1"/>
    <col min="16173" max="16173" width="10.7109375" style="231"/>
    <col min="16174" max="16177" width="10.7109375" style="231" customWidth="1"/>
    <col min="16178" max="16179" width="10.7109375" style="231"/>
    <col min="16180" max="16180" width="10.7109375" style="231" customWidth="1"/>
    <col min="16181" max="16184" width="10.7109375" style="231"/>
    <col min="16185" max="16185" width="10.7109375" style="231" customWidth="1"/>
    <col min="16186" max="16186" width="10.7109375" style="231"/>
    <col min="16187" max="16188" width="10.7109375" style="231" customWidth="1"/>
    <col min="16189" max="16189" width="10.7109375" style="231"/>
    <col min="16190" max="16191" width="10.7109375" style="231" customWidth="1"/>
    <col min="16192" max="16192" width="10.7109375" style="231"/>
    <col min="16193" max="16193" width="10.7109375" style="231" customWidth="1"/>
    <col min="16194" max="16196" width="10.7109375" style="231"/>
    <col min="16197" max="16197" width="10.7109375" style="231" customWidth="1"/>
    <col min="16198" max="16198" width="10.7109375" style="231"/>
    <col min="16199" max="16199" width="10.7109375" style="231" customWidth="1"/>
    <col min="16200" max="16200" width="10.7109375" style="231"/>
    <col min="16201" max="16202" width="10.7109375" style="231" customWidth="1"/>
    <col min="16203" max="16203" width="10.7109375" style="231"/>
    <col min="16204" max="16205" width="10.7109375" style="231" customWidth="1"/>
    <col min="16206" max="16208" width="10.7109375" style="231"/>
    <col min="16209" max="16210" width="10.7109375" style="231" customWidth="1"/>
    <col min="16211" max="16211" width="10.7109375" style="231"/>
    <col min="16212" max="16215" width="10.7109375" style="231" customWidth="1"/>
    <col min="16216" max="16216" width="10.7109375" style="231"/>
    <col min="16217" max="16220" width="10.7109375" style="231" customWidth="1"/>
    <col min="16221" max="16221" width="10.7109375" style="231"/>
    <col min="16222" max="16222" width="10.7109375" style="231" customWidth="1"/>
    <col min="16223" max="16225" width="10.7109375" style="231"/>
    <col min="16226" max="16226" width="10.7109375" style="231" customWidth="1"/>
    <col min="16227" max="16227" width="10.7109375" style="231"/>
    <col min="16228" max="16228" width="10.7109375" style="231" customWidth="1"/>
    <col min="16229" max="16229" width="10.7109375" style="231"/>
    <col min="16230" max="16230" width="10.7109375" style="231" customWidth="1"/>
    <col min="16231" max="16231" width="10.7109375" style="231"/>
    <col min="16232" max="16237" width="10.7109375" style="231" customWidth="1"/>
    <col min="16238" max="16238" width="10.7109375" style="231"/>
    <col min="16239" max="16239" width="10.7109375" style="231" customWidth="1"/>
    <col min="16240" max="16240" width="10.7109375" style="231"/>
    <col min="16241" max="16241" width="10.7109375" style="231" customWidth="1"/>
    <col min="16242" max="16243" width="10.7109375" style="231"/>
    <col min="16244" max="16246" width="10.7109375" style="231" customWidth="1"/>
    <col min="16247" max="16248" width="10.7109375" style="231"/>
    <col min="16249" max="16252" width="10.7109375" style="231" customWidth="1"/>
    <col min="16253" max="16255" width="10.7109375" style="231"/>
    <col min="16256" max="16259" width="10.7109375" style="231" customWidth="1"/>
    <col min="16260" max="16264" width="10.7109375" style="231"/>
    <col min="16265" max="16268" width="10.7109375" style="231" customWidth="1"/>
    <col min="16269" max="16269" width="10.7109375" style="231"/>
    <col min="16270" max="16271" width="10.7109375" style="231" customWidth="1"/>
    <col min="16272" max="16272" width="10.7109375" style="231"/>
    <col min="16273" max="16276" width="10.7109375" style="231" customWidth="1"/>
    <col min="16277" max="16279" width="10.7109375" style="231"/>
    <col min="16280" max="16280" width="10.7109375" style="231" customWidth="1"/>
    <col min="16281" max="16284" width="10.7109375" style="231"/>
    <col min="16285" max="16285" width="10.7109375" style="231" customWidth="1"/>
    <col min="16286" max="16286" width="10.7109375" style="231"/>
    <col min="16287" max="16287" width="10.7109375" style="231" customWidth="1"/>
    <col min="16288" max="16302" width="10.7109375" style="231"/>
    <col min="16303" max="16303" width="10.7109375" style="231" customWidth="1"/>
    <col min="16304" max="16304" width="10.7109375" style="231"/>
    <col min="16305" max="16307" width="10.7109375" style="231" customWidth="1"/>
    <col min="16308" max="16308" width="10.7109375" style="231"/>
    <col min="16309" max="16310" width="10.7109375" style="231" customWidth="1"/>
    <col min="16311" max="16311" width="10.7109375" style="231"/>
    <col min="16312" max="16312" width="10.7109375" style="231" customWidth="1"/>
    <col min="16313" max="16316" width="10.7109375" style="231"/>
    <col min="16317" max="16317" width="10.7109375" style="231" customWidth="1"/>
    <col min="16318" max="16318" width="10.7109375" style="231"/>
    <col min="16319" max="16319" width="10.7109375" style="231" customWidth="1"/>
    <col min="16320" max="16334" width="10.7109375" style="231"/>
    <col min="16335" max="16335" width="10.7109375" style="231" customWidth="1"/>
    <col min="16336" max="16336" width="10.7109375" style="231"/>
    <col min="16337" max="16337" width="10.7109375" style="231" customWidth="1"/>
    <col min="16338" max="16338" width="10.7109375" style="231"/>
    <col min="16339" max="16340" width="10.7109375" style="231" customWidth="1"/>
    <col min="16341" max="16343" width="10.7109375" style="231"/>
    <col min="16344" max="16344" width="10.7109375" style="231" customWidth="1"/>
    <col min="16345" max="16346" width="10.7109375" style="231"/>
    <col min="16347" max="16348" width="10.7109375" style="231" customWidth="1"/>
    <col min="16349" max="16351" width="10.7109375" style="231"/>
    <col min="16352" max="16355" width="10.7109375" style="231" customWidth="1"/>
    <col min="16356" max="16360" width="10.7109375" style="231"/>
    <col min="16361" max="16364" width="10.7109375" style="231" customWidth="1"/>
    <col min="16365" max="16365" width="10.7109375" style="231"/>
    <col min="16366" max="16367" width="10.7109375" style="231" customWidth="1"/>
    <col min="16368" max="16368" width="10.7109375" style="231"/>
    <col min="16369" max="16372" width="10.7109375" style="231" customWidth="1"/>
    <col min="16373" max="16375" width="10.7109375" style="231"/>
    <col min="16376" max="16376" width="10.7109375" style="231" customWidth="1"/>
    <col min="16377" max="16380" width="10.7109375" style="231"/>
    <col min="16381" max="16381" width="10.7109375" style="231" customWidth="1"/>
    <col min="16382" max="16382" width="10.7109375" style="231"/>
    <col min="16383" max="16383" width="10.7109375" style="231" customWidth="1"/>
    <col min="16384" max="16384" width="10.7109375" style="231"/>
  </cols>
  <sheetData>
    <row r="1" spans="1:24">
      <c r="A1" s="4" t="s">
        <v>626</v>
      </c>
      <c r="B1" s="1" t="s">
        <v>751</v>
      </c>
      <c r="C1" s="1" t="s">
        <v>752</v>
      </c>
      <c r="D1" s="1" t="s">
        <v>753</v>
      </c>
      <c r="F1" s="4" t="s">
        <v>754</v>
      </c>
      <c r="G1" s="1" t="s">
        <v>751</v>
      </c>
      <c r="H1" s="1" t="s">
        <v>752</v>
      </c>
      <c r="I1" s="1" t="s">
        <v>753</v>
      </c>
      <c r="K1" s="4" t="s">
        <v>5326</v>
      </c>
      <c r="L1" s="1" t="s">
        <v>628</v>
      </c>
      <c r="M1" s="1" t="s">
        <v>629</v>
      </c>
      <c r="N1" s="1" t="s">
        <v>630</v>
      </c>
      <c r="P1" s="4" t="s">
        <v>4961</v>
      </c>
      <c r="Q1" s="1" t="s">
        <v>628</v>
      </c>
      <c r="R1" s="1" t="s">
        <v>629</v>
      </c>
      <c r="S1" s="1" t="s">
        <v>630</v>
      </c>
      <c r="U1" s="202" t="s">
        <v>631</v>
      </c>
      <c r="V1" s="1" t="s">
        <v>751</v>
      </c>
      <c r="W1" s="1" t="s">
        <v>752</v>
      </c>
      <c r="X1" s="1" t="s">
        <v>753</v>
      </c>
    </row>
    <row r="2" spans="1:24">
      <c r="A2" s="21" t="s">
        <v>632</v>
      </c>
      <c r="B2" s="10">
        <v>0</v>
      </c>
      <c r="C2" s="10">
        <v>0</v>
      </c>
      <c r="D2" s="10">
        <v>0</v>
      </c>
      <c r="F2" s="21" t="s">
        <v>633</v>
      </c>
      <c r="G2" s="10">
        <v>0</v>
      </c>
      <c r="H2" s="10">
        <v>0</v>
      </c>
      <c r="I2" s="10">
        <v>0</v>
      </c>
      <c r="K2" s="21" t="s">
        <v>5698</v>
      </c>
      <c r="L2" s="10">
        <v>0</v>
      </c>
      <c r="M2" s="10">
        <v>0</v>
      </c>
      <c r="N2" s="10">
        <v>0</v>
      </c>
      <c r="P2" s="21" t="s">
        <v>634</v>
      </c>
      <c r="Q2" s="10">
        <v>0</v>
      </c>
      <c r="R2" s="10">
        <v>0</v>
      </c>
      <c r="S2" s="10">
        <v>0</v>
      </c>
      <c r="U2" s="231" t="s">
        <v>635</v>
      </c>
      <c r="V2" s="5">
        <v>4</v>
      </c>
      <c r="W2" s="5">
        <v>0</v>
      </c>
      <c r="X2" s="5">
        <v>1</v>
      </c>
    </row>
    <row r="3" spans="1:24">
      <c r="A3" s="21" t="s">
        <v>636</v>
      </c>
      <c r="B3" s="10">
        <v>3</v>
      </c>
      <c r="C3" s="10">
        <v>3</v>
      </c>
      <c r="D3" s="10">
        <v>-2</v>
      </c>
      <c r="F3" s="21" t="s">
        <v>637</v>
      </c>
      <c r="G3" s="10">
        <v>2</v>
      </c>
      <c r="H3" s="10">
        <v>1</v>
      </c>
      <c r="I3" s="10">
        <v>-1</v>
      </c>
      <c r="K3" s="21" t="s">
        <v>638</v>
      </c>
      <c r="L3" s="10">
        <v>2</v>
      </c>
      <c r="M3" s="10">
        <v>9</v>
      </c>
      <c r="N3" s="10">
        <v>3</v>
      </c>
      <c r="P3" s="21" t="s">
        <v>639</v>
      </c>
      <c r="Q3" s="10" t="s">
        <v>640</v>
      </c>
      <c r="R3" s="10">
        <v>10</v>
      </c>
      <c r="S3" s="10">
        <v>3</v>
      </c>
      <c r="U3" s="231" t="s">
        <v>641</v>
      </c>
      <c r="V3" s="5">
        <v>4</v>
      </c>
      <c r="W3" s="5">
        <v>4</v>
      </c>
      <c r="X3" s="5">
        <v>1</v>
      </c>
    </row>
    <row r="4" spans="1:24">
      <c r="A4" s="231" t="s">
        <v>642</v>
      </c>
      <c r="B4" s="5">
        <v>8</v>
      </c>
      <c r="C4" s="5">
        <v>0</v>
      </c>
      <c r="D4" s="5">
        <v>-4</v>
      </c>
      <c r="F4" s="9" t="s">
        <v>643</v>
      </c>
      <c r="G4" s="10">
        <v>5</v>
      </c>
      <c r="H4" s="10">
        <v>0</v>
      </c>
      <c r="I4" s="10">
        <v>-2</v>
      </c>
      <c r="K4" s="9" t="s">
        <v>644</v>
      </c>
      <c r="L4" s="10">
        <v>6</v>
      </c>
      <c r="M4" s="10">
        <v>13</v>
      </c>
      <c r="N4" s="10">
        <v>4</v>
      </c>
      <c r="P4" s="9" t="s">
        <v>645</v>
      </c>
      <c r="Q4" s="10">
        <v>1</v>
      </c>
      <c r="R4" s="10">
        <v>1</v>
      </c>
      <c r="S4" s="10">
        <v>1</v>
      </c>
      <c r="U4" s="231" t="s">
        <v>646</v>
      </c>
      <c r="V4" s="5">
        <v>6</v>
      </c>
      <c r="W4" s="5">
        <v>0</v>
      </c>
      <c r="X4" s="5">
        <v>3</v>
      </c>
    </row>
    <row r="5" spans="1:24">
      <c r="A5" s="9" t="s">
        <v>647</v>
      </c>
      <c r="B5" s="10">
        <v>5</v>
      </c>
      <c r="C5" s="10">
        <v>3</v>
      </c>
      <c r="D5" s="10">
        <v>-1</v>
      </c>
      <c r="F5" s="9" t="s">
        <v>1343</v>
      </c>
      <c r="G5" s="10">
        <v>1</v>
      </c>
      <c r="H5" s="10">
        <v>0</v>
      </c>
      <c r="I5" s="10">
        <v>0</v>
      </c>
      <c r="K5" s="231" t="s">
        <v>648</v>
      </c>
      <c r="L5" s="5">
        <v>7</v>
      </c>
      <c r="M5" s="5">
        <v>13</v>
      </c>
      <c r="N5" s="5">
        <v>5</v>
      </c>
      <c r="P5" s="231" t="s">
        <v>649</v>
      </c>
      <c r="Q5" s="5">
        <v>1</v>
      </c>
      <c r="R5" s="5">
        <v>3</v>
      </c>
      <c r="S5" s="5">
        <v>1</v>
      </c>
      <c r="U5" s="231" t="s">
        <v>650</v>
      </c>
      <c r="V5" s="5">
        <v>8</v>
      </c>
      <c r="W5" s="5">
        <v>0</v>
      </c>
      <c r="X5" s="5">
        <v>5</v>
      </c>
    </row>
    <row r="6" spans="1:24">
      <c r="A6" s="9" t="s">
        <v>651</v>
      </c>
      <c r="B6" s="10">
        <v>4</v>
      </c>
      <c r="C6" s="10">
        <v>0</v>
      </c>
      <c r="D6" s="10">
        <v>-1</v>
      </c>
      <c r="F6" s="9" t="s">
        <v>1572</v>
      </c>
      <c r="G6" s="10">
        <v>1</v>
      </c>
      <c r="H6" s="10">
        <v>1</v>
      </c>
      <c r="I6" s="10">
        <v>0</v>
      </c>
      <c r="K6" s="9" t="s">
        <v>652</v>
      </c>
      <c r="L6" s="10">
        <v>5</v>
      </c>
      <c r="M6" s="10">
        <v>9</v>
      </c>
      <c r="N6" s="10">
        <v>3</v>
      </c>
      <c r="P6" s="231" t="s">
        <v>514</v>
      </c>
      <c r="Q6" s="5">
        <v>3</v>
      </c>
      <c r="R6" s="5">
        <v>11</v>
      </c>
      <c r="S6" s="5">
        <v>4</v>
      </c>
    </row>
    <row r="7" spans="1:24">
      <c r="A7" s="9" t="s">
        <v>1350</v>
      </c>
      <c r="B7" s="10">
        <v>7</v>
      </c>
      <c r="C7" s="10">
        <v>0</v>
      </c>
      <c r="D7" s="10">
        <v>-3</v>
      </c>
      <c r="F7" s="9" t="s">
        <v>515</v>
      </c>
      <c r="G7" s="10">
        <v>2</v>
      </c>
      <c r="H7" s="10">
        <v>2</v>
      </c>
      <c r="I7" s="10">
        <v>-1</v>
      </c>
      <c r="K7" s="231" t="s">
        <v>656</v>
      </c>
      <c r="L7" s="5">
        <v>3</v>
      </c>
      <c r="M7" s="5">
        <v>6</v>
      </c>
      <c r="N7" s="5">
        <v>2</v>
      </c>
      <c r="P7" s="9" t="s">
        <v>657</v>
      </c>
      <c r="Q7" s="10">
        <v>3</v>
      </c>
      <c r="R7" s="10">
        <v>5</v>
      </c>
      <c r="S7" s="10">
        <v>3</v>
      </c>
    </row>
    <row r="8" spans="1:24">
      <c r="A8" s="231" t="s">
        <v>770</v>
      </c>
      <c r="B8" s="5">
        <v>2</v>
      </c>
      <c r="C8" s="5">
        <v>0</v>
      </c>
      <c r="D8" s="5">
        <v>0</v>
      </c>
      <c r="F8" s="9" t="s">
        <v>771</v>
      </c>
      <c r="G8" s="10">
        <v>3</v>
      </c>
      <c r="H8" s="10">
        <v>3</v>
      </c>
      <c r="I8" s="10">
        <v>-2</v>
      </c>
      <c r="K8" s="231" t="s">
        <v>772</v>
      </c>
      <c r="L8" s="5">
        <v>0</v>
      </c>
      <c r="M8" s="5">
        <v>5</v>
      </c>
      <c r="N8" s="5">
        <v>3</v>
      </c>
      <c r="P8" s="231" t="s">
        <v>773</v>
      </c>
      <c r="Q8" s="5">
        <v>5</v>
      </c>
      <c r="R8" s="5">
        <v>11</v>
      </c>
      <c r="S8" s="5">
        <v>4</v>
      </c>
    </row>
    <row r="9" spans="1:24">
      <c r="A9" s="231" t="s">
        <v>780</v>
      </c>
      <c r="B9" s="5">
        <v>4</v>
      </c>
      <c r="C9" s="5">
        <v>0</v>
      </c>
      <c r="D9" s="5">
        <v>-1</v>
      </c>
      <c r="F9" s="9" t="s">
        <v>781</v>
      </c>
      <c r="G9" s="10">
        <v>3</v>
      </c>
      <c r="H9" s="10">
        <v>3</v>
      </c>
      <c r="I9" s="10">
        <v>-2</v>
      </c>
      <c r="K9" s="231" t="s">
        <v>665</v>
      </c>
      <c r="L9" s="5">
        <v>6</v>
      </c>
      <c r="M9" s="5">
        <v>13</v>
      </c>
      <c r="N9" s="5">
        <v>5</v>
      </c>
      <c r="P9" s="9" t="s">
        <v>666</v>
      </c>
      <c r="Q9" s="10">
        <v>2</v>
      </c>
      <c r="R9" s="10">
        <v>9</v>
      </c>
      <c r="S9" s="10">
        <v>1</v>
      </c>
    </row>
    <row r="10" spans="1:24">
      <c r="A10" s="9" t="s">
        <v>667</v>
      </c>
      <c r="B10" s="10">
        <v>7</v>
      </c>
      <c r="C10" s="10">
        <v>7</v>
      </c>
      <c r="D10" s="10">
        <v>-5</v>
      </c>
      <c r="F10" s="9" t="s">
        <v>668</v>
      </c>
      <c r="G10" s="10">
        <v>1</v>
      </c>
      <c r="H10" s="10">
        <v>2</v>
      </c>
      <c r="I10" s="10">
        <v>-1</v>
      </c>
      <c r="K10" s="231" t="s">
        <v>669</v>
      </c>
      <c r="L10" s="5">
        <v>1</v>
      </c>
      <c r="M10" s="5">
        <v>3</v>
      </c>
      <c r="N10" s="5">
        <v>1</v>
      </c>
      <c r="P10" s="231" t="s">
        <v>670</v>
      </c>
      <c r="Q10" s="5">
        <v>2</v>
      </c>
      <c r="R10" s="5">
        <v>4</v>
      </c>
      <c r="S10" s="5">
        <v>1</v>
      </c>
    </row>
    <row r="11" spans="1:24">
      <c r="A11" s="231" t="s">
        <v>1129</v>
      </c>
      <c r="B11" s="5">
        <v>4</v>
      </c>
      <c r="C11" s="5">
        <v>4</v>
      </c>
      <c r="D11" s="10">
        <v>-2</v>
      </c>
      <c r="F11" s="9" t="s">
        <v>783</v>
      </c>
      <c r="G11" s="10">
        <v>3</v>
      </c>
      <c r="H11" s="10">
        <v>0</v>
      </c>
      <c r="I11" s="10">
        <v>-1</v>
      </c>
      <c r="K11" s="231" t="s">
        <v>784</v>
      </c>
      <c r="L11" s="5">
        <v>2</v>
      </c>
      <c r="M11" s="5">
        <v>6</v>
      </c>
      <c r="N11" s="5">
        <v>2</v>
      </c>
      <c r="P11" s="231" t="s">
        <v>785</v>
      </c>
      <c r="Q11" s="5">
        <v>4</v>
      </c>
      <c r="R11" s="5">
        <v>10</v>
      </c>
      <c r="S11" s="5">
        <v>3</v>
      </c>
    </row>
    <row r="12" spans="1:24">
      <c r="A12" s="231" t="s">
        <v>786</v>
      </c>
      <c r="B12" s="5">
        <v>4</v>
      </c>
      <c r="C12" s="5">
        <v>4</v>
      </c>
      <c r="D12" s="10">
        <v>-2</v>
      </c>
      <c r="F12" s="9" t="s">
        <v>5036</v>
      </c>
      <c r="G12" s="10">
        <v>0</v>
      </c>
      <c r="H12" s="10">
        <v>0</v>
      </c>
      <c r="I12" s="10">
        <v>0</v>
      </c>
      <c r="K12" s="231" t="s">
        <v>787</v>
      </c>
      <c r="L12" s="5">
        <v>4</v>
      </c>
      <c r="M12" s="5">
        <v>9</v>
      </c>
      <c r="N12" s="5">
        <v>2</v>
      </c>
      <c r="P12" s="231" t="s">
        <v>788</v>
      </c>
      <c r="Q12" s="5">
        <v>1</v>
      </c>
      <c r="R12" s="5">
        <v>4</v>
      </c>
      <c r="S12" s="5">
        <v>1</v>
      </c>
    </row>
    <row r="13" spans="1:24">
      <c r="A13" s="9" t="s">
        <v>1140</v>
      </c>
      <c r="B13" s="10">
        <v>5</v>
      </c>
      <c r="C13" s="10">
        <v>5</v>
      </c>
      <c r="D13" s="10">
        <v>-3</v>
      </c>
      <c r="F13" s="231" t="s">
        <v>672</v>
      </c>
      <c r="G13" s="5">
        <v>2</v>
      </c>
      <c r="H13" s="5">
        <v>0</v>
      </c>
      <c r="I13" s="5">
        <v>0</v>
      </c>
      <c r="K13" s="231" t="s">
        <v>673</v>
      </c>
      <c r="L13" s="5">
        <v>5</v>
      </c>
      <c r="M13" s="5">
        <v>13</v>
      </c>
      <c r="N13" s="5">
        <v>1</v>
      </c>
      <c r="P13" s="9" t="s">
        <v>674</v>
      </c>
      <c r="Q13" s="10">
        <v>1</v>
      </c>
      <c r="R13" s="10">
        <v>5</v>
      </c>
      <c r="S13" s="10">
        <v>1</v>
      </c>
    </row>
    <row r="14" spans="1:24">
      <c r="A14" s="9" t="s">
        <v>675</v>
      </c>
      <c r="B14" s="10">
        <v>2</v>
      </c>
      <c r="C14" s="10">
        <v>3</v>
      </c>
      <c r="D14" s="10">
        <v>0</v>
      </c>
      <c r="F14" s="9" t="s">
        <v>676</v>
      </c>
      <c r="G14" s="10">
        <v>3</v>
      </c>
      <c r="H14" s="10">
        <v>0</v>
      </c>
      <c r="I14" s="10">
        <v>-1</v>
      </c>
      <c r="K14" s="9" t="s">
        <v>677</v>
      </c>
      <c r="L14" s="10">
        <v>3</v>
      </c>
      <c r="M14" s="10">
        <v>7</v>
      </c>
      <c r="N14" s="10">
        <v>2</v>
      </c>
      <c r="P14" s="9" t="s">
        <v>1074</v>
      </c>
      <c r="Q14" s="10">
        <v>5</v>
      </c>
      <c r="R14" s="10">
        <v>13</v>
      </c>
      <c r="S14" s="10">
        <v>4</v>
      </c>
    </row>
    <row r="15" spans="1:24">
      <c r="A15" s="231" t="s">
        <v>678</v>
      </c>
      <c r="B15" s="5">
        <v>8</v>
      </c>
      <c r="C15" s="5">
        <v>0</v>
      </c>
      <c r="D15" s="5">
        <v>-3</v>
      </c>
      <c r="F15" s="9" t="s">
        <v>679</v>
      </c>
      <c r="G15" s="10">
        <v>4</v>
      </c>
      <c r="H15" s="10">
        <v>1</v>
      </c>
      <c r="I15" s="10">
        <v>0</v>
      </c>
      <c r="K15" s="231" t="s">
        <v>680</v>
      </c>
      <c r="L15" s="5">
        <v>3</v>
      </c>
      <c r="M15" s="5">
        <v>7</v>
      </c>
      <c r="N15" s="5">
        <v>2</v>
      </c>
      <c r="P15" s="9" t="s">
        <v>417</v>
      </c>
      <c r="Q15" s="10">
        <v>2</v>
      </c>
      <c r="R15" s="10">
        <v>12</v>
      </c>
      <c r="S15" s="10">
        <v>1</v>
      </c>
    </row>
    <row r="16" spans="1:24">
      <c r="A16" s="231" t="s">
        <v>418</v>
      </c>
      <c r="B16" s="5">
        <v>5</v>
      </c>
      <c r="C16" s="5">
        <v>1</v>
      </c>
      <c r="D16" s="5">
        <v>-1</v>
      </c>
      <c r="F16" s="9" t="s">
        <v>419</v>
      </c>
      <c r="G16" s="10">
        <v>5</v>
      </c>
      <c r="H16" s="10">
        <v>4</v>
      </c>
      <c r="I16" s="10">
        <v>0</v>
      </c>
      <c r="K16" s="231" t="s">
        <v>420</v>
      </c>
      <c r="L16" s="5">
        <v>8</v>
      </c>
      <c r="M16" s="5">
        <v>16</v>
      </c>
      <c r="N16" s="5">
        <v>6</v>
      </c>
      <c r="P16" s="231" t="s">
        <v>421</v>
      </c>
      <c r="Q16" s="5">
        <v>3</v>
      </c>
      <c r="R16" s="5">
        <v>6</v>
      </c>
      <c r="S16" s="5">
        <v>2</v>
      </c>
    </row>
    <row r="17" spans="1:19">
      <c r="A17" s="233" t="s">
        <v>422</v>
      </c>
      <c r="B17" s="5">
        <v>7</v>
      </c>
      <c r="C17" s="5">
        <v>1</v>
      </c>
      <c r="D17" s="5">
        <v>-2</v>
      </c>
      <c r="K17" s="9" t="s">
        <v>423</v>
      </c>
      <c r="L17" s="10">
        <v>6</v>
      </c>
      <c r="M17" s="10">
        <v>13</v>
      </c>
      <c r="N17" s="10">
        <v>4</v>
      </c>
      <c r="P17" s="231" t="s">
        <v>424</v>
      </c>
      <c r="Q17" s="5">
        <v>5</v>
      </c>
      <c r="R17" s="5">
        <v>13</v>
      </c>
      <c r="S17" s="5">
        <v>5</v>
      </c>
    </row>
    <row r="18" spans="1:19">
      <c r="A18" s="21" t="s">
        <v>425</v>
      </c>
      <c r="B18" s="10">
        <v>5</v>
      </c>
      <c r="C18" s="10">
        <v>0</v>
      </c>
      <c r="D18" s="10">
        <v>-1</v>
      </c>
      <c r="K18" s="9" t="s">
        <v>426</v>
      </c>
      <c r="L18" s="10">
        <v>3</v>
      </c>
      <c r="M18" s="10">
        <v>5</v>
      </c>
      <c r="N18" s="10">
        <v>1</v>
      </c>
      <c r="P18" s="231" t="s">
        <v>427</v>
      </c>
      <c r="Q18" s="5">
        <v>2</v>
      </c>
      <c r="R18" s="5">
        <v>4</v>
      </c>
      <c r="S18" s="5">
        <v>2</v>
      </c>
    </row>
    <row r="19" spans="1:19">
      <c r="A19" s="233" t="s">
        <v>428</v>
      </c>
      <c r="B19" s="5">
        <v>3</v>
      </c>
      <c r="C19" s="5">
        <v>0</v>
      </c>
      <c r="D19" s="5">
        <v>0</v>
      </c>
      <c r="K19" s="9" t="s">
        <v>1124</v>
      </c>
      <c r="L19" s="10">
        <v>4</v>
      </c>
      <c r="M19" s="10">
        <v>11</v>
      </c>
      <c r="N19" s="10">
        <v>4</v>
      </c>
      <c r="P19" s="231" t="s">
        <v>429</v>
      </c>
      <c r="Q19" s="5">
        <v>2</v>
      </c>
      <c r="R19" s="5">
        <v>4</v>
      </c>
      <c r="S19" s="5">
        <v>2</v>
      </c>
    </row>
    <row r="20" spans="1:19">
      <c r="A20" s="21" t="s">
        <v>430</v>
      </c>
      <c r="B20" s="10">
        <v>5</v>
      </c>
      <c r="C20" s="10">
        <v>1</v>
      </c>
      <c r="D20" s="10">
        <v>-1</v>
      </c>
      <c r="K20" s="9" t="s">
        <v>1138</v>
      </c>
      <c r="L20" s="10">
        <v>6</v>
      </c>
      <c r="M20" s="10">
        <v>14</v>
      </c>
      <c r="N20" s="10">
        <v>4</v>
      </c>
      <c r="P20" s="9" t="s">
        <v>5536</v>
      </c>
      <c r="Q20" s="10">
        <v>4</v>
      </c>
      <c r="R20" s="10">
        <v>9</v>
      </c>
      <c r="S20" s="10">
        <v>3</v>
      </c>
    </row>
    <row r="21" spans="1:19">
      <c r="A21" s="21" t="s">
        <v>1936</v>
      </c>
      <c r="B21" s="10">
        <v>9</v>
      </c>
      <c r="C21" s="10">
        <v>6</v>
      </c>
      <c r="D21" s="10">
        <v>-2</v>
      </c>
      <c r="K21" s="9" t="s">
        <v>666</v>
      </c>
      <c r="L21" s="10">
        <v>2</v>
      </c>
      <c r="M21" s="10">
        <v>5</v>
      </c>
      <c r="N21" s="10">
        <v>1</v>
      </c>
      <c r="P21" s="231" t="s">
        <v>431</v>
      </c>
      <c r="Q21" s="5">
        <v>6</v>
      </c>
      <c r="R21" s="5">
        <v>16</v>
      </c>
      <c r="S21" s="5">
        <v>6</v>
      </c>
    </row>
    <row r="22" spans="1:19">
      <c r="A22" s="21" t="s">
        <v>432</v>
      </c>
      <c r="B22" s="10">
        <v>9</v>
      </c>
      <c r="C22" s="10">
        <v>2</v>
      </c>
      <c r="D22" s="10">
        <v>-3</v>
      </c>
      <c r="K22" s="231" t="s">
        <v>670</v>
      </c>
      <c r="L22" s="5">
        <v>2</v>
      </c>
      <c r="M22" s="5">
        <v>4</v>
      </c>
      <c r="N22" s="5">
        <v>1</v>
      </c>
      <c r="P22" s="231" t="s">
        <v>433</v>
      </c>
      <c r="Q22" s="5">
        <v>6</v>
      </c>
      <c r="R22" s="5">
        <v>16</v>
      </c>
      <c r="S22" s="5">
        <v>6</v>
      </c>
    </row>
    <row r="23" spans="1:19">
      <c r="A23" s="21" t="s">
        <v>434</v>
      </c>
      <c r="B23" s="10">
        <v>3</v>
      </c>
      <c r="C23" s="10">
        <v>0</v>
      </c>
      <c r="D23" s="10">
        <v>0</v>
      </c>
      <c r="K23" s="231" t="s">
        <v>435</v>
      </c>
      <c r="L23" s="5">
        <v>2</v>
      </c>
      <c r="M23" s="5">
        <v>5</v>
      </c>
      <c r="N23" s="5">
        <v>1</v>
      </c>
      <c r="P23" s="231" t="s">
        <v>436</v>
      </c>
      <c r="Q23" s="5">
        <v>3</v>
      </c>
      <c r="R23" s="5">
        <v>11</v>
      </c>
      <c r="S23" s="5">
        <v>4</v>
      </c>
    </row>
    <row r="24" spans="1:19">
      <c r="A24" s="9" t="s">
        <v>437</v>
      </c>
      <c r="B24" s="10">
        <v>6</v>
      </c>
      <c r="C24" s="10">
        <v>3</v>
      </c>
      <c r="D24" s="10">
        <v>-2</v>
      </c>
      <c r="K24" s="231" t="s">
        <v>330</v>
      </c>
      <c r="L24" s="5">
        <v>5</v>
      </c>
      <c r="M24" s="5">
        <v>11</v>
      </c>
      <c r="N24" s="5">
        <v>3</v>
      </c>
      <c r="P24" s="231" t="s">
        <v>331</v>
      </c>
      <c r="Q24" s="5">
        <v>1</v>
      </c>
      <c r="R24" s="5">
        <v>4</v>
      </c>
      <c r="S24" s="5">
        <v>1</v>
      </c>
    </row>
    <row r="25" spans="1:19">
      <c r="A25" s="231" t="s">
        <v>332</v>
      </c>
      <c r="B25" s="5">
        <v>7</v>
      </c>
      <c r="C25" s="5">
        <v>0</v>
      </c>
      <c r="D25" s="5">
        <v>-4</v>
      </c>
      <c r="K25" s="231" t="s">
        <v>333</v>
      </c>
      <c r="L25" s="5">
        <v>4</v>
      </c>
      <c r="M25" s="5">
        <v>9</v>
      </c>
      <c r="N25" s="5">
        <v>3</v>
      </c>
      <c r="P25" s="231" t="s">
        <v>334</v>
      </c>
      <c r="Q25" s="5">
        <v>1</v>
      </c>
      <c r="R25" s="5">
        <v>3</v>
      </c>
      <c r="S25" s="5">
        <v>1</v>
      </c>
    </row>
    <row r="26" spans="1:19">
      <c r="A26" s="9" t="s">
        <v>5036</v>
      </c>
      <c r="B26" s="10">
        <v>0</v>
      </c>
      <c r="C26" s="10">
        <v>0</v>
      </c>
      <c r="D26" s="10">
        <v>0</v>
      </c>
      <c r="K26" s="231" t="s">
        <v>442</v>
      </c>
      <c r="L26" s="5">
        <v>4</v>
      </c>
      <c r="M26" s="5">
        <v>9</v>
      </c>
      <c r="N26" s="5">
        <v>3</v>
      </c>
      <c r="P26" s="231" t="s">
        <v>443</v>
      </c>
      <c r="Q26" s="5">
        <v>1</v>
      </c>
      <c r="R26" s="5">
        <v>3</v>
      </c>
      <c r="S26" s="5">
        <v>1</v>
      </c>
    </row>
    <row r="27" spans="1:19">
      <c r="A27" s="9" t="s">
        <v>444</v>
      </c>
      <c r="B27" s="10">
        <v>3</v>
      </c>
      <c r="C27" s="10">
        <v>1</v>
      </c>
      <c r="D27" s="10">
        <v>0</v>
      </c>
      <c r="K27" s="231" t="s">
        <v>562</v>
      </c>
      <c r="L27" s="5">
        <v>6</v>
      </c>
      <c r="M27" s="5">
        <v>8</v>
      </c>
      <c r="N27" s="5">
        <v>5</v>
      </c>
      <c r="P27" s="9" t="s">
        <v>5531</v>
      </c>
      <c r="Q27" s="10">
        <v>4</v>
      </c>
      <c r="R27" s="10">
        <v>10</v>
      </c>
      <c r="S27" s="10">
        <v>4</v>
      </c>
    </row>
    <row r="28" spans="1:19">
      <c r="A28" s="9" t="s">
        <v>563</v>
      </c>
      <c r="B28" s="10">
        <v>2</v>
      </c>
      <c r="C28" s="10">
        <v>0</v>
      </c>
      <c r="D28" s="10">
        <v>0</v>
      </c>
      <c r="K28" s="9" t="s">
        <v>564</v>
      </c>
      <c r="L28" s="10">
        <v>3</v>
      </c>
      <c r="M28" s="10">
        <v>7</v>
      </c>
      <c r="N28" s="10">
        <v>2</v>
      </c>
      <c r="P28" s="231" t="s">
        <v>565</v>
      </c>
      <c r="Q28" s="5">
        <v>4</v>
      </c>
      <c r="R28" s="5">
        <v>8</v>
      </c>
      <c r="S28" s="5">
        <v>3</v>
      </c>
    </row>
    <row r="29" spans="1:19">
      <c r="A29" s="9" t="s">
        <v>566</v>
      </c>
      <c r="B29" s="10">
        <v>4</v>
      </c>
      <c r="C29" s="10">
        <v>0</v>
      </c>
      <c r="D29" s="10">
        <v>0</v>
      </c>
      <c r="K29" s="231" t="s">
        <v>567</v>
      </c>
      <c r="L29" s="5">
        <v>5</v>
      </c>
      <c r="M29" s="5">
        <v>14</v>
      </c>
      <c r="N29" s="5">
        <v>3</v>
      </c>
      <c r="P29" s="9" t="s">
        <v>568</v>
      </c>
      <c r="Q29" s="10">
        <v>4</v>
      </c>
      <c r="R29" s="10">
        <v>13</v>
      </c>
      <c r="S29" s="10">
        <v>5</v>
      </c>
    </row>
    <row r="30" spans="1:19">
      <c r="A30" s="9" t="s">
        <v>1168</v>
      </c>
      <c r="B30" s="10">
        <v>9</v>
      </c>
      <c r="C30" s="10">
        <v>0</v>
      </c>
      <c r="D30" s="10">
        <v>-4</v>
      </c>
      <c r="K30" s="9" t="s">
        <v>569</v>
      </c>
      <c r="L30" s="10">
        <v>5</v>
      </c>
      <c r="M30" s="10">
        <v>10</v>
      </c>
      <c r="N30" s="10">
        <v>3</v>
      </c>
      <c r="P30" s="231" t="s">
        <v>570</v>
      </c>
      <c r="Q30" s="5">
        <v>4</v>
      </c>
      <c r="R30" s="5">
        <v>12</v>
      </c>
      <c r="S30" s="5">
        <v>5</v>
      </c>
    </row>
    <row r="31" spans="1:19">
      <c r="A31" s="231" t="s">
        <v>571</v>
      </c>
      <c r="B31" s="5">
        <v>5</v>
      </c>
      <c r="C31" s="5">
        <v>0</v>
      </c>
      <c r="D31" s="5">
        <v>-2</v>
      </c>
      <c r="K31" s="9" t="s">
        <v>572</v>
      </c>
      <c r="L31" s="10">
        <v>5</v>
      </c>
      <c r="M31" s="10">
        <v>11</v>
      </c>
      <c r="N31" s="10">
        <v>3</v>
      </c>
      <c r="P31" s="9" t="s">
        <v>573</v>
      </c>
      <c r="Q31" s="10">
        <v>5</v>
      </c>
      <c r="R31" s="10">
        <v>13</v>
      </c>
      <c r="S31" s="10">
        <v>5</v>
      </c>
    </row>
    <row r="32" spans="1:19">
      <c r="A32" s="9" t="s">
        <v>1325</v>
      </c>
      <c r="B32" s="10">
        <v>6</v>
      </c>
      <c r="C32" s="10">
        <v>0</v>
      </c>
      <c r="D32" s="10">
        <v>-2</v>
      </c>
      <c r="K32" s="231" t="s">
        <v>574</v>
      </c>
      <c r="L32" s="5">
        <v>8</v>
      </c>
      <c r="M32" s="5">
        <v>15</v>
      </c>
      <c r="N32" s="5">
        <v>5</v>
      </c>
      <c r="P32" s="9" t="s">
        <v>814</v>
      </c>
      <c r="Q32" s="10">
        <v>2</v>
      </c>
      <c r="R32" s="10">
        <v>5</v>
      </c>
      <c r="S32" s="10">
        <v>2</v>
      </c>
    </row>
    <row r="33" spans="1:19">
      <c r="A33" s="231" t="s">
        <v>576</v>
      </c>
      <c r="B33" s="5">
        <v>7</v>
      </c>
      <c r="C33" s="5">
        <v>0</v>
      </c>
      <c r="D33" s="5">
        <v>-2</v>
      </c>
      <c r="K33" s="9" t="s">
        <v>577</v>
      </c>
      <c r="L33" s="10">
        <v>4</v>
      </c>
      <c r="M33" s="10">
        <v>2</v>
      </c>
      <c r="N33" s="10">
        <v>2</v>
      </c>
      <c r="P33" s="9" t="s">
        <v>575</v>
      </c>
      <c r="Q33" s="10" t="s">
        <v>640</v>
      </c>
      <c r="R33" s="10">
        <v>9</v>
      </c>
      <c r="S33" s="10">
        <v>6</v>
      </c>
    </row>
    <row r="34" spans="1:19">
      <c r="A34" s="231" t="s">
        <v>579</v>
      </c>
      <c r="B34" s="5">
        <v>5</v>
      </c>
      <c r="C34" s="5">
        <v>0</v>
      </c>
      <c r="D34" s="5">
        <v>-1</v>
      </c>
      <c r="K34" s="231" t="s">
        <v>580</v>
      </c>
      <c r="L34" s="5">
        <v>4</v>
      </c>
      <c r="M34" s="5">
        <v>8</v>
      </c>
      <c r="N34" s="5">
        <v>2</v>
      </c>
      <c r="P34" s="9" t="s">
        <v>578</v>
      </c>
      <c r="Q34" s="10">
        <v>5</v>
      </c>
      <c r="R34" s="10">
        <v>5</v>
      </c>
      <c r="S34" s="10">
        <v>3</v>
      </c>
    </row>
    <row r="35" spans="1:19">
      <c r="A35" s="231" t="s">
        <v>458</v>
      </c>
      <c r="B35" s="5">
        <v>5</v>
      </c>
      <c r="C35" s="5">
        <v>0</v>
      </c>
      <c r="D35" s="5">
        <v>-2</v>
      </c>
      <c r="K35" s="231" t="s">
        <v>459</v>
      </c>
      <c r="L35" s="5">
        <v>6</v>
      </c>
      <c r="M35" s="5">
        <v>12</v>
      </c>
      <c r="N35" s="5">
        <v>4</v>
      </c>
      <c r="P35" s="231" t="s">
        <v>581</v>
      </c>
      <c r="Q35" s="5">
        <v>2</v>
      </c>
      <c r="R35" s="5">
        <v>12</v>
      </c>
      <c r="S35" s="5">
        <v>4</v>
      </c>
    </row>
    <row r="36" spans="1:19">
      <c r="A36" s="231" t="s">
        <v>456</v>
      </c>
      <c r="B36" s="5">
        <v>3</v>
      </c>
      <c r="C36" s="5">
        <v>0</v>
      </c>
      <c r="D36" s="5">
        <v>-1</v>
      </c>
      <c r="K36" s="231" t="s">
        <v>457</v>
      </c>
      <c r="L36" s="5">
        <v>4</v>
      </c>
      <c r="M36" s="5">
        <v>10</v>
      </c>
      <c r="N36" s="5">
        <v>3</v>
      </c>
      <c r="P36" s="231" t="s">
        <v>460</v>
      </c>
      <c r="Q36" s="5">
        <v>4</v>
      </c>
      <c r="R36" s="5">
        <v>9</v>
      </c>
      <c r="S36" s="5">
        <v>3</v>
      </c>
    </row>
    <row r="37" spans="1:19">
      <c r="A37" s="231" t="s">
        <v>585</v>
      </c>
      <c r="B37" s="5">
        <v>6</v>
      </c>
      <c r="C37" s="5">
        <v>0</v>
      </c>
      <c r="D37" s="5">
        <v>-3</v>
      </c>
      <c r="K37" s="231" t="s">
        <v>586</v>
      </c>
      <c r="L37" s="5">
        <v>3</v>
      </c>
      <c r="M37" s="5">
        <v>7</v>
      </c>
      <c r="N37" s="5">
        <v>2</v>
      </c>
      <c r="P37" s="9" t="s">
        <v>345</v>
      </c>
      <c r="Q37" s="10">
        <v>3</v>
      </c>
      <c r="R37" s="10">
        <v>10</v>
      </c>
      <c r="S37" s="10">
        <v>3</v>
      </c>
    </row>
    <row r="38" spans="1:19">
      <c r="A38" s="231" t="s">
        <v>588</v>
      </c>
      <c r="B38" s="5">
        <v>7</v>
      </c>
      <c r="C38" s="5">
        <v>0</v>
      </c>
      <c r="D38" s="5">
        <v>-4</v>
      </c>
      <c r="K38" s="9" t="s">
        <v>334</v>
      </c>
      <c r="L38" s="10">
        <v>1</v>
      </c>
      <c r="M38" s="10">
        <v>4</v>
      </c>
      <c r="N38" s="10">
        <v>1</v>
      </c>
      <c r="P38" s="231" t="s">
        <v>587</v>
      </c>
      <c r="Q38" s="5">
        <v>3</v>
      </c>
      <c r="R38" s="5">
        <v>9</v>
      </c>
      <c r="S38" s="5">
        <v>3</v>
      </c>
    </row>
    <row r="39" spans="1:19">
      <c r="A39" s="9" t="s">
        <v>722</v>
      </c>
      <c r="B39" s="10">
        <v>10</v>
      </c>
      <c r="C39" s="10">
        <v>2</v>
      </c>
      <c r="D39" s="10">
        <v>0</v>
      </c>
      <c r="K39" s="231" t="s">
        <v>443</v>
      </c>
      <c r="L39" s="5">
        <v>1</v>
      </c>
      <c r="M39" s="5">
        <v>3</v>
      </c>
      <c r="N39" s="5">
        <v>1</v>
      </c>
      <c r="P39" s="231" t="s">
        <v>589</v>
      </c>
      <c r="Q39" s="5">
        <v>8</v>
      </c>
      <c r="R39" s="5" t="s">
        <v>5361</v>
      </c>
      <c r="S39" s="5" t="s">
        <v>5361</v>
      </c>
    </row>
    <row r="40" spans="1:19">
      <c r="A40" s="9" t="s">
        <v>723</v>
      </c>
      <c r="B40" s="10">
        <v>8</v>
      </c>
      <c r="C40" s="10">
        <v>2</v>
      </c>
      <c r="D40" s="10">
        <v>0</v>
      </c>
      <c r="K40" s="9" t="s">
        <v>592</v>
      </c>
      <c r="L40" s="10">
        <v>6</v>
      </c>
      <c r="M40" s="10">
        <v>15</v>
      </c>
      <c r="N40" s="10">
        <v>6</v>
      </c>
      <c r="P40" s="9" t="s">
        <v>1059</v>
      </c>
      <c r="Q40" s="10">
        <v>2</v>
      </c>
      <c r="R40" s="10">
        <v>7</v>
      </c>
      <c r="S40" s="10">
        <v>2</v>
      </c>
    </row>
    <row r="41" spans="1:19">
      <c r="A41" s="9" t="s">
        <v>719</v>
      </c>
      <c r="B41" s="10">
        <v>5</v>
      </c>
      <c r="C41" s="10">
        <v>3</v>
      </c>
      <c r="D41" s="10">
        <v>0</v>
      </c>
      <c r="K41" s="9" t="s">
        <v>1601</v>
      </c>
      <c r="L41" s="10">
        <v>3</v>
      </c>
      <c r="M41" s="10">
        <v>10</v>
      </c>
      <c r="N41" s="10">
        <v>1</v>
      </c>
      <c r="P41" s="231" t="s">
        <v>593</v>
      </c>
      <c r="Q41" s="5">
        <v>2</v>
      </c>
      <c r="R41" s="5">
        <v>5</v>
      </c>
      <c r="S41" s="5">
        <v>2</v>
      </c>
    </row>
    <row r="42" spans="1:19">
      <c r="A42" s="9" t="s">
        <v>599</v>
      </c>
      <c r="B42" s="10">
        <v>11</v>
      </c>
      <c r="C42" s="10">
        <v>2</v>
      </c>
      <c r="D42" s="10">
        <v>-1</v>
      </c>
      <c r="K42" s="9" t="s">
        <v>5523</v>
      </c>
      <c r="L42" s="10">
        <v>4</v>
      </c>
      <c r="M42" s="10">
        <v>9</v>
      </c>
      <c r="N42" s="10">
        <v>3</v>
      </c>
      <c r="P42" s="9" t="s">
        <v>5518</v>
      </c>
      <c r="Q42" s="10">
        <v>4</v>
      </c>
      <c r="R42" s="10">
        <v>5</v>
      </c>
      <c r="S42" s="10">
        <v>4</v>
      </c>
    </row>
    <row r="43" spans="1:19">
      <c r="A43" s="9" t="s">
        <v>601</v>
      </c>
      <c r="B43" s="10">
        <v>9</v>
      </c>
      <c r="C43" s="10">
        <v>2</v>
      </c>
      <c r="D43" s="10">
        <v>0</v>
      </c>
      <c r="K43" s="9" t="s">
        <v>896</v>
      </c>
      <c r="L43" s="10">
        <v>9</v>
      </c>
      <c r="M43" s="10">
        <v>15</v>
      </c>
      <c r="N43" s="10">
        <v>5</v>
      </c>
      <c r="P43" s="9" t="s">
        <v>600</v>
      </c>
      <c r="Q43" s="10">
        <v>7</v>
      </c>
      <c r="R43" s="10">
        <v>13</v>
      </c>
      <c r="S43" s="10">
        <v>5</v>
      </c>
    </row>
    <row r="44" spans="1:19">
      <c r="A44" s="9" t="s">
        <v>603</v>
      </c>
      <c r="B44" s="10">
        <v>7</v>
      </c>
      <c r="C44" s="10">
        <v>1</v>
      </c>
      <c r="D44" s="10">
        <v>-2</v>
      </c>
      <c r="K44" s="9" t="s">
        <v>604</v>
      </c>
      <c r="L44" s="10">
        <v>1</v>
      </c>
      <c r="M44" s="10">
        <v>5</v>
      </c>
      <c r="N44" s="10">
        <v>1</v>
      </c>
      <c r="P44" s="9" t="s">
        <v>602</v>
      </c>
      <c r="Q44" s="10">
        <v>6</v>
      </c>
      <c r="R44" s="10">
        <v>7</v>
      </c>
      <c r="S44" s="10">
        <v>2</v>
      </c>
    </row>
    <row r="45" spans="1:19">
      <c r="A45" s="9" t="s">
        <v>727</v>
      </c>
      <c r="B45" s="10">
        <v>5</v>
      </c>
      <c r="C45" s="10">
        <v>0</v>
      </c>
      <c r="D45" s="10">
        <v>-2</v>
      </c>
      <c r="K45" s="231" t="s">
        <v>728</v>
      </c>
      <c r="L45" s="5">
        <v>6</v>
      </c>
      <c r="M45" s="5">
        <v>16</v>
      </c>
      <c r="N45" s="5">
        <v>4</v>
      </c>
      <c r="P45" s="9" t="s">
        <v>605</v>
      </c>
      <c r="Q45" s="10">
        <v>6</v>
      </c>
      <c r="R45" s="10">
        <v>5</v>
      </c>
      <c r="S45" s="10">
        <v>3</v>
      </c>
    </row>
    <row r="46" spans="1:19">
      <c r="A46" s="9" t="s">
        <v>729</v>
      </c>
      <c r="B46" s="10">
        <v>6</v>
      </c>
      <c r="C46" s="10">
        <v>0</v>
      </c>
      <c r="D46" s="10">
        <v>-3</v>
      </c>
      <c r="K46" s="231" t="s">
        <v>595</v>
      </c>
      <c r="L46" s="5">
        <v>5</v>
      </c>
      <c r="M46" s="5">
        <v>10</v>
      </c>
      <c r="N46" s="5">
        <v>5</v>
      </c>
      <c r="P46" s="9" t="s">
        <v>991</v>
      </c>
      <c r="Q46" s="10">
        <v>3</v>
      </c>
      <c r="R46" s="10">
        <v>5</v>
      </c>
      <c r="S46" s="10">
        <v>3</v>
      </c>
    </row>
    <row r="47" spans="1:19">
      <c r="K47" s="231" t="s">
        <v>607</v>
      </c>
      <c r="L47" s="5">
        <v>3</v>
      </c>
      <c r="M47" s="5">
        <v>10</v>
      </c>
      <c r="N47" s="5">
        <v>5</v>
      </c>
      <c r="P47" s="9" t="s">
        <v>606</v>
      </c>
      <c r="Q47" s="10">
        <v>2</v>
      </c>
      <c r="R47" s="10">
        <v>12</v>
      </c>
      <c r="S47" s="10">
        <v>1</v>
      </c>
    </row>
    <row r="48" spans="1:19">
      <c r="K48" s="231" t="s">
        <v>609</v>
      </c>
      <c r="L48" s="5">
        <v>2</v>
      </c>
      <c r="M48" s="5">
        <v>10</v>
      </c>
      <c r="N48" s="5">
        <v>5</v>
      </c>
      <c r="P48" s="9" t="s">
        <v>608</v>
      </c>
      <c r="Q48" s="10" t="s">
        <v>640</v>
      </c>
      <c r="R48" s="10">
        <v>9</v>
      </c>
      <c r="S48" s="10">
        <v>2</v>
      </c>
    </row>
    <row r="49" spans="11:19">
      <c r="K49" s="231" t="s">
        <v>611</v>
      </c>
      <c r="L49" s="5">
        <v>2</v>
      </c>
      <c r="M49" s="5">
        <v>10</v>
      </c>
      <c r="N49" s="5">
        <v>5</v>
      </c>
      <c r="P49" s="231" t="s">
        <v>610</v>
      </c>
      <c r="Q49" s="5">
        <v>4</v>
      </c>
      <c r="R49" s="5">
        <v>8</v>
      </c>
      <c r="S49" s="5">
        <v>3</v>
      </c>
    </row>
    <row r="50" spans="11:19">
      <c r="K50" s="231" t="s">
        <v>613</v>
      </c>
      <c r="L50" s="5">
        <v>2</v>
      </c>
      <c r="M50" s="5">
        <v>9</v>
      </c>
      <c r="N50" s="5">
        <v>5</v>
      </c>
      <c r="P50" s="9" t="s">
        <v>612</v>
      </c>
      <c r="Q50" s="10">
        <v>4</v>
      </c>
      <c r="R50" s="10">
        <v>15</v>
      </c>
      <c r="S50" s="10">
        <v>4</v>
      </c>
    </row>
    <row r="51" spans="11:19">
      <c r="K51" s="231" t="s">
        <v>354</v>
      </c>
      <c r="L51" s="5">
        <v>3</v>
      </c>
      <c r="M51" s="5">
        <v>13</v>
      </c>
      <c r="N51" s="5">
        <v>5</v>
      </c>
      <c r="P51" s="231" t="s">
        <v>353</v>
      </c>
      <c r="Q51" s="5">
        <v>1</v>
      </c>
      <c r="R51" s="5">
        <v>5</v>
      </c>
      <c r="S51" s="5">
        <v>1</v>
      </c>
    </row>
    <row r="52" spans="11:19">
      <c r="K52" s="9" t="s">
        <v>356</v>
      </c>
      <c r="L52" s="10">
        <v>8</v>
      </c>
      <c r="M52" s="10">
        <v>15</v>
      </c>
      <c r="N52" s="10">
        <v>6</v>
      </c>
      <c r="P52" s="9" t="s">
        <v>355</v>
      </c>
      <c r="Q52" s="10">
        <v>3</v>
      </c>
      <c r="R52" s="10">
        <v>5</v>
      </c>
      <c r="S52" s="10">
        <v>2</v>
      </c>
    </row>
    <row r="53" spans="11:19">
      <c r="K53" s="9" t="s">
        <v>358</v>
      </c>
      <c r="L53" s="10">
        <v>8</v>
      </c>
      <c r="M53" s="10">
        <v>15</v>
      </c>
      <c r="N53" s="10">
        <v>6</v>
      </c>
      <c r="P53" s="9" t="s">
        <v>357</v>
      </c>
      <c r="Q53" s="10" t="s">
        <v>640</v>
      </c>
      <c r="R53" s="10">
        <v>4</v>
      </c>
      <c r="S53" s="10">
        <v>2</v>
      </c>
    </row>
    <row r="54" spans="11:19">
      <c r="K54" s="231" t="s">
        <v>360</v>
      </c>
      <c r="L54" s="5">
        <v>8</v>
      </c>
      <c r="M54" s="5">
        <v>18</v>
      </c>
      <c r="N54" s="5">
        <v>6</v>
      </c>
      <c r="P54" s="9" t="s">
        <v>359</v>
      </c>
      <c r="Q54" s="10">
        <v>2</v>
      </c>
      <c r="R54" s="10">
        <v>4</v>
      </c>
      <c r="S54" s="10">
        <v>2</v>
      </c>
    </row>
    <row r="55" spans="11:19">
      <c r="K55" s="9" t="s">
        <v>748</v>
      </c>
      <c r="L55" s="10">
        <v>6</v>
      </c>
      <c r="M55" s="10">
        <v>2</v>
      </c>
      <c r="N55" s="10">
        <v>2</v>
      </c>
    </row>
    <row r="56" spans="11:19">
      <c r="K56" s="9" t="s">
        <v>361</v>
      </c>
      <c r="L56" s="10">
        <v>2</v>
      </c>
      <c r="M56" s="10">
        <v>5</v>
      </c>
      <c r="N56" s="10">
        <v>5</v>
      </c>
    </row>
    <row r="57" spans="11:19">
      <c r="K57" s="231" t="s">
        <v>362</v>
      </c>
      <c r="L57" s="5">
        <v>4</v>
      </c>
      <c r="M57" s="5">
        <v>6</v>
      </c>
      <c r="N57" s="5">
        <v>5</v>
      </c>
    </row>
    <row r="58" spans="11:19">
      <c r="K58" s="231" t="s">
        <v>363</v>
      </c>
      <c r="L58" s="5">
        <v>7</v>
      </c>
      <c r="M58" s="5">
        <v>16</v>
      </c>
      <c r="N58" s="5">
        <v>7</v>
      </c>
    </row>
    <row r="59" spans="11:19">
      <c r="K59" s="231" t="s">
        <v>364</v>
      </c>
      <c r="L59" s="5">
        <v>8</v>
      </c>
      <c r="M59" s="5">
        <v>17</v>
      </c>
      <c r="N59" s="5">
        <v>6</v>
      </c>
    </row>
    <row r="60" spans="11:19">
      <c r="K60" s="231" t="s">
        <v>365</v>
      </c>
      <c r="L60" s="5">
        <v>3</v>
      </c>
      <c r="M60" s="5">
        <v>8</v>
      </c>
      <c r="N60" s="5">
        <v>2</v>
      </c>
    </row>
    <row r="61" spans="11:19">
      <c r="K61" s="231" t="s">
        <v>366</v>
      </c>
      <c r="L61" s="5">
        <v>5</v>
      </c>
      <c r="M61" s="5">
        <v>12</v>
      </c>
      <c r="N61" s="5">
        <v>3</v>
      </c>
    </row>
    <row r="62" spans="11:19">
      <c r="K62" s="231" t="s">
        <v>367</v>
      </c>
      <c r="L62" s="5">
        <v>4</v>
      </c>
      <c r="M62" s="5">
        <v>7</v>
      </c>
      <c r="N62" s="5">
        <v>2</v>
      </c>
    </row>
    <row r="63" spans="11:19">
      <c r="K63" s="231" t="s">
        <v>368</v>
      </c>
      <c r="L63" s="5">
        <v>5</v>
      </c>
      <c r="M63" s="5">
        <v>11</v>
      </c>
      <c r="N63" s="5">
        <v>3</v>
      </c>
    </row>
    <row r="64" spans="11:19">
      <c r="K64" s="9" t="s">
        <v>369</v>
      </c>
      <c r="L64" s="10">
        <v>1</v>
      </c>
      <c r="M64" s="10">
        <v>2</v>
      </c>
      <c r="N64" s="10">
        <v>1</v>
      </c>
    </row>
    <row r="65" spans="11:14">
      <c r="K65" s="231" t="s">
        <v>370</v>
      </c>
      <c r="L65" s="5">
        <v>1</v>
      </c>
      <c r="M65" s="5">
        <v>3</v>
      </c>
      <c r="N65" s="5">
        <v>1</v>
      </c>
    </row>
    <row r="66" spans="11:14">
      <c r="K66" s="231" t="s">
        <v>663</v>
      </c>
      <c r="L66" s="5">
        <v>1</v>
      </c>
      <c r="M66" s="5">
        <v>3</v>
      </c>
      <c r="N66" s="5">
        <v>1</v>
      </c>
    </row>
    <row r="67" spans="11:14">
      <c r="K67" s="231" t="s">
        <v>664</v>
      </c>
      <c r="L67" s="5">
        <v>5</v>
      </c>
      <c r="M67" s="5">
        <v>12</v>
      </c>
      <c r="N67" s="5">
        <v>3</v>
      </c>
    </row>
    <row r="68" spans="11:14">
      <c r="K68" s="231" t="s">
        <v>112</v>
      </c>
      <c r="L68" s="5">
        <v>4</v>
      </c>
      <c r="M68" s="5">
        <v>7</v>
      </c>
      <c r="N68" s="5">
        <v>5</v>
      </c>
    </row>
    <row r="69" spans="11:14">
      <c r="K69" s="231" t="s">
        <v>113</v>
      </c>
      <c r="L69" s="5">
        <v>6</v>
      </c>
      <c r="M69" s="5">
        <v>13</v>
      </c>
      <c r="N69" s="5">
        <v>5</v>
      </c>
    </row>
    <row r="70" spans="11:14">
      <c r="K70" s="231" t="s">
        <v>521</v>
      </c>
      <c r="L70" s="5">
        <v>4</v>
      </c>
      <c r="M70" s="5">
        <v>9</v>
      </c>
      <c r="N70" s="5">
        <v>2</v>
      </c>
    </row>
    <row r="71" spans="11:14">
      <c r="K71" s="231" t="s">
        <v>460</v>
      </c>
      <c r="L71" s="5">
        <v>4</v>
      </c>
      <c r="M71" s="5">
        <v>9</v>
      </c>
      <c r="N71" s="5">
        <v>3</v>
      </c>
    </row>
    <row r="72" spans="11:14">
      <c r="K72" s="9" t="s">
        <v>522</v>
      </c>
      <c r="L72" s="10">
        <v>4</v>
      </c>
      <c r="M72" s="10">
        <v>5</v>
      </c>
      <c r="N72" s="10">
        <v>2</v>
      </c>
    </row>
    <row r="73" spans="11:14">
      <c r="K73" s="231" t="s">
        <v>523</v>
      </c>
      <c r="L73" s="5">
        <v>4</v>
      </c>
      <c r="M73" s="5">
        <v>10</v>
      </c>
      <c r="N73" s="5">
        <v>3</v>
      </c>
    </row>
    <row r="74" spans="11:14">
      <c r="K74" s="231" t="s">
        <v>524</v>
      </c>
      <c r="L74" s="5">
        <v>2</v>
      </c>
      <c r="M74" s="5">
        <v>4</v>
      </c>
      <c r="N74" s="5">
        <v>1</v>
      </c>
    </row>
    <row r="75" spans="11:14">
      <c r="K75" s="231" t="s">
        <v>525</v>
      </c>
      <c r="L75" s="5">
        <v>5</v>
      </c>
      <c r="M75" s="5">
        <v>15</v>
      </c>
      <c r="N75" s="5">
        <v>3</v>
      </c>
    </row>
    <row r="76" spans="11:14">
      <c r="K76" s="231" t="s">
        <v>658</v>
      </c>
      <c r="L76" s="5">
        <v>5</v>
      </c>
      <c r="M76" s="5">
        <v>13</v>
      </c>
      <c r="N76" s="5">
        <v>3</v>
      </c>
    </row>
    <row r="77" spans="11:14">
      <c r="K77" s="231" t="s">
        <v>659</v>
      </c>
      <c r="L77" s="5">
        <v>4</v>
      </c>
      <c r="M77" s="5">
        <v>11</v>
      </c>
      <c r="N77" s="5">
        <v>3</v>
      </c>
    </row>
    <row r="78" spans="11:14">
      <c r="K78" s="9" t="s">
        <v>5518</v>
      </c>
      <c r="L78" s="10">
        <v>4</v>
      </c>
      <c r="M78" s="10">
        <v>11</v>
      </c>
      <c r="N78" s="10">
        <v>4</v>
      </c>
    </row>
    <row r="79" spans="11:14">
      <c r="K79" s="9" t="s">
        <v>114</v>
      </c>
      <c r="L79" s="10">
        <v>5</v>
      </c>
      <c r="M79" s="10">
        <v>13</v>
      </c>
      <c r="N79" s="10">
        <v>5</v>
      </c>
    </row>
    <row r="80" spans="11:14">
      <c r="K80" s="231" t="s">
        <v>660</v>
      </c>
      <c r="L80" s="5">
        <v>6</v>
      </c>
      <c r="M80" s="5">
        <v>13</v>
      </c>
      <c r="N80" s="5">
        <v>5</v>
      </c>
    </row>
    <row r="81" spans="11:14">
      <c r="K81" s="9" t="s">
        <v>661</v>
      </c>
      <c r="L81" s="10">
        <v>6</v>
      </c>
      <c r="M81" s="10">
        <v>13</v>
      </c>
      <c r="N81" s="10">
        <v>4</v>
      </c>
    </row>
    <row r="82" spans="11:14">
      <c r="K82" s="9" t="s">
        <v>693</v>
      </c>
      <c r="L82" s="10">
        <v>10</v>
      </c>
      <c r="M82" s="10">
        <v>15</v>
      </c>
      <c r="N82" s="10">
        <v>3</v>
      </c>
    </row>
    <row r="83" spans="11:14">
      <c r="K83" s="9" t="s">
        <v>694</v>
      </c>
      <c r="L83" s="10">
        <v>7</v>
      </c>
      <c r="M83" s="10">
        <v>9</v>
      </c>
      <c r="N83" s="10">
        <v>1</v>
      </c>
    </row>
    <row r="84" spans="11:14">
      <c r="K84" s="231" t="s">
        <v>662</v>
      </c>
      <c r="L84" s="10">
        <v>7</v>
      </c>
      <c r="M84" s="10">
        <v>21</v>
      </c>
      <c r="N84" s="10">
        <v>6</v>
      </c>
    </row>
    <row r="85" spans="11:14">
      <c r="K85" s="231" t="s">
        <v>671</v>
      </c>
      <c r="L85" s="5">
        <v>2</v>
      </c>
      <c r="M85" s="5">
        <v>3</v>
      </c>
      <c r="N85" s="5">
        <v>1</v>
      </c>
    </row>
    <row r="86" spans="11:14">
      <c r="K86" s="231" t="s">
        <v>537</v>
      </c>
      <c r="L86" s="5">
        <v>6</v>
      </c>
      <c r="M86" s="5">
        <v>9</v>
      </c>
      <c r="N86" s="5">
        <v>5</v>
      </c>
    </row>
    <row r="87" spans="11:14">
      <c r="K87" s="9" t="s">
        <v>538</v>
      </c>
      <c r="L87" s="10">
        <v>3</v>
      </c>
      <c r="M87" s="10">
        <v>10</v>
      </c>
      <c r="N87" s="10">
        <v>2</v>
      </c>
    </row>
    <row r="88" spans="11:14">
      <c r="K88" s="9" t="s">
        <v>539</v>
      </c>
      <c r="L88" s="10">
        <v>10</v>
      </c>
      <c r="M88" s="10">
        <v>15</v>
      </c>
      <c r="N88" s="10">
        <v>4</v>
      </c>
    </row>
    <row r="89" spans="11:14">
      <c r="K89" s="9" t="s">
        <v>540</v>
      </c>
      <c r="L89" s="10">
        <v>10</v>
      </c>
      <c r="M89" s="10">
        <v>15</v>
      </c>
      <c r="N89" s="10">
        <v>5</v>
      </c>
    </row>
    <row r="90" spans="11:14">
      <c r="K90" s="9" t="s">
        <v>721</v>
      </c>
      <c r="L90" s="10">
        <v>4</v>
      </c>
      <c r="M90" s="10">
        <v>5</v>
      </c>
      <c r="N90" s="10">
        <v>2</v>
      </c>
    </row>
    <row r="91" spans="11:14">
      <c r="K91" s="231" t="s">
        <v>541</v>
      </c>
      <c r="L91" s="5">
        <v>7</v>
      </c>
      <c r="M91" s="5">
        <v>7</v>
      </c>
      <c r="N91" s="5">
        <v>5</v>
      </c>
    </row>
    <row r="92" spans="11:14">
      <c r="K92" s="231" t="s">
        <v>542</v>
      </c>
      <c r="L92" s="5">
        <v>7</v>
      </c>
      <c r="M92" s="5">
        <v>16</v>
      </c>
      <c r="N92" s="5">
        <v>5</v>
      </c>
    </row>
    <row r="93" spans="11:14">
      <c r="K93" s="9" t="s">
        <v>543</v>
      </c>
      <c r="L93" s="10">
        <v>5</v>
      </c>
      <c r="M93" s="10">
        <v>11</v>
      </c>
      <c r="N93" s="10">
        <v>3</v>
      </c>
    </row>
    <row r="94" spans="11:14">
      <c r="K94" s="231" t="s">
        <v>544</v>
      </c>
      <c r="L94" s="5">
        <v>5</v>
      </c>
      <c r="M94" s="5">
        <v>11</v>
      </c>
      <c r="N94" s="5">
        <v>4</v>
      </c>
    </row>
    <row r="95" spans="11:14">
      <c r="K95" s="231" t="s">
        <v>545</v>
      </c>
      <c r="L95" s="5">
        <v>7</v>
      </c>
      <c r="M95" s="5">
        <v>15</v>
      </c>
      <c r="N95" s="5">
        <v>5</v>
      </c>
    </row>
    <row r="96" spans="11:14">
      <c r="K96" s="9" t="s">
        <v>546</v>
      </c>
      <c r="L96" s="10">
        <v>4</v>
      </c>
      <c r="M96" s="10">
        <v>9</v>
      </c>
      <c r="N96" s="10">
        <v>3</v>
      </c>
    </row>
    <row r="97" spans="11:14">
      <c r="K97" s="9" t="s">
        <v>547</v>
      </c>
      <c r="L97" s="10">
        <v>3</v>
      </c>
      <c r="M97" s="10">
        <v>6</v>
      </c>
      <c r="N97" s="10">
        <v>2</v>
      </c>
    </row>
    <row r="98" spans="11:14">
      <c r="K98" s="9" t="s">
        <v>548</v>
      </c>
      <c r="L98" s="10">
        <v>6</v>
      </c>
      <c r="M98" s="10">
        <v>12</v>
      </c>
      <c r="N98" s="10">
        <v>4</v>
      </c>
    </row>
    <row r="99" spans="11:14">
      <c r="K99" s="9" t="s">
        <v>549</v>
      </c>
      <c r="L99" s="10">
        <v>5</v>
      </c>
      <c r="M99" s="10">
        <v>11</v>
      </c>
      <c r="N99" s="10">
        <v>4</v>
      </c>
    </row>
    <row r="100" spans="11:14">
      <c r="K100" s="9" t="s">
        <v>416</v>
      </c>
      <c r="L100" s="10">
        <v>8</v>
      </c>
      <c r="M100" s="10">
        <v>17</v>
      </c>
      <c r="N100" s="10">
        <v>6</v>
      </c>
    </row>
    <row r="101" spans="11:14">
      <c r="K101" s="9" t="s">
        <v>312</v>
      </c>
      <c r="L101" s="10">
        <v>3</v>
      </c>
      <c r="M101" s="10">
        <v>11</v>
      </c>
      <c r="N101" s="10">
        <v>6</v>
      </c>
    </row>
    <row r="102" spans="11:14">
      <c r="K102" s="231" t="s">
        <v>313</v>
      </c>
      <c r="L102" s="5">
        <v>6</v>
      </c>
      <c r="M102" s="5">
        <v>13</v>
      </c>
      <c r="N102" s="5">
        <v>4</v>
      </c>
    </row>
    <row r="103" spans="11:14">
      <c r="K103" s="9" t="s">
        <v>314</v>
      </c>
      <c r="L103" s="10">
        <v>5</v>
      </c>
      <c r="M103" s="10">
        <v>11</v>
      </c>
      <c r="N103" s="10">
        <v>4</v>
      </c>
    </row>
    <row r="104" spans="11:14">
      <c r="K104" s="9" t="s">
        <v>315</v>
      </c>
      <c r="L104" s="10">
        <v>7</v>
      </c>
      <c r="M104" s="10">
        <v>15</v>
      </c>
      <c r="N104" s="10">
        <v>5</v>
      </c>
    </row>
    <row r="105" spans="11:14">
      <c r="K105" s="9" t="s">
        <v>5307</v>
      </c>
      <c r="L105" s="10">
        <v>6</v>
      </c>
      <c r="M105" s="10">
        <v>13</v>
      </c>
      <c r="N105" s="10">
        <v>4</v>
      </c>
    </row>
    <row r="106" spans="11:14">
      <c r="K106" s="9" t="s">
        <v>316</v>
      </c>
      <c r="L106" s="10">
        <v>6</v>
      </c>
      <c r="M106" s="10">
        <v>13</v>
      </c>
      <c r="N106" s="10">
        <v>5</v>
      </c>
    </row>
    <row r="107" spans="11:14">
      <c r="K107" s="9" t="s">
        <v>317</v>
      </c>
      <c r="L107" s="10">
        <v>8</v>
      </c>
      <c r="M107" s="10">
        <v>17</v>
      </c>
      <c r="N107" s="10">
        <v>6</v>
      </c>
    </row>
    <row r="108" spans="11:14">
      <c r="K108" s="9" t="s">
        <v>318</v>
      </c>
      <c r="L108" s="10">
        <v>8</v>
      </c>
      <c r="M108" s="10">
        <v>17</v>
      </c>
      <c r="N108" s="10">
        <v>6</v>
      </c>
    </row>
    <row r="109" spans="11:14">
      <c r="K109" s="9" t="s">
        <v>319</v>
      </c>
      <c r="L109" s="10">
        <v>7</v>
      </c>
      <c r="M109" s="10">
        <v>15</v>
      </c>
      <c r="N109" s="10">
        <v>5</v>
      </c>
    </row>
    <row r="110" spans="11:14">
      <c r="K110" s="9" t="s">
        <v>320</v>
      </c>
      <c r="L110" s="10">
        <v>7</v>
      </c>
      <c r="M110" s="10">
        <v>15</v>
      </c>
      <c r="N110" s="10">
        <v>5</v>
      </c>
    </row>
    <row r="111" spans="11:14">
      <c r="K111" s="231" t="s">
        <v>321</v>
      </c>
      <c r="L111" s="5">
        <v>7</v>
      </c>
      <c r="M111" s="5">
        <v>15</v>
      </c>
      <c r="N111" s="5">
        <v>5</v>
      </c>
    </row>
    <row r="112" spans="11:14">
      <c r="K112" s="231" t="s">
        <v>322</v>
      </c>
      <c r="L112" s="5">
        <v>1</v>
      </c>
      <c r="M112" s="5">
        <v>3</v>
      </c>
      <c r="N112" s="5">
        <v>1</v>
      </c>
    </row>
    <row r="113" spans="11:14">
      <c r="K113" s="9" t="s">
        <v>323</v>
      </c>
      <c r="L113" s="10">
        <v>3</v>
      </c>
      <c r="M113" s="10">
        <v>7</v>
      </c>
      <c r="N113" s="10">
        <v>3</v>
      </c>
    </row>
    <row r="114" spans="11:14">
      <c r="K114" s="231" t="s">
        <v>324</v>
      </c>
      <c r="L114" s="5">
        <v>3</v>
      </c>
      <c r="M114" s="5">
        <v>7</v>
      </c>
      <c r="N114" s="5">
        <v>3</v>
      </c>
    </row>
    <row r="115" spans="11:14">
      <c r="K115" s="231" t="s">
        <v>438</v>
      </c>
      <c r="L115" s="5">
        <v>4</v>
      </c>
      <c r="M115" s="5">
        <v>7</v>
      </c>
      <c r="N115" s="5">
        <v>2</v>
      </c>
    </row>
    <row r="116" spans="11:14">
      <c r="K116" s="231" t="s">
        <v>359</v>
      </c>
      <c r="L116" s="5">
        <v>2</v>
      </c>
      <c r="M116" s="5">
        <v>4</v>
      </c>
      <c r="N116" s="5">
        <v>1</v>
      </c>
    </row>
    <row r="117" spans="11:14">
      <c r="K117" s="231" t="s">
        <v>328</v>
      </c>
      <c r="L117" s="5">
        <v>3</v>
      </c>
      <c r="M117" s="5">
        <v>6</v>
      </c>
      <c r="N117" s="5">
        <v>1</v>
      </c>
    </row>
    <row r="118" spans="11:14">
      <c r="K118" s="231" t="s">
        <v>115</v>
      </c>
      <c r="L118" s="5">
        <v>3</v>
      </c>
      <c r="M118" s="5">
        <v>5</v>
      </c>
      <c r="N118" s="5">
        <v>2</v>
      </c>
    </row>
    <row r="119" spans="11:14">
      <c r="K119" s="9" t="s">
        <v>329</v>
      </c>
      <c r="L119" s="10">
        <v>5</v>
      </c>
      <c r="M119" s="10">
        <v>5</v>
      </c>
      <c r="N119" s="10">
        <v>1</v>
      </c>
    </row>
  </sheetData>
  <phoneticPr fontId="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CharGenMain</vt:lpstr>
      <vt:lpstr>Talents-Skills</vt:lpstr>
      <vt:lpstr>Spells</vt:lpstr>
      <vt:lpstr>Magic Items</vt:lpstr>
      <vt:lpstr>Magic Armor</vt:lpstr>
      <vt:lpstr>Magic Weapons</vt:lpstr>
      <vt:lpstr>Armor-Weapons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Character Generator 2.0</dc:title>
  <dc:subject>Earthdawn Character Generator</dc:subject>
  <dc:creator>Macintosh User</dc:creator>
  <cp:lastModifiedBy>William Lenox</cp:lastModifiedBy>
  <cp:lastPrinted>2013-09-27T16:27:59Z</cp:lastPrinted>
  <dcterms:created xsi:type="dcterms:W3CDTF">2013-11-28T04:48:57Z</dcterms:created>
  <dcterms:modified xsi:type="dcterms:W3CDTF">2017-07-09T16:53:59Z</dcterms:modified>
</cp:coreProperties>
</file>